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9B1D113-8D9E-494E-8FE5-88BB43644BD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T59"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T373" i="1"/>
  <c r="BF374" i="1"/>
  <c r="BT374" i="1"/>
  <c r="BF375" i="1"/>
  <c r="BT375" i="1"/>
  <c r="BF376" i="1"/>
  <c r="BT376" i="1"/>
  <c r="BF377" i="1"/>
  <c r="BT377" i="1"/>
  <c r="BF378" i="1"/>
  <c r="BT378" i="1"/>
  <c r="BF379" i="1"/>
  <c r="BT379" i="1"/>
  <c r="BF380" i="1"/>
  <c r="BT380" i="1"/>
  <c r="BF381" i="1"/>
  <c r="BT381" i="1"/>
  <c r="BF382" i="1"/>
  <c r="BT382" i="1"/>
  <c r="BF383" i="1"/>
  <c r="BT383"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<sst xmlns="http://schemas.openxmlformats.org/spreadsheetml/2006/main" count="59895" uniqueCount="19311">
  <si>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</si>
  <si>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</si>
  <si>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</si>
  <si>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</si>
  <si>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</si>
  <si>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</si>
  <si>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</si>
  <si>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</si>
  <si>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</si>
  <si>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</si>
  <si>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</si>
  <si>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</si>
  <si>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</si>
  <si>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</si>
  <si>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</si>
  <si>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</si>
  <si>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</si>
  <si>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</si>
  <si>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</si>
  <si>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</si>
  <si>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</si>
  <si>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</si>
  <si>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</si>
  <si>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</si>
  <si>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</si>
  <si>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</si>
  <si>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</si>
  <si>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</si>
  <si>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</si>
  <si>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</si>
  <si>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</si>
  <si>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</si>
  <si>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</si>
  <si>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</si>
  <si>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</si>
  <si>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</si>
  <si>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</si>
  <si>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</si>
  <si>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</si>
  <si>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</si>
  <si>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</si>
  <si>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</si>
  <si>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</si>
  <si>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</si>
  <si>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</si>
  <si>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</si>
  <si>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</si>
  <si>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</si>
  <si>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</si>
  <si>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</si>
  <si>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</si>
  <si>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</si>
  <si>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</si>
  <si>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</si>
  <si>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</si>
  <si>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</si>
  <si>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</si>
  <si>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</si>
  <si>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</si>
  <si>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</si>
  <si>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</si>
  <si>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</si>
  <si>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</si>
  <si>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</si>
  <si>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</si>
  <si>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</si>
  <si>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</si>
  <si>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</si>
  <si>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</si>
  <si>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</si>
  <si>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</si>
  <si>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</si>
  <si>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</si>
  <si>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Mahiques, MM; Nagai, RH; Dias, GP; Figueira, RCL</t>
  </si>
  <si>
    <t/>
  </si>
  <si>
    <t>de Mahiques, Michel Michaelovitch; Nagai, Renata Hanae; Dias, Gilberto Pereira; Figueira, Rubens Cesar Lopes</t>
  </si>
  <si>
    <t>An 80 kyr record of intermediate-depth water flow on the western South Atlantic margin</t>
  </si>
  <si>
    <t>SEDIMENTOLOGY</t>
  </si>
  <si>
    <t>English</t>
  </si>
  <si>
    <t>Article</t>
  </si>
  <si>
    <t>Antarctic Intermediate Water; end-member analysis; grain size; Intermediate Western Boundary Current; sortable silt</t>
  </si>
  <si>
    <t>MERIDIONAL OVERTURNING CIRCULATION; LAST GLACIAL MAXIMUM; SAO-PAULO BIGHT; GRAIN-SIZE; BRAZIL CURRENT; TROPICAL ATLANTIC; SEDIMENT FLUX; SORTABLE SILT; SEA-SURFACE; OCEAN</t>
  </si>
  <si>
    <t>Understanding the Antarctic Intermediate Water transport is fundamental to knowing the Atlantic Meridional Overturning Circulation and its variations over time. This study investigates the temporal variations of the northward flow of the Intermediate Western Boundary Current (the leading carrier of the Antarctic Intermediate Water) over the last 80 kyr by using grain-size data (sortable silt and end-member analysis). The results presented show abrupt changes in Sortable Silt (interpreted as changes in flow speed) in the transition between Marine Isotope Stage 4 and Marine Isotope Stage 3 and during Marine Isotope Stage 3. In addition, there is a clear coarsening of Sortable Silt from the Deglacial to the Holocene, indicating an intensification of the northward transport of the Antarctic Intermediate Water along the south-western Atlantic margin. These results highlight the existence of a prevailing positive relationship between the northward carrier of the Antarctic Intermediate Water and the Atlantic Meridional Overturning Circulation over the last 80 kyr, with a negative relationship at the beginning of Marine Isotope Stage 3 and over the Holocene. This contribution states that the positive relationship between the Antarctic Intermediate Water and the Atlantic Meridional Overturning Circulation is a dynamic interconnection that needs to be further constrained by future works.</t>
  </si>
  <si>
    <t>[de Mahiques, Michel Michaelovitch; Dias, Gilberto Pereira; Figueira, Rubens Cesar Lopes] Univ Sao Paulo, Oceanog Inst, 05508-120 Praca Oceanog, BR-191 Sao Paulo, Brazil; [de Mahiques, Michel Michaelovitch] Univ Sao Paulo, Inst Energy &amp; Environm, 05508-010 Ave Prof Luciano Gualberto, BR-1289 Sao Paulo, Brazil; [Nagai, Renata Hanae] Univ Fed Parana, Ctr Marine Studies, POB 61, BR-83255975 Pontal Do Parana, Brazil</t>
  </si>
  <si>
    <t>Universidade de Sao Paulo; Universidade de Sao Paulo; Universidade Federal do Parana</t>
  </si>
  <si>
    <t>Mahiques, MM (corresponding author), Univ Sao Paulo, Oceanog Inst, 05508-120 Praca Oceanog, BR-191 Sao Paulo, Brazil.</t>
  </si>
  <si>
    <t>mahiques@usp.br</t>
  </si>
  <si>
    <t>Mahiques, Michel/0000-0002-5249-5610</t>
  </si>
  <si>
    <t>SAo Paulo Science Foundation (FAPESP) [2010/06147-5, 2014/08266-2]; University of SAo Paulo, via Program 'Nucleos de Apoio a Pesquisa' (NAP); FAPESP [2020/14356-5]</t>
  </si>
  <si>
    <t>SAo Paulo Science Foundation (FAPESP)(Fundacao de Amparo a Pesquisa do Estado de Sao Paulo (FAPESP)); University of SAo Paulo, via Program 'Nucleos de Apoio a Pesquisa' (NAP); FAPESP(Fundacao de Amparo a Pesquisa do Estado de Sao Paulo (FAPESP))</t>
  </si>
  <si>
    <t>The authors are grateful to the crew and researchers of R/V Alpha Crucis, cruise NAP-GEOSEDEX. The authors are also grateful for the excellent comments and corrections from the Editor and anonymous reviewers. This work was funded by the SAo Paulo Science Foundation (FAPESP) grants 2010/06147-5 and 2014/08266-2, and by the University of SAo Paulo, via Program 'Nucleos de Apoio a Pesquisa' (NAP). This work is a contribution to FAPESP project no. 2020/14356-5 (The Santos Bifurcation: present and past).</t>
  </si>
  <si>
    <t>WILEY</t>
  </si>
  <si>
    <t>HOBOKEN</t>
  </si>
  <si>
    <t>111 RIVER ST, HOBOKEN 07030-5774, NJ USA</t>
  </si>
  <si>
    <t>0037-0746</t>
  </si>
  <si>
    <t>1365-3091</t>
  </si>
  <si>
    <t>Sedimentology</t>
  </si>
  <si>
    <t>DEC</t>
  </si>
  <si>
    <t>10.1111/sed.13016</t>
  </si>
  <si>
    <t>JUN 2022</t>
  </si>
  <si>
    <t>Geology</t>
  </si>
  <si>
    <t>Science Citation Index Expanded (SCI-EXPANDED)</t>
  </si>
  <si>
    <t>6M4GV</t>
  </si>
  <si>
    <t>2024-04-21</t>
  </si>
  <si>
    <t>WOS:000808569700001</t>
  </si>
  <si>
    <t>Le Moigne, P; Bazile, E; Cheng, AN; Dutra, E; Edwards, JM; Maurel, W; Sandu, I; Traullé, O; Vignon, E; Zadra, A; Zheng, WZ</t>
  </si>
  <si>
    <t>Le Moigne, Patrick; Bazile, Eric; Cheng, Anning; Dutra, Emanuel; Edwards, John M.; Maurel, William; Sandu, Irina; Traulle, Olivier; Vignon, Etienne; Zadra, Ayrton; Zheng, Weizhong</t>
  </si>
  <si>
    <t>GABLS4 intercomparison of snow models at Dome C in Antarctica</t>
  </si>
  <si>
    <t>CRYOSPHERE</t>
  </si>
  <si>
    <t>SURFACE-ENERGY-BALANCE; CLIMATE MODEL; SENSIBLE-HEAT; MASS-BALANCE; ICE SHEETS; VALIDATION; PARAMETERIZATION; TEMPERATURE; SIMULATION; WEATHER</t>
  </si>
  <si>
    <t>The Antarctic plateau, characterized by cold and dry weather conditions with very little precipitation, is mostly covered by snow at the surface. This paper describes an intercomparison of snow models, of varying complexity, used for numerical weather prediction or academic research. The results of offline numerical simulations, carried out during 15 d in 2009, on a single site on the Antarctic plateau, show that the simplest models are able to reproduce the surface temperature as well as the most complex models provided that their surface parameters are well chosen. Furthermore, it is shown that the diversity of the surface parameters of the models strongly impacts the numerical simulations, in particular the temporal variability of the surface temperature and the components of the surface energy balance. The models tend to overestimate the surface temperature by 2-5 K at night and underestimate it by 2 K during the day. The observed and simulated turbulent latent heat fluxes are small, of the order of a few W m(-2), with a tendency to underestimate, while the sensible heat fluxes are in general too intense at night as well as during the day. The surface temperature errors are consistent with too large a magnitude of sensible heat fluxes during the day and night. Finally, it is shown that the most complex multilayer models are able to reproduce well the propagation of the daily diurnal wave, and that the snow temperature profiles in the snowpack are very close to the measurements carried out on site.</t>
  </si>
  <si>
    <t>[Le Moigne, Patrick; Bazile, Eric; Maurel, William] Univ Toulouse, CNRS, Meteo France, CNRM, Toulouse, France; [Edwards, John M.] Met Off, FitzRoy Rd, Exeter, Devon, England; [Cheng, Anning; Zheng, Weizhong] NOAA, IMSG Inc, EMC, NCEP, College Pk, MD USA; [Dutra, Emanuel] Inst Portugues Mar &amp; Atmosfera, Lisbon, Portugal; [Sandu, Irina] European Ctr Medium Range Weather Forecasts, Res Dept, Reading, Berks, England; [Vignon, Etienne] Sorbonne Univ, IPSL, Lab Meteorol Dynam, CNRS,UMR 8539, Paris, France; [Zadra, Ayrton] Environm &amp; Climate Change Canada, Atmospher Numer Weather Predict Res Sect, Dorval, PQ, Canada; [Traulle, Olivier] Meteo France, Direct Syst Observat, Toulouse, France</t>
  </si>
  <si>
    <t>Meteo France; Centre National de la Recherche Scientifique (CNRS); Universite de Toulouse; Met Office - UK; National Oceanic Atmospheric Admin (NOAA) - USA; Instituto Portugues do Mar e da Atmosfera; European Centre for Medium-Range Weather Forecasts (ECMWF); Centre National de la Recherche Scientifique (CNRS); CNRS - National Institute for Earth Sciences &amp; Astronomy (INSU); Sorbonne Universite; Universite Paris Cite; Environment &amp; Climate Change Canada; Meteo France</t>
  </si>
  <si>
    <t>Le Moigne, P (corresponding author), Univ Toulouse, CNRS, Meteo France, CNRM, Toulouse, France.</t>
  </si>
  <si>
    <t>patrick.lemoigne@meteo.fr</t>
  </si>
  <si>
    <t>Zheng, Weizhong/JXL-9978-2024; Dutra, Emanuel/A-3774-2010</t>
  </si>
  <si>
    <t>Dutra, Emanuel/0000-0002-0643-2643; VIGNON, Etienne/0000-0003-3801-9367; bazile, eric/0000-0001-8120-9970</t>
  </si>
  <si>
    <t>COPERNICUS GESELLSCHAFT MBH</t>
  </si>
  <si>
    <t>GOTTINGEN</t>
  </si>
  <si>
    <t>BAHNHOFSALLEE 1E, GOTTINGEN, 37081, GERMANY</t>
  </si>
  <si>
    <t>1994-0416</t>
  </si>
  <si>
    <t>1994-0424</t>
  </si>
  <si>
    <t>Cryosphere</t>
  </si>
  <si>
    <t>JUN 10</t>
  </si>
  <si>
    <t>10.5194/tc-16-2183-2022</t>
  </si>
  <si>
    <t>Geography, Physical; Geosciences, Multidisciplinary</t>
  </si>
  <si>
    <t>Physical Geography; Geology</t>
  </si>
  <si>
    <t>1Z9CL</t>
  </si>
  <si>
    <t>gold, Green Submitted</t>
  </si>
  <si>
    <t>WOS:000809112900001</t>
  </si>
  <si>
    <t>Smale, DA; Teagle, H; Hawkins, SJ; Jenkins, HL; Frontier, N; Wilding, C; King, N; Jackson-Bué, M; Moore, PJ</t>
  </si>
  <si>
    <t>Smale, Dan A.; Teagle, Harry; Hawkins, Stephen J.; Jenkins, Helen L.; Frontier, Nadia; Wilding, Cat; King, Nathan; Jackson-Bue, Mathilde; Moore, Pippa J.</t>
  </si>
  <si>
    <t>Climate-driven substitution of foundation species causes breakdown of a facilitation cascade with potential implications for higher trophic levels</t>
  </si>
  <si>
    <t>JOURNAL OF ECOLOGY</t>
  </si>
  <si>
    <t>climate change; macroalgae; species interactions; temperate reefs; warming</t>
  </si>
  <si>
    <t>KELP LAMINARIA-HYPERBOREA; LATITUDINAL GRADIENT; BIOGENIC HABITAT; EPIPHYTIC ALGAE; FOOD-WEB; FOREST; BIODIVERSITY; ASSEMBLAGES; VARIABILITY; OCHROLEUCA</t>
  </si>
  <si>
    <t>Climate change can alter ecological communities both directly, by driving shifts in species distributions and abundances, and indirectly by influencing the strength and direction of species interactions. Within benthic marine ecosystems, foundation species such as canopy-forming macro-algae often underpin important cascades of facilitative interactions. We examined the wider impacts of climate-driven shifts in the relative abundances of foundation species within a temperate reef system, with particular focus on a habitat cascade whereby kelp facilitate epiphytic algae that, in turn, facilitate mobile invertebrates. Specifically, we tested whether the warm-water kelp Laminaria ochroleuca, which has proliferated in response to recent warming trends, facilitated a secondary habitat-former (epiphytic algae on stipes) and associated mobile invertebrates, to the same degree as the cold-water kelp Laminaria hyperborea. The facilitative interaction between kelp and stipe-associated epiphytic algae was dramatically weaker for the warm-water foundation species, leading to breakdown of a habitat cascade and impoverished associated faunal assemblages. On average, the warm-water kelp supported &gt;250 times less epiphytic algae (by biomass) and &gt;50 times fewer mobile invertebrates (by abundance) than the cold-water kelp. Moreover, by comparing regions of pre- and post-range expansion by L. ochroleuca, we found that warming-impacted kelp forests supported around half the biomass of epiphytic algae and one-fifth of the abundance of mobile invertebrates, per unit area, compared with unimpacted forests. We suggest that disruption to this facilitation cascade has the potential to impact upon higher trophic levels, specifically kelp forest fishes, through lower prey availability. Synthesis. Climate-driven shifts in species' distributions and the relative abundances of foundation organisms will restructure communities and alter ecological interactions, with consequences for ecosystem functioning. We show that climate-driven substitutions of seemingly similar foundation species can alter local biodiversity and trophic processes in temperate marine ecosystems.</t>
  </si>
  <si>
    <t>[Smale, Dan A.; Teagle, Harry; Hawkins, Stephen J.; Jenkins, Helen L.; Wilding, Cat; King, Nathan] Marine Biol Assoc UK, The Lab, Plymouth, Devon, England; [Teagle, Harry; Hawkins, Stephen J.] Univ Southampton, Natl Oceanog Ctr Southampton, Sch Ocean &amp; Earth Sci, Southampton, Hants, England; [Hawkins, Stephen J.] Univ Plymouth, Sch Biol &amp; Marine Sci, Plymouth, Devon, England; [Frontier, Nadia] British Antarctic Survey, Cambridge, England; [Jackson-Bue, Mathilde] Aberystwyth Univ, Inst Biol Environm &amp; Rural Sci, Aberystwyth, Dyfed, Wales; [Moore, Pippa J.] Newcastle Univ, Sch Nat &amp; Environm Sci, Dove Marine Lab, Newcastle Upon Tyne, Tyne &amp; Wear, England</t>
  </si>
  <si>
    <t>Marine Biological Association United Kingdom; University of Southampton; NERC National Oceanography Centre; University of Plymouth; UK Research &amp; Innovation (UKRI); Natural Environment Research Council (NERC); NERC British Antarctic Survey; Aberystwyth University; UK Research &amp; Innovation (UKRI); Biotechnology and Biological Sciences Research Council (BBSRC); Institute of Biological, Environmental, Rural &amp; Sciences (IBERS); Newcastle University - UK</t>
  </si>
  <si>
    <t>Smale, DA (corresponding author), Marine Biol Assoc UK, The Lab, Plymouth, Devon, England.</t>
  </si>
  <si>
    <t>dansma@mba.ac.uk</t>
  </si>
  <si>
    <t>Smale, Dan A/B-3240-2011; Moore, Pippa/HCH-3738-2022</t>
  </si>
  <si>
    <t>Moore, Pippa/0000-0002-9889-2216; Wilding, Catherine/0000-0001-7641-8225; Smale, Dan/0000-0003-4157-541X; Frontier, Nadia/0000-0003-0189-1282</t>
  </si>
  <si>
    <t>UKRI Future Leaders Fellowship [MR/S032827/1]; NERC-Newton Fund grant [NE/S011692/2]; FLF [MR/S032827/1] Funding Source: UKRI; NERC [NE/S011692/2, NE/S011692/1] Funding Source: UKRI</t>
  </si>
  <si>
    <t>UKRI Future Leaders Fellowship(UK Research &amp; Innovation (UKRI)); NERC-Newton Fund grant; FLF; NERC(UK Research &amp; Innovation (UKRI)Natural Environment Research Council (NERC))</t>
  </si>
  <si>
    <t>D.A.S. is supported by a UKRI Future Leaders Fellowship (MR/S032827/1). P.J.M. is supported by a NERC-Newton Fund grant NE/S011692/2. We thank all participants of 'Team Kelp (UK)' field expeditions (2014-2020), the BEECH group at MBA and Sula Divers and Tritonia dive teams for technical support.</t>
  </si>
  <si>
    <t>0022-0477</t>
  </si>
  <si>
    <t>1365-2745</t>
  </si>
  <si>
    <t>J ECOL</t>
  </si>
  <si>
    <t>J. Ecol.</t>
  </si>
  <si>
    <t>SEP</t>
  </si>
  <si>
    <t>10.1111/1365-2745.13936</t>
  </si>
  <si>
    <t>Plant Sciences; Ecology</t>
  </si>
  <si>
    <t>Plant Sciences; Environmental Sciences &amp; Ecology</t>
  </si>
  <si>
    <t>4J6DD</t>
  </si>
  <si>
    <t>Green Published, Green Submitted, hybrid</t>
  </si>
  <si>
    <t>WOS:000808592900001</t>
  </si>
  <si>
    <t>Chai, L; Zhou, YQ; Wang, XP</t>
  </si>
  <si>
    <t>Chai, Lei; Zhou, Yunqiao; Wang, Xiaoping</t>
  </si>
  <si>
    <t>Impact of global warming on regional cycling of mercury and persistent organic pollutants on the Tibetan Plateau: current progress and future prospects</t>
  </si>
  <si>
    <t>ENVIRONMENTAL SCIENCE-PROCESSES &amp; IMPACTS</t>
  </si>
  <si>
    <t>Review</t>
  </si>
  <si>
    <t>SPECIATED ATMOSPHERIC MERCURY; POLYCYCLIC AROMATIC-HYDROCARBONS; TOTAL GASEOUS MERCURY; LONG-RANGE TRANSPORT; ORGANOCHLORINE PESTICIDES; POLYCHLORINATED-BIPHENYLS; CLIMATE-CHANGE; ICE CORE; WET DEPOSITION; M A.S.L.</t>
  </si>
  <si>
    <t>Global warming profoundly affects not only mountainous and polar environments, but also the global and regional cycling of pollutants. Mercury (Hg) and persistent organic pollutants (POPs) have global transport capacity and are regulated by the Minamata Convention and Stockholm Convention, respectively. Since the beginning of this century, understanding of the origin and fate of Hg and POPs on the Tibetan Plateau (TP, also known as the third pole) has been deepening. In this paper, the existing literature is reviewed to comprehensively understand the atmospheric transport, atmospheric deposition, cumulative transformation and accumulation of Hg and POPs on the TP region under the background of global warming. The biogeochemical cycle of both Hg and POPs has the following environmental characteristics: (1) the Indian summer monsoon and westerly winds carry Hg and POPs inland to the TP; (2) the cold trapping effect causes Hg and POPs to be deposited on the TP by dry and wet deposition, making glaciers, permafrost, and snow the key sinks of Hg and POPs; (3) Hg and POPs can subsequently be released due to the melting of glaciers and permafrost; (4) bioaccumulation and biomagnification of Hg and POPs have been examined in the aquatic food chain; (5) ice cores and lake cores preserve the impacts of both regional emissions and glacial melting on Hg and POP migration. This implies that comprehensive models will be needed to evaluate the fate and toxicity of Hg and POPs on larger spatial and longer temporal scales to forecast their projected tendencies under diverse climate scenarios. Future policies and regulations should address the disrupted repercussions of inclusive CC such as weather extremes, floods and storms, and soil sustainable desertification on the fate of Hg and POPs. The present findings advocate the strengthening of the cross-national programs aimed at the elimination of Hg and POPs in polar (Arctic, Antarctic and TP) and certain mountainous (the Himalaya, Rocky Mountains, and Alps) ecosystems for better understanding the impacts of global warming on the accumulation of Hg/POPs in cold and remote areas.</t>
  </si>
  <si>
    <t>[Chai, Lei; Zhou, Yunqiao; Wang, Xiaoping] Chinese Acad Sci, Inst Tibetan Plateau Res, State Key Lab Tibetan Plateau Earth Syst Resource, Beijing 100101, Peoples R China; [Wang, Xiaoping] Univ Chinese Acad Sci, Beijing 100049, Peoples R China</t>
  </si>
  <si>
    <t>Chinese Academy of Sciences; Institute of Tibetan Plateau Research, CAS; Chinese Academy of Sciences; University of Chinese Academy of Sciences, CAS</t>
  </si>
  <si>
    <t>Wang, XP (corresponding author), Chinese Acad Sci, Inst Tibetan Plateau Res, State Key Lab Tibetan Plateau Earth Syst Resource, Beijing 100101, Peoples R China.;Wang, XP (corresponding author), Univ Chinese Acad Sci, Beijing 100049, Peoples R China.</t>
  </si>
  <si>
    <t>wangxp@itpcas.ac.cn</t>
  </si>
  <si>
    <t>Wang, Xiaoping/F-4707-2013; Zhou, Yunqiao/AAO-9529-2021</t>
  </si>
  <si>
    <t>Zhou, Yunqiao/0000-0003-4896-6536; Wang, Xiaoping/0000-0001-7524-7540</t>
  </si>
  <si>
    <t>Second Tibetan Plateau Scientific Expedition and Research (STEP) programme [2019QZKK0605]; Strategic Priority Research Program of the Chinese Academy of Sciences [XDA2004050202]; National Natural Science Foundation of China [41925032]</t>
  </si>
  <si>
    <t>Second Tibetan Plateau Scientific Expedition and Research (STEP) programme; Strategic Priority Research Program of the Chinese Academy of Sciences(Chinese Academy of Sciences); National Natural Science Foundation of China(National Natural Science Foundation of China (NSFC))</t>
  </si>
  <si>
    <t>This study was supported by the Second Tibetan Plateau Scientific Expedition and Research (STEP) programme (grant no. 2019QZKK0605), the Strategic Priority Research Program of the Chinese Academy of Sciences, the Pan-Third Pole Environment Study for a Green Silk Road (Pan-TPE) (XDA2004050202), and the National Natural Science Foundation of China (41925032).</t>
  </si>
  <si>
    <t>ROYAL SOC CHEMISTRY</t>
  </si>
  <si>
    <t>CAMBRIDGE</t>
  </si>
  <si>
    <t>THOMAS GRAHAM HOUSE, SCIENCE PARK, MILTON RD, CAMBRIDGE CB4 0WF, CAMBS, ENGLAND</t>
  </si>
  <si>
    <t>2050-7887</t>
  </si>
  <si>
    <t>2050-7895</t>
  </si>
  <si>
    <t>ENVIRON SCI-PROC IMP</t>
  </si>
  <si>
    <t>Environ. Sci.-Process Impacts</t>
  </si>
  <si>
    <t>OCT 19</t>
  </si>
  <si>
    <t>10.1039/d1em00550b</t>
  </si>
  <si>
    <t>Chemistry, Analytical; Environmental Sciences</t>
  </si>
  <si>
    <t>Chemistry; Environmental Sciences &amp; Ecology</t>
  </si>
  <si>
    <t>5K6TT</t>
  </si>
  <si>
    <t>WOS:000820061800001</t>
  </si>
  <si>
    <t>Collins, MA; Hart, T; Hogg, OT; Hollyman, PR; Liszka, CM; Stewart, HA; Trathan, PN</t>
  </si>
  <si>
    <t>Collins, M. A.; Hart, T.; Hogg, O. T.; Hollyman, P. R.; Liszka, C. M.; Stewart, H. A.; Trathan, P. N.</t>
  </si>
  <si>
    <t>South Sandwich Islands - An understudied isolated Southern Ocean archipelago Introduction</t>
  </si>
  <si>
    <t>DEEP-SEA RESEARCH PART II-TOPICAL STUDIES IN OCEANOGRAPHY</t>
  </si>
  <si>
    <t>Editorial Material</t>
  </si>
  <si>
    <t>EUPHAUSIA-SUPERBA DANA; ANTARCTIC KRILL; SCOTIA ARC; CLIMATE-CHANGE; SEA-ICE; ECOSYSTEM; POPULATIONS; ATLANTIC; REGION</t>
  </si>
  <si>
    <t>The South Sandwich Islands are an isolated, oceanic, volcanically formed archipelago in the Atlantic sector of the Southern Ocean. The complex bathymetry, coupled with the location in the marginal sea-ice zone and the relationship with the ACC makes the region both productive and biodiverse. Although remote, the region is not pristine and has been subject to historic exploitation of cetaceans and currently supports small, sustainably managed fisheries for two species of toothfish. This special issue brings together a suite of papers that further our knowledge of the region and will contribute to the next review of the South Georgia and South Sandwich Islands Marine Protected Area, which is due in 2023. The ten papers cover a broad range of subjects, adding to our knowledge of oceanography, pelagic and benthic ecology and of habitat use by mobile vertebrate predators such as cetaceans and penguins. Whilst the papers address some important knowledge gaps, they also highlight how little is known about this region and provide pointers to future research priorities.</t>
  </si>
  <si>
    <t>[Collins, M. A.; Hollyman, P. R.; Liszka, C. M.; Trathan, P. N.] NERC, British Antarctic Survey, Madingley Rd, Cambridge CB23 OET, England; [Hart, T.] Univ Oxford, Dept Zool, 11a Mansfield Rd, Oxford OX1 3SZ, England; [Hogg, O. T.] Ctr Environm Fisheries &amp; Aquaculture Sci, Pakefield Rd, Lowestoft NR33 0HT, Suffolk, England; [Stewart, H. A.] British Geol Survey, Lyell Ctr, Res Ave South, Edinburgh EH14 4AP, Midlothian, Scotland</t>
  </si>
  <si>
    <t>UK Research &amp; Innovation (UKRI); Natural Environment Research Council (NERC); NERC British Antarctic Survey; University of Oxford; Centre for Environment Fisheries &amp; Aquaculture Science; UK Research &amp; Innovation (UKRI); Natural Environment Research Council (NERC); NERC British Geological Survey</t>
  </si>
  <si>
    <t>Collins, MA (corresponding author), NERC, British Antarctic Survey, Madingley Rd, Cambridge CB23 OET, England.</t>
  </si>
  <si>
    <t>macol@bas.ac.uk</t>
  </si>
  <si>
    <t>Liszka, Cecilia/AAW-4544-2021; , Martin/ABE-6728-2020</t>
  </si>
  <si>
    <t>Liszka, Cecilia/0000-0003-1309-4045; , Martin/0000-0001-7132-8650</t>
  </si>
  <si>
    <t>PERGAMON-ELSEVIER SCIENCE LTD</t>
  </si>
  <si>
    <t>OXFORD</t>
  </si>
  <si>
    <t>THE BOULEVARD, LANGFORD LANE, KIDLINGTON, OXFORD OX5 1GB, ENGLAND</t>
  </si>
  <si>
    <t>0967-0645</t>
  </si>
  <si>
    <t>1879-0100</t>
  </si>
  <si>
    <t>DEEP-SEA RES PT II</t>
  </si>
  <si>
    <t>Deep-Sea Res. Part II-Top. Stud. Oceanogr.</t>
  </si>
  <si>
    <t>JUL</t>
  </si>
  <si>
    <t>10.1016/j.dsr2.2022.105121</t>
  </si>
  <si>
    <t>Oceanography</t>
  </si>
  <si>
    <t>2F5IO</t>
  </si>
  <si>
    <t>WOS:000812943100005</t>
  </si>
  <si>
    <t>Raes, EJ; Hörstmann, C; Landry, MR; Beckley, LE; Marin, M; Thompson, P; Antoine, D; Focardi, A; O'Brien, J; Ostrowski, M; Waite, AM</t>
  </si>
  <si>
    <t>Raes, Eric J.; Hoerstmann, Cora; Landry, Michael R.; Beckley, Lynnath E.; Marin, Maxime; Thompson, Peter; Antoine, David; Focardi, Amaranta; O'Brien, James; Ostrowski, Martin; Waite, Anya M.</t>
  </si>
  <si>
    <t>Dynamic change in an ocean desert: Microbial diversity and trophic transfer along the 110?E meridional in the Indian Ocean</t>
  </si>
  <si>
    <t>16S rRNA; 18S rRNA; Bacteria; Eukaryotes; Function; Indian Ocean; Isotopes; HPLC; Food web; Mixotrophy; Zooplankton; IIOE-2</t>
  </si>
  <si>
    <t>RIBOSOMAL-RNA SEQUENCES; LEEUWIN CURRENT SYSTEM; SOUTHERN-OCEAN; COASTAL WATERS; ORGANIC-MATTER; PHYTOPLANKTON; NITROGEN; NITRATE; EDDIES; ZOOPLANKTON</t>
  </si>
  <si>
    <t>The eastern Indian Ocean is among the most oligotrophic regions in the world and has been described as an ocean desert. Limited information exists on microbial community profiles from marker gene data, and an open question in this system is how energy is transported from the base of the food web to higher trophic levels. Here we show that, along a 3300 km long transect in the ultra-oligotrophic eastern Indian Ocean, both alpha and beta diversity metrics for prokaryotic and eukaryotic trophic groups revealed remarkably strong latitudinal trends. The latitudinal Shannon diversity pattern for autotrophic eukaryotes furthermore aligned with the isotopic ??13C ratios of particulate organic carbon, fractionated zooplankton and hand-picked fish larvae, suggesting a close trophic linkage between autotrophic eukaryotes and higher trophic levels. Our data also showed an increasing contribution of eukaryotic mixotrophs and a high contribution of heterotrophic eukaryotes towards warmer waters. These findings highlight that not only the recycling of organic matter via bacterial regeneration is important in this system but that mixo- and heterotrophic eukaryotes play a major role in redistributing energy within the marine food web of these oligotrophic waters. Our data provide a baseline to understand how environmental changes such as warming surface waters might impact the open-ocean food web in this oligotrophic basin.</t>
  </si>
  <si>
    <t>[Raes, Eric J.] Minderoo Fdn, Flourishing Oceans, POB 3155, Nedlands, WA 6009, Australia; [Raes, Eric J.] Dalhousie Univ, Dept Biol, Halifax, NS B3H 4R2, Canada; [Hoerstmann, Cora] Helmholtz Ctr Polar &amp; Marine Res, Ecol Chem, Alfred Wegener Inst, Bremerhaven, Germany; [Landry, Michael R.] Univ Calif San Diego, Scripps Inst Oceanog, La Jolla, CA 92093 USA; [Beckley, Lynnath E.] Murdoch Univ, Environm &amp; Conservat Sci, 90 South St, Murdoch, WA 6150, Australia; [Marin, Maxime] Univ Tasmania, Inst Marine &amp; Antarctic Sci, Hobart, Tas, Australia; [Thompson, Peter] CSIRO, Oceans &amp; Atmosphere, Hobart, Tas 7001, Australia; [Antoine, David] Curtin Univ, Sch Earth &amp; Planetary Sci, Remote Sensing &amp; Satellite Res Grp, Perth, WA 6845, Australia; [Focardi, Amaranta; O'Brien, James; Ostrowski, Martin] Univ Technol Sydney, Climate Change Cluster, Sydney, NSW, Australia; [Waite, Anya M.] Dalhousie Univ, Ocean Frontier Inst, Halifax, NS B3H 4R2, Canada</t>
  </si>
  <si>
    <t>Minderoo Foundation; Dalhousie University; Helmholtz Association; Alfred Wegener Institute, Helmholtz Centre for Polar &amp; Marine Research; University of California System; University of California San Diego; Scripps Institution of Oceanography; Murdoch University; University of Tasmania; Commonwealth Scientific &amp; Industrial Research Organisation (CSIRO); Curtin University; University of Technology Sydney; Dalhousie University</t>
  </si>
  <si>
    <t>Raes, EJ (corresponding author), Minderoo Fdn, Flourishing Oceans, POB 3155, Nedlands, WA 6009, Australia.</t>
  </si>
  <si>
    <t>eraes@minderoo.org</t>
  </si>
  <si>
    <t>Hoerstmann, Cora/ITT-8555-2023; Landry, Michael/HGF-1043-2022; Waite, Anya M/A-5492-2015; Focardi, Amaranta/HLP-8012-2023; Ostrowski, Martin/A-7118-2010; Focardi, Amaranta/AAX-6109-2020</t>
  </si>
  <si>
    <t>Hoerstmann, Cora/0000-0002-0097-2454; Focardi, Amaranta/0000-0002-0340-4225; Ostrowski, Martin/0000-0002-4357-3023; Focardi, Amaranta/0000-0002-0340-4225; O'Brien, James/0000-0002-7665-7127</t>
  </si>
  <si>
    <t>Ocean Frontiers Institute (OFI)</t>
  </si>
  <si>
    <t>Financial support for this work was provided through the Ocean Frontiers Institute (OFI). We would like to thank the Marine Microbes Project consortium (https://data.bioplatforms.com) for contributions to the generation of data used in this publication.</t>
  </si>
  <si>
    <t>10.1016/j.dsr2.2022.105097</t>
  </si>
  <si>
    <t>WOS:000812943100006</t>
  </si>
  <si>
    <t>Soeffker, M; Hollyman, PR; Collins, MA; Hogg, OT; Riley, A; Laptikhovsky, V; Earl, T; Roberts, J; MacLeod, E; Belchier, M; Darby, C</t>
  </si>
  <si>
    <t>Soeffker, Marta; Hollyman, Philip R.; Collins, Martin A.; Hogg, Oliver T.; Riley, Ainsley; Laptikhovsky, Vladimir; Earl, Timothy; Roberts, Jim; MacLeod, Eleanor; Belchier, Mark; Darby, Chris</t>
  </si>
  <si>
    <t>Contrasting life-history traits of two toothfish (Dissostichus spp.) species at their range edge around the South Sandwich Islands</t>
  </si>
  <si>
    <t>Patagonian toothfish; Antarctic toothfish; Dissostichus spp; South Sandwich Islands; Life history; Range edge distribution</t>
  </si>
  <si>
    <t>CCAMLR DIVISION 58.4.3B; GENETIC-STRUCTURE; CLIMATE-CHANGE; ELEGINOIDES; OCEAN; MAWSONI; ATLANTIC; POPULATIONS; BIOLOGY; ECOLOGY</t>
  </si>
  <si>
    <t>The South Sandwich Islands (SSI), a chain of volcanic islands in the Atlantic sector of the Southern Ocean, are home to two large notothenoid species: the Patagonian toothfish Dissostichus eleginoides and the Antarctic toothfish Dissostichus mawsoni. Both species support valuable fisheries throughout the Southern Ocean under management of the Commission for the Conservation of Antarctic Marine Living Resources (CCAMLR). The SSI region, which is located south of the Southern Antarctic Circumpolar Current Front, has a diverse and distinct biodiversity and it represents a range edge for the distribution of both toothfish species. In this paper we have updated and expanded previous biological analyses with recent data, explored the stock hypotheses and links of these species to other regions, and investigated the role of the SSI archipelago in the life cycles of both toothfish species, where they overlap in their distribution. We conclude that Patagonian toothfish around the SSI are linked to the adjacent South Georgia population, but have some unique characteristics, including faster growth and better somatic condition, possibly reflecting ???Bergmann???s rule??? which states that body size increases with decreasing temperature and increasing latitude. By comparison, the Antarctic toothfish at the SSI appear to be the northern extent of a larger stock connecting further south towards the Antarctic continent. Finally, we consider the relative importance of the SSI in the life cycle of both species, including in the context of climatic changes to this region.</t>
  </si>
  <si>
    <t>[Soeffker, Marta; Hogg, Oliver T.; Riley, Ainsley; Laptikhovsky, Vladimir; Earl, Timothy; MacLeod, Eleanor; Darby, Chris] Ctr Environm Fisheries &amp; Aquaculture Sci, Pakefield Rd, Lowestoft NR33 0HT, Suffolk, England; [Soeffker, Marta] Univ East Anglia, Collaborat Ctr Sustainable Use Seas, Norwich Res Pk, Norwich NR4 7TJ, Norfolk, England; [Hollyman, Philip R.; Collins, Martin A.; Belchier, Mark] NERC, British Antarctic Survey, Madingley Rd, Cambridge CB3 0ET, England; [Roberts, Jim] Anemone, Wellington 6022, New Zealand; [Belchier, Mark] Govt South Georgia &amp; South Sandwich Isl, Stanley FIQQ 1ZZ, Falkland Island; [MacLeod, Eleanor] Marine Scotland Sci, Victoria Rd, Aberdeen AB11 9DB, Scotland</t>
  </si>
  <si>
    <t>Centre for Environment Fisheries &amp; Aquaculture Science; University of East Anglia; UK Research &amp; Innovation (UKRI); Natural Environment Research Council (NERC); NERC British Antarctic Survey; Marine Scotland Science (MSS)</t>
  </si>
  <si>
    <t>Soeffker, M (corresponding author), Ctr Environm Fisheries &amp; Aquaculture Sci, Pakefield Rd, Lowestoft NR33 0HT, Suffolk, England.</t>
  </si>
  <si>
    <t>marta.soffker@cefas.co.uk</t>
  </si>
  <si>
    <t>Soeffker, M/KBC-2650-2024; , Martin/ABE-6728-2020; Riley, Ainsley/HQZ-8147-2023; Soeffker, M/D-3258-2009</t>
  </si>
  <si>
    <t>, Martin/0000-0001-7132-8650; Soeffker, M/0000-0002-7131-5486; MacLeod, Eleanor/0000-0002-2843-501X; Hollyman, Philip/0000-0003-2665-5075; Earl, Timothy/0000-0003-4698-9777</t>
  </si>
  <si>
    <t>10.1016/j.dsr2.2022.105098</t>
  </si>
  <si>
    <t>WOS:000812943100004</t>
  </si>
  <si>
    <t>Rodrigues, S; Hernandez-Molina, FJ; Fonnesu, M; Miramontes, E; Rebesco, M; Campbell, DC</t>
  </si>
  <si>
    <t>Rodrigues, S.; Hernandez-Molina, F. J.; Fonnesu, M.; Miramontes, E.; Rebesco, M.; Campbell, D. C.</t>
  </si>
  <si>
    <t>A new classification system for mixed (turbidite-contourite) depositional systems: Examples, conceptual models and diagnostic criteria for modern and ancient records</t>
  </si>
  <si>
    <t>EARTH-SCIENCE REVIEWS</t>
  </si>
  <si>
    <t>Mixed and hybrid systems; Turbidite; Contourite; Seismic stratigraphy; Classification system; Conceptual models</t>
  </si>
  <si>
    <t>SOUTH CHINA SEA; MEDITERRANEAN OUTFLOW WATER; CONTINENTAL RISE WEST; RIVER MOUTH BASIN; DEEP-WATER; ANTARCTIC PENINSULA; SEDIMENTARY PROCESSES; BOTTOM CURRENTS; ICE-SHEET; SANDY CONTOURITES</t>
  </si>
  <si>
    <t>Interactions between along-slope bottom currents and down-slope turbidity flows can create a myriad of features and deposits. Despite numerous efforts to differentiate contourites from turbidites and mixed features, reliable diagnostic criteria are still lacking from the stratigraphic and sedimentological viewpoints. The main aim of this study is to develop criteria to differentiate mixed, along-slope-, and down-slope-generated elements from other deep-water deposits across bathymetric, seismic and sediment core data.Mixed (turbidite-contourite) systems can be placed in three main groups based on their location, dimensions, elongation, lateral migration, spatial and temporal variability: 1) turbidite-dominated mixed systems, 2) synchro-nous systems, and 3) contourite-dominated mixed systems. The persistence of bottom currents -in addition to their velocity, direction, and hydrodynamic fluctuations- is responsible for entraining and redistributing fine-grained particles, carried in suspension by coeval turbidity flows, and reworking previously deposited sediments. Changes in turbidity current velocity, frequency, and duration condition the provision of sediments and devel-opment of turbidites along mixed systems. Several preliminary models are also being proposed in this study, in order to enhance our understanding of the lateral and vertical distribution of mixed systems across the sedi-mentary record. Interactions between along-and down-slope processes may be synchronous, asynchronous or passive. Syn-chronous interactions typically occur within the same physiographic setting and the two processes interact coevally in space and time. Asynchronous interactions are also common across the modern and ancient sedi-mentary records, as bottom currents sweep across the deep-water environments during breaks of the turbidity flows. Passive interactions occur along the distal margins of mixed systems, or when the two processes occur near each other but do not cross over in time. Further controlling factors are held to be influential in the evolution of mixed systems at the short-to long-term; varying degrees of confinement, sediment supply or climatic fluctua-tions can generate cyclic stacking patterns and affect their overall dimensions. Accordingly, mixed systems feature more complex geometries than previously believed, as interactions may generate new secondary pro-cesses and features. Such systems form potential plays and may become future targets for energy geosciences and other research fields.</t>
  </si>
  <si>
    <t>[Rodrigues, S.; Hernandez-Molina, F. J.] Royal Holloway Univ London, Dept Earth Sci, Egham TW20 0EX, Surrey, England; [Fonnesu, M.] Eni SpA, Via Emilia 1, I-20097 San Donato Milanese, Milano, Italy; [Miramontes, E.] Univ Bremen, Fac Geosci, D-28359 Bremen, Germany; [Miramontes, E.] Univ Bremen, MARUM Ctr Marine Environm Sci, D-28359 Bremen, Germany; [Rebesco, M.] Ist Nazl Oceanog &amp; Geofis Sperimentale OGS, Borgo Grotta Gigante 42C, I-34010 Trieste, Italy; [Campbell, D. C.] Geol Survey Canada Atlantic, Bedford Inst Oceanog, 1 Challenger Dr, Dartmouth, NS B2Y 4A2, Canada</t>
  </si>
  <si>
    <t>University of London; Royal Holloway University London; Eni SpA; University of Bremen; University of Bremen; Istituto Nazionale di Oceanografia e di Geofisica Sperimentale; Bedford Institute of Oceanography; Natural Resources Canada; Lands &amp; Minerals Sector - Natural Resources Canada; Geological Survey of Canada</t>
  </si>
  <si>
    <t>Rodrigues, S (corresponding author), Royal Holloway Univ London, Dept Earth Sci, Egham TW20 0EX, Surrey, England.</t>
  </si>
  <si>
    <t>Sara.Rodrigues.2017@live.rhul.ac.uk</t>
  </si>
  <si>
    <t>Rodrigues, Sara/ABG-5049-2021; Rodrigues, Sara/IWD-9868-2023; Rodrigues, Sara/KCY-5884-2024; Rebesco, Michele/B-7462-2014</t>
  </si>
  <si>
    <t>Rodrigues, Sara/0000-0002-4806-8480; Rodrigues, Sara/0000-0002-4806-8480; Rebesco, Michele/0000-0002-9492-4081</t>
  </si>
  <si>
    <t>BP (United Kingdom); ENI (Italy); TOTAL (France); ExxonMobil (United States); Wintershall Dea (Germany); TGS (United Kingdom)</t>
  </si>
  <si>
    <t>BP (United Kingdom); ENI (Italy); TOTAL (France)(Total SA); ExxonMobil (United States)(Exxon Mobil Corporation); Wintershall Dea (Germany); TGS (United Kingdom)</t>
  </si>
  <si>
    <t>This project was funded through the Joint Industry Project (JIP) supported by BP (United Kingdom) , ENI (Italy) , TOTAL (France) , ExxonMobil (United States) , Wintershall Dea (Germany) , and TGS (United Kingdom) within the framework of The Drifters Research Group at Royal Holloway, University of London (RHUL) . We thank the captain, officers, crew, support staff and scientists who participated in the research cruises that provided new data for this study. We are grateful to Editor Dr. Jingping Xu and reviewers Dr. David Van Rooij and Dr. Joris Eggenhuisen for their valuable suggestions, which have greatly improved this manuscript.</t>
  </si>
  <si>
    <t>ELSEVIER</t>
  </si>
  <si>
    <t>AMSTERDAM</t>
  </si>
  <si>
    <t>RADARWEG 29, 1043 NX AMSTERDAM, NETHERLANDS</t>
  </si>
  <si>
    <t>0012-8252</t>
  </si>
  <si>
    <t>1872-6828</t>
  </si>
  <si>
    <t>EARTH-SCI REV</t>
  </si>
  <si>
    <t>Earth-Sci. Rev.</t>
  </si>
  <si>
    <t>10.1016/j.earscirev.2022.104030</t>
  </si>
  <si>
    <t>Geosciences, Multidisciplinary</t>
  </si>
  <si>
    <t>2E6VA</t>
  </si>
  <si>
    <t>hybrid</t>
  </si>
  <si>
    <t>WOS:000812363800001</t>
  </si>
  <si>
    <t>Yildiz, SY; Finore, I; Leone, L; Romano, I; Lama, L; Kasavi, C; Nicolaus, B; Oner, ET; Poli, A</t>
  </si>
  <si>
    <t>Yildiz, Songul Yasar; Finore, Ilaria; Leone, Luigi; Romano, Ida; Lama, Licia; Kasavi, Ceyda; Nicolaus, Barbara; Oner, Ebru Toksoy; Poli, Annarita</t>
  </si>
  <si>
    <t>Genomic Analysis Provides New Insights Into Biotechnological and Industrial Potential of Parageobacillus thermantarcticus M1</t>
  </si>
  <si>
    <t>FRONTIERS IN MICROBIOLOGY</t>
  </si>
  <si>
    <t>Parageobacillus thermantarcticus; thermophiles; genome; next-generation sequencing; exopolysaccharides</t>
  </si>
  <si>
    <t>BACILLUS-THERMANTARCTICUS; GEOBACILLUS; PURIFICATION; THERMOGLUCOSIDASIUS; METABOLISM; SUBTILIS; SEQUENCE; CHOLINE; GENUS</t>
  </si>
  <si>
    <t>Parageobacillus thermantarcticus strain M1 is a Gram-positive, motile, facultative anaerobic, spore forming, and thermophilic bacterium, isolated from geothermal soil of the crater of Mount Melbourne (74 degrees 22 ' S, 164 degrees 40 ' E) during the Italian Antarctic Expedition occurred in Austral summer 1986-1987. Strain M1 demonstrated great biotechnological and industrial potential owing to its ability to produce exopolysaccharides (EPSs), ethanol and thermostable extracellular enzymes, such as an xylanase and a beta-xylosidase, and intracellular ones, such as xylose/glucose isomerase and protease. Furthermore, recent studies revealed its high potential in green chemistry due to its use in residual biomass transformation/valorization and as an appropriate model for microbial astrobiology studies. In the present study, using a systems-based approach, genomic analysis of P. thermantarcticus M1 was carried out to enlighten its functional characteristics. The elucidation of whole-genome organization of this thermophilic cell factory increased our understanding of biological mechanisms and pathways, by providing valuable information on the essential genes related to the biosynthesis of nucleotide sugar precursors, monosaccharide unit assembly, as well as the production of EPSs and ethanol. In addition, gene prediction and genome annotation studies identified genes encoding xylanolytic enzymes that are required for the conversion of lignocellulosic materials to high-value added molecules. Our findings pointed out the significant potential of strain M1 in various biotechnological and industrial applications considering its capacity to produce EPSs, ethanol and thermostable enzymes via the utilization of lignocellulosic waste materials.</t>
  </si>
  <si>
    <t>[Yildiz, Songul Yasar] Istanbul Medeniyet Univ, Dept Bioengn, Istanbul, Turkey; [Finore, Ilaria; Leone, Luigi; Romano, Ida; Lama, Licia; Nicolaus, Barbara; Poli, Annarita] CNR, Inst Biomol Chem ICB, Naples, Italy; [Kasavi, Ceyda; Oner, Ebru Toksoy] Marmara Univ, Dept Bioengn Ind Biotechnol &amp; Syst Biol IBSB, Istanbul, Turkey</t>
  </si>
  <si>
    <t>Istanbul Medeniyet University; Consiglio Nazionale delle Ricerche (CNR); Istituto di Chimica Biomolecolare (ICB-CNR); Marmara University</t>
  </si>
  <si>
    <t>Finore, I (corresponding author), CNR, Inst Biomol Chem ICB, Naples, Italy.;Kasavi, C (corresponding author), Marmara Univ, Dept Bioengn Ind Biotechnol &amp; Syst Biol IBSB, Istanbul, Turkey.</t>
  </si>
  <si>
    <t>ilaria.finore@icb.cnr.it; ceyda.kasavi@marmara.edu.tr</t>
  </si>
  <si>
    <t>Kasavi, Ceyda/GVS-6400-2022; Toksoy Oner, Ebru/E-2637-2014; Yasar Yildiz, Songul/KBD-3464-2024</t>
  </si>
  <si>
    <t>Kasavi, Ceyda/0000-0003-2970-387X; Toksoy Oner, Ebru/0000-0001-6054-8842; Yasar Yildiz, Songul/0000-0001-8875-3637</t>
  </si>
  <si>
    <t>Programma Nazionale di Ricerche in Antartide (PNRA) [PNRA18_00232]</t>
  </si>
  <si>
    <t>Programma Nazionale di Ricerche in Antartide (PNRA)</t>
  </si>
  <si>
    <t>Funding This research was partially supported by the grants from the Programma Nazionale di Ricerche in Antartide (PNRA; grant no. PNRA18_00232).</t>
  </si>
  <si>
    <t>FRONTIERS MEDIA SA</t>
  </si>
  <si>
    <t>LAUSANNE</t>
  </si>
  <si>
    <t>AVENUE DU TRIBUNAL FEDERAL 34, LAUSANNE, CH-1015, SWITZERLAND</t>
  </si>
  <si>
    <t>1664-302X</t>
  </si>
  <si>
    <t>FRONT MICROBIOL</t>
  </si>
  <si>
    <t>Front. Microbiol.</t>
  </si>
  <si>
    <t>JUN 9</t>
  </si>
  <si>
    <t>10.3389/fmicb.2022.923038</t>
  </si>
  <si>
    <t>Microbiology</t>
  </si>
  <si>
    <t>2I3CW</t>
  </si>
  <si>
    <t>Green Published, gold</t>
  </si>
  <si>
    <t>WOS:000814861300001</t>
  </si>
  <si>
    <t>Kaliszuk, SJ; Morgan, NI; Ayers, TN; Sparacino-Watkins, CE; DeMartino, AW; Bocian, K; Ragireddy, V; Tong, Q; Tejero, J</t>
  </si>
  <si>
    <t>Kaliszuk, Stefan J.; Morgan, Natasha I.; Ayers, Taylor N.; Sparacino-Watkins, Courtney E.; DeMartino, Anthony W.; Bocian, Kaitlin; Ragireddy, Venkata; Tong, Qin; Tejero, Jests</t>
  </si>
  <si>
    <t>Regulation of nitrite reductase and lipid binding properties of cytoglobin by surface and distal histidine mutations</t>
  </si>
  <si>
    <t>NITRIC OXIDE-BIOLOGY AND CHEMISTRY</t>
  </si>
  <si>
    <t>Cytoglobin; Nitrite reduction; Nitric oxide; Protein-lipid interaction</t>
  </si>
  <si>
    <t>OXIDE METABOLISM; ANTARCTIC FISH; HEME; NEUROGLOBIN; MYOGLOBIN; POCKET; ACTIVATION; TRANSITION; MECHANISMS; REACTIVITY</t>
  </si>
  <si>
    <t>Cytoglobin is a hemoprotein widely expressed in fibroblasts and related cell lineages with yet undefined physiological function. Cytoglobin, as other heme proteins, can reduce nitrite to nitric oxide (NO) providing a route to generate NO in vivo in low oxygen conditions. In addition, cytoglobin can also bind lipids such as oleic acid and cardiolipin with high affinity. These two processes are potentially relevant to cytoglobin function. Little is known about how specific amino acids contribute to nitrite reduction and lipid binding. Here we investigate the role of the distal histidine His81 (E7) and several surface residues on the regulation of nitrite reduction and lipid binding. We observe that the replacement of His81 (E7) greatly increases heme reactivity towards nitrite, with nitrite reduction rate constants of up to 1100 M(-1)s(-1) for the His81Ala mutant. His81 (E7) mutation causes a small decrease in lipid binding affinity, however experiments on the presence of imidazole indicate that His81 (E7) does not compete with the lipid for the binding site. Mutations of the surface residues Arg84 and Lys116 largely impair lipid binding. Our results suggest that dissociation of His81 (E7) from the heme mediates the formation of a hydrophobic cavity in the proximal heme side that can accommodate the lipid, with important contributions of the hydrophobic patch around residues Thr91, Val105, and Leu108, whereas the positive charges from Arg84 and Lys116 stabilize the carboxyl group of the fatty acid. Gain and loss-of-function mutations described here can serve as tools to study in vivo the physiological role of these putative cytoglobin functions.</t>
  </si>
  <si>
    <t>[Kaliszuk, Stefan J.; Morgan, Natasha I.; Ayers, Taylor N.; Sparacino-Watkins, Courtney E.; DeMartino, Anthony W.; Bocian, Kaitlin; Ragireddy, Venkata; Tong, Qin; Tejero, Jests] Univ Pittsburgh, Heart Lung Blood &amp; Vasc Med Inst, Pittsburgh, PA 15261 USA; [Sparacino-Watkins, Courtney E.; Tejero, Jests] Univ Pittsburgh, Div Pulm Allergy &amp; Crit Care Med, Pittsburgh, PA 15261 USA; [Tejero, Jests] Univ Pittsburgh, Swanson Sch Engn, Dept Bioengn, Pittsburgh, PA 15260 USA; [Tejero, Jests] Univ Pittsburgh, Dept Pharmacol &amp; Chem Biol, Pittsburgh, PA 15261 USA; [Tejero, Jests] Univ Pittsburgh, Heart Lung Blood &amp; Vasc Med Inst, E1246 Biomed Sci Tower,200 Lothrop St, Pittsburgh, PA 15261 USA</t>
  </si>
  <si>
    <t>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t>
  </si>
  <si>
    <t>Tejero, J (corresponding author), Univ Pittsburgh, Heart Lung Blood &amp; Vasc Med Inst, E1246 Biomed Sci Tower,200 Lothrop St, Pittsburgh, PA 15261 USA.</t>
  </si>
  <si>
    <t>jet68@pitt.edu</t>
  </si>
  <si>
    <t>Tejero, Jesus/JAC-4187-2023; Tejero, Jesus/G-3953-2017; qin, tong/JEZ-6348-2023</t>
  </si>
  <si>
    <t>Tejero, Jesus/0000-0003-3245-9978; qin, tong/0000-0001-6331-2851; Sparacino-Watkins, Courtney/0000-0002-2954-9633; Ayers, Taylor/0000-0003-0680-0773</t>
  </si>
  <si>
    <t>Hemophilia Center of Western Pennsylvania; National Institutes of Health [P01 HL103455, T32 HL110849, R01 HL125886]; Vitalant</t>
  </si>
  <si>
    <t>Hemophilia Center of Western Pennsylvania; National Institutes of Health(United States Department of Health &amp; Human ServicesNational Institutes of Health (NIH) - USA); Vitalant</t>
  </si>
  <si>
    <t>This work was supported by funding from the Vitalant (formerly Institute for Transfusion Medicine) and the Hemophilia Center of Western Pennsylvania (to Mark T. Gladwin, University of Pittsburgh) , National Institutes of Health [Grant numbers P01 HL103455 and T32 HL110849 to Mark T. Gladwin, and Grant number R01 HL125886 to Mark T. Gladwin and J.T] . A.W.D. is supported by National Institutes of Health [Grant number T32 HL110849] .</t>
  </si>
  <si>
    <t>ACADEMIC PRESS INC ELSEVIER SCIENCE</t>
  </si>
  <si>
    <t>SAN DIEGO</t>
  </si>
  <si>
    <t>525 B ST, STE 1900, SAN DIEGO, CA 92101-4495 USA</t>
  </si>
  <si>
    <t>1089-8603</t>
  </si>
  <si>
    <t>1089-8611</t>
  </si>
  <si>
    <t>NITRIC OXIDE-BIOL CH</t>
  </si>
  <si>
    <t>Nitric Oxide-Biol. Chem.</t>
  </si>
  <si>
    <t>AUG 1</t>
  </si>
  <si>
    <t>10.1016/j.niox.2022.06.001</t>
  </si>
  <si>
    <t>Biochemistry &amp; Molecular Biology; Cell Biology</t>
  </si>
  <si>
    <t>2D0FV</t>
  </si>
  <si>
    <t>hybrid, Green Accepted</t>
  </si>
  <si>
    <t>WOS:000811233300002</t>
  </si>
  <si>
    <t>Corre, PVF; Jovane, L; Murton, BJ; Sumida, PYG</t>
  </si>
  <si>
    <t>Corre, Paulo Vinicius Ferraz; Jovane, Luigi; Murton, Bramley J.; Sumida, Paulo Yukio Gomes</t>
  </si>
  <si>
    <t>Benthic megafauna habitats, community structure and environmental drivers at Rio Grande Rise (SW Atlantic)</t>
  </si>
  <si>
    <t>DEEP-SEA RESEARCH PART I-OCEANOGRAPHIC RESEARCH PAPERS</t>
  </si>
  <si>
    <t>Biodiversity; Geomorphology; Fe -Mn crusts; Deep-sea mining; Rio Grande rise; SW Atlantic</t>
  </si>
  <si>
    <t>SEA-FLOOR; HEXACTINELLID SPONGE; SOUTH ATLANTIC; WATER MASSES; DEEP; SEAMOUNTS; ECOSYSTEM; ASSEMBLAGES; SERVICES; MOTIONS</t>
  </si>
  <si>
    <t>The Rio Grande Rise (RGR) is a large and geomorphologically complex feature located in the Southwest Atlantic, with great commercial and scientific interest due to its potential for mining rare earth elements that are critical for low-carbon technologies. Brazilian interest in this area led to the submission of a petition to the UN Commission on the Limits of the Continental Shelf in 2018 to include RGR on the limits of its continental shelf beyond 200 nautical miles. However, mining activities are potentially harmful to deep-sea ecosystems and will likely cause some extent of biodiversity loss. Thus, baseline and continuous environmental studies in the RGR are important to address potential conflicts between mineral extraction and the conservation of deep-sea biodiversity. The RGR is characterized by a series of summit plateaus of ~600 m deep divided NE-SW by a rift valley, up to 2000 m deep. In 2018, the plateaus and rift of a small area in RGR (30 degrees 35 ' S - 31 degrees 03 ' S, 35 degrees 36 ' W - 36 degrees 16 ' W) were explored through 13 dives of the robotic underwater vehicle (RUV) HyBIS. Videos were analyzed for the description of structuring factors (topography and habitat types) and to record benthic megafauna occurrences. Video transects revealed highly heterogeneous and rapidly changing habitats. Eleven habitats, five in the rift and six in the plateaus are proposed based on geomorphology, slope, and substrate textures. We recorded 17,008 megabenthic organisms classified in 83 morphotypes and six different phyla, from which Porifera (42.7%) and Cnidaria (41.5%) were the most representative. Samples were characterized by a high dominance and the dissimilarities result chiefly from differences in abundance scores. PERMANOVA tests indicated that Habitat and Region variables were the most important to explain structure within the community data, followed by depth and slope. The rift floor exhibited a low abundance of megabenthic epifauna, except in a sinkhole in the northern part of the rift. The lower and upper rift wall were characterized by different communities delimited by the transition between the Antarctic Intermediate Water and the Upper Circumpolar Deep Water. The habitats formed by Fe-Mn deposits were dominated by distinct communities, which were rarely observed elsewhere. Additionally, we found variations in community structure at regional scales (20-30 km), with distinct communities on each side of the rift and at the southwest of the study area. Our results contribute toward understanding the diversity, biogeography, and environmental drivers of the RGR. Fauna distribution is patchy, linked to habitats with potential mining resources, and dominated by Vulnerable Marine Ecosystems (VMEs) indicator taxa. Extensive community analysis should occur at a given site prior to consideration for the exploitation of natural resources.</t>
  </si>
  <si>
    <t>[Corre, Paulo Vinicius Ferraz; Jovane, Luigi; Sumida, Paulo Yukio Gomes] Univ Sao Paulo, Inst Oceanog, Sao Paulo, Brazil; [Murton, Bramley J.] Natl Oceanog Ctr, Southampton, England</t>
  </si>
  <si>
    <t>Universidade de Sao Paulo; NERC National Oceanography Centre</t>
  </si>
  <si>
    <t>Corre, PVF (corresponding author), Univ Sao Paulo, Inst Oceanog, Sao Paulo, Brazil.</t>
  </si>
  <si>
    <t>correapvf@usp.br</t>
  </si>
  <si>
    <t>Sumida, Paulo Y G/F-2561-2011; Jovane, Luigi/AAH-5438-2020</t>
  </si>
  <si>
    <t>Sumida, Paulo Y G/0000-0001-7549-4541; Jovane, Luigi/0000-0003-4348-4714; Correa, Paulo/0000-0001-6474-7355</t>
  </si>
  <si>
    <t>Fundacao de Amparo a Pesquisa do Estado de Sao Paulo (FAPESP, BR) [2014/50820-7, 2017/11884-8]; Natural Environment Research Council (NERC, UK); CNPq [301554/2019-6]; NERC [NE/M011186/1] Funding Source: UKRI</t>
  </si>
  <si>
    <t>Fundacao de Amparo a Pesquisa do Estado de Sao Paulo (FAPESP, BR)(Fundacao de Amparo a Pesquisa do Estado de Sao Paulo (FAPESP)); Natural Environment Research Council (NERC, UK)(UK Research &amp; Innovation (UKRI)Natural Environment Research Council (NERC)); CNPq(Conselho Nacional de Desenvolvimento Cientifico e Tecnologico (CNPQ)); NERC(UK Research &amp; Innovation (UKRI)Natural Environment Research Council (NERC))</t>
  </si>
  <si>
    <t>This study was funded by the Fundacao de Amparo a Pesquisa do Estado de Sao Paulo (FAPESP, BR) grant number 2014/50820-7 and the Natural Environment Research Council (NERC, UK), as part of the Brazil-UK joint project Marine ferromanganese deposits: a major resource of E-tech elements. PVFC was funded by FAPESP grant number 2017/11884-8 and PYGS was funded by CNPq grant number 301554/2019-6. We are grateful to the Captain and Crew Members of the N/Oc. Alpha Crucis and RSS Discovery for their professionalism and dedication to data acquisition. We thank Cristiana Castello-Branco (Smithsonian Institution), Eduardo Hajdu (Museu Nacional - UFRJ), Marcelo Kitahara (UNIFESP), Jose Angel Alvarez Perez (CTTMar - UNIVALI), Sergio Nascimento Stampar (UNESP-FCL/Assis) and Renata Carolina Mikosz Arantes (UFSC) for their invaluable help to identify the fauna observed on the videos.</t>
  </si>
  <si>
    <t>0967-0637</t>
  </si>
  <si>
    <t>1879-0119</t>
  </si>
  <si>
    <t>DEEP-SEA RES PT I</t>
  </si>
  <si>
    <t>Deep-Sea Res. Part I-Oceanogr. Res. Pap.</t>
  </si>
  <si>
    <t>AUG</t>
  </si>
  <si>
    <t>10.1016/j.dsr.2022.103811</t>
  </si>
  <si>
    <t>2D7NR</t>
  </si>
  <si>
    <t>WOS:000811729300001</t>
  </si>
  <si>
    <t>Gao, LB; Zu, YC; Guo, GJ; Hou, SS</t>
  </si>
  <si>
    <t>Gao, Libao; Zu, Yongcan; Guo, Guijun; Hou, Saisai</t>
  </si>
  <si>
    <t>Recent changes and distribution of the newly-formed Cape Darnley Bottom Water, East Antarctica</t>
  </si>
  <si>
    <t>Newly-formed CDBW; Distribution; Pathway; Decadal change; Sea ice production</t>
  </si>
  <si>
    <t>SEA-ICE PRODUCTION; SOUTHERN-OCEAN; AMSR-E; DEEP; CIRCULATION; OCEANOGRAPHY; ABYSSAL; MASSES; HEAT; FLOW</t>
  </si>
  <si>
    <t>Hydrographic top-to-bottom CTDs and profiling float profiles were collected during 2003-2020 periods in the south-west Indian Ocean sector of the Antarctic margin. Those calibrated dissolved oxygen, temperature and salinity records were used to document the distribution, pathway and changes of the newly-formed Cape Darnley Bottom Water (CDBW). We found that the newly-formed CDBW, with high fractions (50-90%) in the bottom 300 m, primarily appeared on the continental slope (64.5 degrees-70 degrees E) and the abyssal ocean (57 degrees-64.5 degrees E) in the eastern Cooperation Sea. Those distributions of CDBW fractions suggested a pathway originating from the Cape Darnley Polynya (CDP) and descending down Wild and Daly Canyons, and finally accumulating in the northwest abyssal ocean. The newly-formed CDBW presented decadal changes in potential temperature, salinity, dissolved oxygen, and neutral density between 2003-2006 and 2013-2020. It showed significant cooling (similar to 0.098 degrees C/decade), freshening (similar to 0.013/decade), increasing dissolved oxygen (similar to 11.8 mu mol/kg/decade) rates on the continental slope just off CDP, while warming (0.018-0.038 degrees C/decade), freshening (0.0044-0.0055/decade), decreasing density (0.009-0.014 kg/m(3)/decade) and increasing dissolved oxygen (4-12 mu mol/kg/decade) in the Daly Canyon. The most likely explanation of those high change rates is the enhanced CDBW formation caused by increased cascading Dense Shelf Water (DSW) plumes in Daly Canyon, and subsequently enhanced entrainment of warmer mid-depth Modified Circumpolar Deep Water (MCDW). In the northwest abyssal plain, the potential temperature and dissolved oxygen show little change while the freshening and more buoyant signals remain considerable, which might be influenced by the changes of AABWs from different sources. Finally, we relate the recent changes of newly-formed CDBW to the Sea Ice Production (SIP) change in the CDP. The SIP in the CDP shows significant increasing trends (0.52 m/decade) during 2002-2020. It increased by 12.5% during this period, which indicates an increased formation of regional DSW driven by the sea-ice formation and associated brine rejection, thus increasing formation of CDBW. Those processes were likely responsible for the decadal changes of the recently-formed CDBW.</t>
  </si>
  <si>
    <t>[Gao, Libao; Zu, Yongcan; Guo, Guijun] Minist Nat Resources, Key Lab Marine Sci &amp; Numer Modeling, Inst Oceanog 1, Qingdao 266061, Peoples R China; [Gao, Libao; Zu, Yongcan; Guo, Guijun] Pilot Natl Lab Marine Sci &amp; Technol, Lab Reg Oceanog &amp; Numer Modeling, Qingdao 266237, Peoples R China; [Gao, Libao; Zu, Yongcan; Guo, Guijun] Shandong Key Lab Marine Sci &amp; Numer Modeling, Qingdao 266061, Peoples R China; [Hou, Saisai] Ocean Univ China, Phys Oceanog Lab, Qingdao 266100, Peoples R China</t>
  </si>
  <si>
    <t>Ministry of Natural Resources of the People's Republic of China; First Institute of Oceanography, Ministry of Natural Resources; Laoshan Laboratory; Ocean University of China</t>
  </si>
  <si>
    <t>Gao, LB (corresponding author), Minist Nat Resources, Key Lab Marine Sci &amp; Numer Modeling, Inst Oceanog 1, Qingdao 266061, Peoples R China.</t>
  </si>
  <si>
    <t>gaolb@fio.org.cn</t>
  </si>
  <si>
    <t>Zu, Yongcan/KHU-0219-2024; Guo, Guijun/AAO-3686-2021</t>
  </si>
  <si>
    <t>Hou, Saisai/0000-0001-9878-4314; Zu, Yongcan/0000-0002-0097-4644; Guo, Guijun/0000-0002-1437-1561; Gao, Libao/0000-0002-0402-9340</t>
  </si>
  <si>
    <t>Ministry of Natural Resources of the People's Republic of China; Basic Scientific Fund for National Public Research Institutes of China [2018S02]; NSFC [41876231]; National Key R&amp;D Program of China [2018YFA0605701, 2019YFC1509102]; program of Impact and Response of Antarctic Seas to Climate Change [IRASCC 01-01-01A]</t>
  </si>
  <si>
    <t>Ministry of Natural Resources of the People's Republic of China; Basic Scientific Fund for National Public Research Institutes of China; NSFC(National Natural Science Foundation of China (NSFC)); National Key R&amp;D Program of China; program of Impact and Response of Antarctic Seas to Climate Change</t>
  </si>
  <si>
    <t>This work was supported by Ministry of Natural Resources of the People's Republic of China, the program of Impact and Response of Antarctic Seas to Climate Change (IRASCC 01-01-01A), the Basic Scientific Fund for National Public Research Institutes of China (2018S02), the NSFC grant (41876231) and the National Key R&amp;D Program of China (2018YFA0605701, 2019YFC1509102). We are grateful to the staff of Chinese Arctic and Antarctic Administration (CAA) and the crew of the R/V XUELONG2 for their professional supports in the CHINARE-36 cruise. We also thank Walker Smith and anonymous reviewers for their helpful comments.</t>
  </si>
  <si>
    <t>10.1016/j.dsr2.2022.105119</t>
  </si>
  <si>
    <t>2F4WN</t>
  </si>
  <si>
    <t>WOS:000812911700003</t>
  </si>
  <si>
    <t>Liu, CL; Zhang, C; Liu, Y; Ye, ZJ; Zhang, J; Duan, M; Tian, YJ</t>
  </si>
  <si>
    <t>Liu, Chunlin; Zhang, Chi; Liu, Yang; Ye, Zhenjiang; Zhang, Jie; Duan, Mi; Tian, Yongjun</t>
  </si>
  <si>
    <t>Age and growth of Antarctic deep-sea smelt (Bathylagus antarcticus), an important mesopelagic fish in the Southern Ocean</t>
  </si>
  <si>
    <t>Bathylagus antarcticus; Mesopelagic fish; Mixed-effects model; Otoliths; Ross and Amundsen seas; Cosmonaut Sea</t>
  </si>
  <si>
    <t>TOOTHFISH DISSOSTICHUS-ELEGINOIDES; SCOTIA SEA; COMMUNITY STRUCTURE; BACK-CALCULATION; PELAGIC FISHES; MYCTOPHID FISH; WEDDELL SEA; ICE-EDGE; ROSS SEA; WATERS</t>
  </si>
  <si>
    <t>As one of the most abundant mesopelagic fishes, the Antarctic deep-sea smelt Bathylagus antarcticus plays an important role in the Southern Ocean ecosystem. However, because of a lack of studies on this species, there are major gaps in our knowledge of its life history such as age and growth pattern. Fish were collected from the Ross and Amundsen seas in the southern part of the Pacific sector, and from the Cosmonaut Sea in the southwestern part of the Indian sector, in austral summer of 2020. Age determination was made from an analysis of otoliths, and growth curves were estimated through mixed-effects models based on back-calculated length-at-age data. Bathylagus antarcticus shows a positive allometric relationship between total length and wet weight; the results indicate that it can live to age 17 years; and the von Bertalanffy growth function was estimated on the population level with L-infinity = 143.83 mm, K = 0.14 year(-1), and t(0) = -0.64 year. Fish in the Ross and Amundsen seas showed larger mean asymptotic length than that fish in the Cosmonaut Sea, and the K values and otolith growth increments in the first 6 years differed between regions. This work is the first to estimate the age and growth of B. antarcticus, and forms an important basis of forthcoming studies on population dynamics and ecosystems in the Southern Ocean. The long lifespan and slow growth of this species make it a potentially suitable environmental indicator, to be investigated through tools like otolith microchemistry analysis.</t>
  </si>
  <si>
    <t>[Liu, Chunlin; Zhang, Chi; Liu, Yang; Ye, Zhenjiang; Duan, Mi; Tian, Yongjun] Ocean Univ China, Key Lab Mariculture, Minist Educ, Qingdao 266003, Peoples R China; [Zhang, Jie] Chinese Acad Sci, Key Lab Zool Systemat &amp; Evolut, Beijing 100101, Peoples R China; [Tian, Yongjun] Ocean Univ China, Frontiers Sci Ctr Deep Ocean Multispheres &amp; Earth, Qingdao 266100, Peoples R China; [Tian, Yongjun] Pilot Natl Lab Marine Sci &amp; Technol, Lab Marine Fisheries Sci &amp; Food Prod Proc, Qingdao 266237, Peoples R China</t>
  </si>
  <si>
    <t>Ocean University of China; Chinese Academy of Sciences; Ocean University of China; Laoshan Laboratory</t>
  </si>
  <si>
    <t>Tian, YJ (corresponding author), Ocean Univ China, Coll Fisheries, Qingdao 266003, Peoples R China.</t>
  </si>
  <si>
    <t>yjtian@ouc.edu.cn</t>
  </si>
  <si>
    <t>Han, Yang/JVN-5921-2024; Liu, Yang/AAK-3617-2020</t>
  </si>
  <si>
    <t>Liu, Yang/0000-0001-8548-0223</t>
  </si>
  <si>
    <t>Chinese Arctic and Antarctic Administration (CAA), Ministry of Natural Resources of the People's Republic of China [IRASCC 01-02-05C]</t>
  </si>
  <si>
    <t>Chinese Arctic and Antarctic Administration (CAA), Ministry of Natural Resources of the People's Republic of China</t>
  </si>
  <si>
    <t>We acknowledge crew members on R/V Xuelong and R/V Xuelong 2 and expedition scientists for their help with sample collection during the 36th Chinese National Antarctic Research Expedition. We extend our gratitude to two annoymous reviewers and to the editors for their valuable suggestions on the manuscript. This work was supported by the research program Impact and Response of Antarctic Seas to Climate Change (Grant No. IRASCC 01-02-05C) from Chinese Arctic and Antarctic Administration (CAA), Ministry of Natural Resources of the People's Republic of China.</t>
  </si>
  <si>
    <t>10.1016/j.dsr2.2022.105122</t>
  </si>
  <si>
    <t>WOS:000812911700001</t>
  </si>
  <si>
    <t>Gili, S; Vanderstraeten, A; Chaput, A; King, J; Gaiero, DM; Delmonte, B; Vallelonga, P; Formenti, P; Di Biagio, C; Cazanau, M; Pangui, E; Doussin, JF; Mattielli, N</t>
  </si>
  <si>
    <t>Gili, Stefania; Vanderstraeten, Aubry; Chaput, Amelie; King, James; Gaiero, Diego M.; Delmonte, Barbara; Vallelonga, Paul; Formenti, Paola; Di Biagio, Claudia; Cazanau, Mathieu; Pangui, Edouard; Doussin, Jean-Francois; Mattielli, Nadine</t>
  </si>
  <si>
    <t>South African dust contribution to the high southern latitudes and East Antarctica during interglacial stages</t>
  </si>
  <si>
    <t>COMMUNICATIONS EARTH &amp; ENVIRONMENT</t>
  </si>
  <si>
    <t>RARE-EARTH-ELEMENTS; C ICE-CORE; DOME-C; SOUTHWESTERN AFRICA; ATLANTIC SECTOR; AEOLIAN DUST; NAMIB DESERT; MINERAL DUST; TALOS DOME; CLIMATE</t>
  </si>
  <si>
    <t>Mineral dust is a natural tracer of atmospheric composition and climate variability. Yet, there is still much to be known about the Southern Hemisphere dust cycle. Major efforts have attempted to solve the puzzle of the origin of the potential source areas contributing dust to the Southern Ocean and East Antarctica. Here we present a comprehensive geochemical characterization of a source area, whose role as a dust supplier to high latitude environments has significantly been underestimated. Sediments collected within the major dust-producing areas along the Namibian coast in Southern Africa (Kuiseb, Omaruru and Huab river catchments and the Namib Sand Sea region), were analyzed for radiogenic isotope ratios and rare earth element concentrations. We find that during warm periods, the Southern African dust signature can be found in archives of the Southern Hemisphere, especially in the Atlantic sector of the Southern Ocean and peripheral areas of the East Antarctic plateau. Southern Africa represents a non-negligible source of dust to the high latitude environments of the Southern Hemisphere during warm periods, according to geochemical and isotopic data from the Namibian coast</t>
  </si>
  <si>
    <t>[Gili, Stefania; Vanderstraeten, Aubry; Mattielli, Nadine] Univ Libre Bruxelles ULB, Dept Geosci Environm &amp; Soc DGES, Lab G Time, B-1050 Brussels, Belgium; [Gili, Stefania] Princeton Univ, Dept Geosci, Princeton, NJ 08544 USA; [Vanderstraeten, Aubry] Univ Littoral Cote dOpale, Univ Lille, CNRS, UMR 8187,LOG Lab Oceanol &amp; Geosci, F-62930 Wimereux, France; [Chaput, Amelie; King, James] Univ Montreal, Dept Geog, Lab Eros Eolienne, Montreal, PQ, Canada; [Gaiero, Diego M.] Univ Nacl Cordoba, CICTERRA CONICET, Cordoba, Argentina; [Delmonte, Barbara] Univ Milano Bicocca, Dept Environm &amp; Earth Sci, Milan, Italy; [Vallelonga, Paul] Univ Western Australia, UWA Oceans Inst, Perth, WA, Australia; [Formenti, Paola; Di Biagio, Claudia; Cazanau, Mathieu; Pangui, Edouard; Doussin, Jean-Francois] Univ Paris Cite, F-75013 Paris, France; [Formenti, Paola; Di Biagio, Claudia; Cazanau, Mathieu; Pangui, Edouard; Doussin, Jean-Francois] Univ Paris Est Creteil, CNRS, USA, F-75013 Paris, France</t>
  </si>
  <si>
    <t>Universite Libre de Bruxelles; Princeton University; Universite du Littoral-Cote-d'Opale; Universite de Lille; Centre National de la Recherche Scientifique (CNRS); CNRS - National Institute for Earth Sciences &amp; Astronomy (INSU); Universite de Montreal; Consejo Nacional de Investigaciones Cientificas y Tecnicas (CONICET); National University of Cordoba; University of Milano-Bicocca; University of Western Australia; Universite Paris Cite; Centre National de la Recherche Scientifique (CNRS); Universite Paris-Est-Creteil-Val-de-Marne (UPEC)</t>
  </si>
  <si>
    <t>Gili, S (corresponding author), Univ Libre Bruxelles ULB, Dept Geosci Environm &amp; Soc DGES, Lab G Time, B-1050 Brussels, Belgium.;Gili, S (corresponding author), Princeton Univ, Dept Geosci, Princeton, NJ 08544 USA.</t>
  </si>
  <si>
    <t>sgili@princeton.edu</t>
  </si>
  <si>
    <t>Delmonte, Barbara/L-2555-2015; DOUSSIN, Jean-Francois/AAT-3084-2021</t>
  </si>
  <si>
    <t>Delmonte, Barbara/0000-0002-9074-2061; DOUSSIN, Jean-Francois/0000-0002-8042-7228; Gili, Stefania/0000-0001-9506-9016</t>
  </si>
  <si>
    <t>Belgian Federal Science Policy Office (BELSPO) fellowship [BR/175/A2/CHASE 12]; F.R.S-FNRS [2.5016.12, 40007934]; European Union [730997]; Natural Science and Engineering Research Council of Canada [RGPIN-2016-05417]; Ministry of the Environment and Transport [2255/2017]; National Commission on Research, Science, Technology [RPIV00272018]</t>
  </si>
  <si>
    <t>Belgian Federal Science Policy Office (BELSPO) fellowship; F.R.S-FNRS(Fonds de la Recherche Scientifique - FNRS); European Union(European Union (EU)); Natural Science and Engineering Research Council of Canada(Natural Sciences and Engineering Research Council of Canada (NSERC)); Ministry of the Environment and Transport; National Commission on Research, Science, Technology</t>
  </si>
  <si>
    <t>This work was supported through Belgian Federal Science Policy Office (BELSPO) fellowship (Convention BR/175/A2/CHASE 1&amp;2). Co-authors would like to warmly thank Jeroen De Jong (ULB) for his assistance during isotopic analyses and the F.R.S-FNRS for the financial support of the analytical platform (e.g., Large Equipments (GEQ) No. 2.5016.12 &amp; 40007934). CNRS-INSU is gratefully acknowledged for supporting CESAM as an open facility through the National Instrument and AERIS datacenter (aeris-data.fr) for hosting simulation chamber data. The CESAM chamber has received funding from the European Union's Horizon 2020 research and innovation program through the EUROCHAMP-2020 Infrastructure Activity under grant agreement No. 730997. Sample collection was supported by the Natural Science and Engineering Research Council of Canada (Discovery Grant RGPIN-2016-05417). All fieldwork conducted in Namibia was supported through permits issued by the Ministry of the Environment and Transport (#2255/2017) and the National Commission on Research, Science, &amp; Technology (#RPIV00272018). We gratefully acknowledge the aid of Dr. Hipondoka, Dr. MaggsKolling, and the Gobabeb Research and Training Centre in the planning and logistics for the collection of the field samples. We are very grateful for the pertinent comments from von Holdt J. as well as those made by the two other reviewers, who significantly helped to improve and clarify many points of the original manuscript.</t>
  </si>
  <si>
    <t>SPRINGERNATURE</t>
  </si>
  <si>
    <t>LONDON</t>
  </si>
  <si>
    <t>CAMPUS, 4 CRINAN ST, LONDON, N1 9XW, ENGLAND</t>
  </si>
  <si>
    <t>2662-4435</t>
  </si>
  <si>
    <t>COMMUN EARTH ENVIRON</t>
  </si>
  <si>
    <t>Commun. Earth Environ.</t>
  </si>
  <si>
    <t>10.1038/s43247-022-00464-z</t>
  </si>
  <si>
    <t>Environmental Sciences; Geosciences, Multidisciplinary; Meteorology &amp; Atmospheric Sciences</t>
  </si>
  <si>
    <t>Environmental Sciences &amp; Ecology; Geology; Meteorology &amp; Atmospheric Sciences</t>
  </si>
  <si>
    <t>2A0IR</t>
  </si>
  <si>
    <t>Green Published, Green Submitted, gold</t>
  </si>
  <si>
    <t>WOS:000809196700001</t>
  </si>
  <si>
    <t>Engel, Z; Láska, K; Kavan, J; Smolíková, J</t>
  </si>
  <si>
    <t>Engel, Zbynek; Laska, Kamil; Kavan, Jan; Smolikova, Jana</t>
  </si>
  <si>
    <t>Persistent mass loss of Triangular Glacier, James Ross Island, north-eastern Antarctic Peninsula</t>
  </si>
  <si>
    <t>JOURNAL OF GLACIOLOGY</t>
  </si>
  <si>
    <t>Antarctic glaciology; climate change; glacier mass balance; glacier meteorology; glacier volume</t>
  </si>
  <si>
    <t>LIVINGSTON ISLAND; REGIONAL CLIMATE; ICE-THICKNESS; ELEVATION CHANGES; KING GEORGE; SURFACE; BALANCE; ERRORS; MELT; SEA</t>
  </si>
  <si>
    <t>The retreat rates of Triangular Glacier since 1979 and its mass changes during the period 2014/15-2019/20 indicate the sensitive response of small ice masses on the eastern side of the Antarctic Peninsula to air temperature evolution. This cirque glacier in the northern part of James Ross Island receded rapidly during the period of regional warming in the late 20th century, losing 30.8% of its surface area between 1979 and 2006 (-1.7% a(-1)). The retreat rate then dropped to -0.3% a(-1) following the regional cooling trend, but started to accelerate again (-0.8 to -2.3% a(-1)) with increasing air temperature since the summer 2014/15. Since the glaciological year 2015/16, Triangular Glacier has experienced enhanced snow melt, wind scour and permanent mass loss with annual mass balance ranging from -0.08 +/- 0.35 to -0.56 +/- 0.25 m w.e. The largest mass loss was observed in the glaciological year 2019/20, which included the warmest summer of the observation period. The cumulative mass balance of -1.66 +/- 0.83 m w.e. over the years 2014/15-2019/20 is consistent with the termination of the positive mass-balance period that occurred in the north-eastern Antarctic Peninsula from 2009/10 to 2014/15.</t>
  </si>
  <si>
    <t>[Engel, Zbynek; Smolikova, Jana] Charles Univ Prague, Dept Phys Geog &amp; Geoecol, Fac Sci, Prague, Czech Republic; [Laska, Kamil; Kavan, Jan] Masaryk Univ, Dept Geog, Fac Sci, Brno, Czech Republic</t>
  </si>
  <si>
    <t>Charles University Prague; Masaryk University Brno</t>
  </si>
  <si>
    <t>Engel, Z (corresponding author), Charles Univ Prague, Dept Phys Geog &amp; Geoecol, Fac Sci, Prague, Czech Republic.</t>
  </si>
  <si>
    <t>engel@natur.cuni.cz</t>
  </si>
  <si>
    <t>Engel, Zbyněk/S-2954-2016; Kavan, Jan/ACU-4986-2022; Smolíková, Jana JS/H-9111-2017; Laska, Kamil/L-7875-2013</t>
  </si>
  <si>
    <t>Engel, Zbyněk/0000-0002-5209-7823; Laska, Kamil/0000-0002-5199-9737; Kavan, Jan/0000-0003-4524-3009</t>
  </si>
  <si>
    <t>Czech Science Foundation [GC20-20240S]; Ministry of Education, Youth and Sports [LM2015078, VAN 2021]</t>
  </si>
  <si>
    <t>Czech Science Foundation(Grant Agency of the Czech Republic); Ministry of Education, Youth and Sports(Ministry of Education, Youth &amp; Sports - Czech Republic)</t>
  </si>
  <si>
    <t>We thank Daniel Nyvlt, Jakub Ondruch, Zdenek Stacho, Peter Vaczi and the crew at Mendel Base for fieldwork support. We are grateful to Francisco Navarro for his useful comments that helped to improve the manuscript. The research was funded by the Czech Science Foundation (project no. GC20-20240S) and the Ministry of Education, Youth and Sports (projects LM2015078 and VAN 2021).</t>
  </si>
  <si>
    <t>CAMBRIDGE UNIV PRESS</t>
  </si>
  <si>
    <t>EDINBURGH BLDG, SHAFTESBURY RD, CB2 8RU CAMBRIDGE, ENGLAND</t>
  </si>
  <si>
    <t>0022-1430</t>
  </si>
  <si>
    <t>1727-5652</t>
  </si>
  <si>
    <t>J GLACIOL</t>
  </si>
  <si>
    <t>J. Glaciol.</t>
  </si>
  <si>
    <t>FEB</t>
  </si>
  <si>
    <t>PII S0022143022000429</t>
  </si>
  <si>
    <t>10.1017/jog.2022.42</t>
  </si>
  <si>
    <t>H5AN0</t>
  </si>
  <si>
    <t>gold</t>
  </si>
  <si>
    <t>WOS:000808370600001</t>
  </si>
  <si>
    <t>Braddock, S; Hall, BL; Johnson, JS; Balco, G; Spoth, M; Whitehouse, PL; Campbell, S; Goehring, BM; Rood, DH; Woodward, J</t>
  </si>
  <si>
    <t>Braddock, Scott; Hall, Brenda L.; Johnson, Joanne S.; Balco, Greg; Spoth, Meghan; Whitehouse, Pippa L.; Campbell, Seth; Goehring, Brent M.; Rood, Dylan H.; Woodward, John</t>
  </si>
  <si>
    <t>Relative sea-level data preclude major late Holocene ice-mass change in Pine Island Bay</t>
  </si>
  <si>
    <t>NATURE GEOSCIENCE</t>
  </si>
  <si>
    <t>GROUNDING-LINE RETREAT; SOUTH SHETLAND ISLANDS; WEST ANTARCTICA; MARGUERITE BAY; EXPOSURE AGES; VICTORIA LAND; SHEET; UPLIFT; MODEL; EMBAYMENT</t>
  </si>
  <si>
    <t>The rapidly retreating Thwaites and Pine Island glaciers together dominate present-day ice loss from the West Antarctic Ice Sheet and are implicated in runaway deglaciation scenarios. Knowledge of whether these glaciers were substantially smaller in the mid-Holocene and subsequently recovered to their present extents is important for assessing whether current ice recession is irreversible. Here we reconstruct relative sea-level change from radiocarbon-dated raised beaches at sites immediately seawards of these glaciers, allowing us to examine the response of the earth to loading and unloading of ice in the Amundsen Sea region. We find that relative sea level fell steadily over the past 5.5 kyr without rate changes that would characterize large-scale ice re-expansion. Moreover, current bedrock uplift rates are an order of magnitude greater than the rate of long-term relative sea-level fall, suggesting a change in regional crustal unloading and implying that the present deglaciation may be unprecedented in the past similar to 5.5 kyr. While we cannot preclude minor grounding-line fluctuations, our data are explained most easily by early Holocene deglaciation followed by relatively stable ice positions until recent times and imply that Thwaites and Pine Island glaciers have not been substantially smaller than present during the past 5.5 kyr.</t>
  </si>
  <si>
    <t>[Braddock, Scott; Hall, Brenda L.; Spoth, Meghan; Campbell, Seth] Univ Maine, Sch Earth &amp; Climate Sci, Orono, ME 04469 USA; [Braddock, Scott; Hall, Brenda L.; Spoth, Meghan; Campbell, Seth] Univ Maine, Climate Change Inst, Orono, ME 04469 USA; [Johnson, Joanne S.] British Antarctic Survey, Cambridge, England; [Balco, Greg] Berkeley Geochronol Ctr, Berkeley, CA USA; [Whitehouse, Pippa L.] Univ Durham, Dept Geog, Durham, England; [Goehring, Brent M.] Tulane Univ, Sch Sci &amp; Engn, New Orleans, LA 70118 USA; [Rood, Dylan H.] Imperial Coll, Dept Earth Sci &amp; Engn, London, England; [Woodward, John] Northumbria Univ, Dept Geog &amp; Environm Sci, Newcastle Upon Tyne, Tyne &amp; Wear, England</t>
  </si>
  <si>
    <t>University of Maine System; University of Maine Orono; University of Maine System; University of Maine Orono; UK Research &amp; Innovation (UKRI); Natural Environment Research Council (NERC); NERC British Antarctic Survey; Berkeley Geochronolgy Center; Durham University; Tulane University; Imperial College London; Northumbria University</t>
  </si>
  <si>
    <t>Braddock, S; Hall, BL (corresponding author), Univ Maine, Sch Earth &amp; Climate Sci, Orono, ME 04469 USA.;Braddock, S; Hall, BL (corresponding author), Univ Maine, Climate Change Inst, Orono, ME 04469 USA.</t>
  </si>
  <si>
    <t>scott.braddock@maine.edu; brendah@maine.edu</t>
  </si>
  <si>
    <t>Woodward, John/I-1046-2013</t>
  </si>
  <si>
    <t>Johnson, Joanne/0000-0003-4537-4447; Spoth, Meghan/0009-0000-8750-0099; Braddock, Scott/0000-0003-2944-0379; Woodward, John/0000-0002-4980-4080; Whitehouse, Pippa/0000-0002-9092-3444</t>
  </si>
  <si>
    <t>National Science Foundation [OPP-1738989]; Natural Environment Research Council [NE/S006710/1, NE/S006753/1-J]; NERC [NE/S006710/1, NE/S006753/1]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</si>
  <si>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</si>
  <si>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This work is part of the `Geological History Constraints' project, a component of the International Thwaites Glacier Collaboration. We thank C. Beeler, N. Fenney, V. Fitzgerald, A. Fox, K. Hogan, B. Johnson, J. Kirkham, E. Rush, UNAVCO, the Polar Geospatial Center and the Captain and Crew of the R/V Nathaniel B. Palmer for assistance. This work was supported by the National Science Foundation (grant OPP-1738989-S.B., B.L.H., G.B., M.S., B.M.G. and SC) and the Natural Environment Research Council (grants NE/S006710/1 and NE/S006753/1-J.S.J., D.H.R. and J.W.). This is ITGC Contribution No. ITGC-050.</t>
  </si>
  <si>
    <t>NATURE PORTFOLIO</t>
  </si>
  <si>
    <t>BERLIN</t>
  </si>
  <si>
    <t>HEIDELBERGER PLATZ 3, BERLIN, 14197, GERMANY</t>
  </si>
  <si>
    <t>1752-0894</t>
  </si>
  <si>
    <t>1752-0908</t>
  </si>
  <si>
    <t>NAT GEOSCI</t>
  </si>
  <si>
    <t>Nat. Geosci.</t>
  </si>
  <si>
    <t>+</t>
  </si>
  <si>
    <t>10.1038/s41561-022-00961-y</t>
  </si>
  <si>
    <t>2W8GF</t>
  </si>
  <si>
    <t>Green Accepted, hybrid, Green Published</t>
  </si>
  <si>
    <t>WOS:000808445400004</t>
  </si>
  <si>
    <t>Sun, YX; Tan, BK</t>
  </si>
  <si>
    <t>Sun, Yuexiang; Tan, Benkui</t>
  </si>
  <si>
    <t>A new subseasonal atmospheric teleconnection bridging tropical deep convection over the western North Pacific and Antarctic weather</t>
  </si>
  <si>
    <t>ATMOSPHERIC SCIENCE LETTERS</t>
  </si>
  <si>
    <t>sea ice change; tropical forcing; tropic-Antarctic linkage</t>
  </si>
  <si>
    <t>MADDEN-JULIAN OSCILLATION; SUMMER MONSOON; VARIABILITY; MECHANISMS; IMPACT; MJO; ANOMALIES; DYNAMICS; PATTERN; MODEL</t>
  </si>
  <si>
    <t>Previous studies indicate that convective heating variability of the western North Pacific summer monsoon (WNPSM) influences strongly weather and climate over East Asia. Based on daily reanalysis data and interpolated outgoing longwave radiation (OLR) data, this study demonstrates that the WNPSM convection can also cause severe weather events remotely over the Antarctic through the exciting of the Australia-South Pacific-Atlantic wave train (ASPA pattern). Surface air temperature (SAT) rises over the Ross Sea-Mawson-Dumont d'Urville Seas sector and over the Weddell Sea, while the SAT drops over the Amundsen-Bellingshausen Seas. Concurrently, sea ice concentration (SIC) is reduced over the Ross Sea and enhanced over the Amundsen-Bellingshausen Seas. The result suggests that the newly found ASPA pattern may serve as an important bridge linking the WNPSM convection and the weather over the Antarctic region. The dynamics of ASPA's formation and propagation are also investigated comprehensively. Day-to-day energy budget analysis suggests that after its initiation by WNPSM convection, the ASPA pattern is driven by the baroclinic energy conversion from the climatological flow and nonlinear term. The barotropic energy conversion from the climatological flow contributes to positive KE tendency before day +1 and negative KE tendency after day +1. It is therefore extremely important to improve the representations of the climatological-mean sea ice and jet stream, wave-mean flow interaction and wave-wave interaction in the mid- and high-latitudes of the Southern Hemisphere, as well as the convection over the WNPSM region of the Northern Hemisphere in numerical model for a better weather prediction for the Antarctic.</t>
  </si>
  <si>
    <t>[Sun, Yuexiang; Tan, Benkui] Peking Univ, Sch Phys, Dept Atmospher &amp; Ocean Sci, Beijing 100871, Peoples R China</t>
  </si>
  <si>
    <t>Peking University</t>
  </si>
  <si>
    <t>Tan, BK (corresponding author), Peking Univ, Sch Phys, Dept Atmospher &amp; Ocean Sci, Beijing 100871, Peoples R China.</t>
  </si>
  <si>
    <t>bktan@pku.edu.cn</t>
  </si>
  <si>
    <t>National Key R&amp;D Program of China [2018YFC1507300]; National Natural Science Foundation of China [41875065]</t>
  </si>
  <si>
    <t>National Key R&amp;D Program of China; National Natural Science Foundation of China(National Natural Science Foundation of China (NSFC))</t>
  </si>
  <si>
    <t>National Key R&amp;D Program of China, Grant/Award Number: 2018YFC1507300; National Natural Science Foundation of China, Grant/Award Number: 41875065</t>
  </si>
  <si>
    <t>1530-261X</t>
  </si>
  <si>
    <t>ATMOS SCI LETT</t>
  </si>
  <si>
    <t>Atmos. Sci. Lett.</t>
  </si>
  <si>
    <t>OCT</t>
  </si>
  <si>
    <t>e1115</t>
  </si>
  <si>
    <t>10.1002/asl.1115</t>
  </si>
  <si>
    <t>Geochemistry &amp; Geophysics; Meteorology &amp; Atmospheric Sciences</t>
  </si>
  <si>
    <t>5A8CS</t>
  </si>
  <si>
    <t>WOS:000808189100001</t>
  </si>
  <si>
    <t>Pinardi, G; Van Roozendael, M; Hendrick, F; Richter, A; Valks, P; Alwarda, R; Bognar, K; Friess, U; Granville, J; Gu, M; Johnston, P; Prados-Roman, C; Querel, R; Strong, K; Wagner, T; Wittrock, F; Gonzalez, MY</t>
  </si>
  <si>
    <t>Pinardi, Gaia; Van Roozendael, Michel; Hendrick, Francois; Richter, Andreas; Valks, Pieter; Alwarda, Ramina; Bognar, Kristof; Friess, Udo; Granville, Jose; Gu, Myojeong; Johnston, Paul; Prados-Roman, Cristina; Querel, Richard; Strong, Kimberly; Wagner, Thomas; Wittrock, Folkard; Gonzalez, Margarita Yela</t>
  </si>
  <si>
    <t>Ground-based validation of the MetOp-A and MetOp-B GOME-2 OClO measurements</t>
  </si>
  <si>
    <t>ATMOSPHERIC MEASUREMENT TECHNIQUES</t>
  </si>
  <si>
    <t>ABSORPTION CROSS-SECTIONS; STRATOSPHERIC CHLORINE ACTIVATION; ROTATIONAL RAMAN-SCATTERING; MONITORING EXPERIMENT GOME; ULTRAVIOLET SPECTROSCOPY; VISIBLE SPECTROSCOPY; RADIATIVE-TRANSFER; DOAS MEASUREMENTS; MCMURDO-STATION; OZONE DEPLETION</t>
  </si>
  <si>
    <t>This paper reports on ground-based validation of the atmospheric OClO data record produced within the framework of EUMETSAT's Satellite Application Facility on Atmospheric Chemistry Monitoring (AC SAF) using the Global Ozone Monitoring Experiment (GOME)-2A and GOME-2B instrument measurements, covering the 2007-2016 and 2013-2016 periods, respectively. OClO slant column densities are compared to correlative measurements collected from nine Zenith-Scattered-Light Differential Optical Absorption Spectroscopy (ZSL-DOAS) instruments from the Network for the Detection of Atmospheric Composition Change (NDACC) distributed in both the Arctic and Antarctic. Sensitivity tests are performed on the ground-based data to estimate the impact of the different OClO DOAS analysis settings. On this basis, we infer systematic uncertainties of about 25 % (i.e., about 3.75x10(13) molec. cm(-2)) between the different ground-based data analyses, reaching total uncertainties ranging from about 26 % to 33 % for the different stations (i.e., around 4 to 5x10(13) molec. cm(-2)). Time series at the different sites show good agreement between satellite and ground-based data for both the inter-annual variability and the overall OClO seasonal behavior. GOME-2A results are found to be noisier than those of GOME-2B, especially after 2011, probably due to instrumental degradation effects. Daily linear regression analysis for OClO-activated periods yield correlation coefficients of 0.8 for GOME-2A and 0.87 for GOME-2B, with slopes with respect to the ground-based data ensemble of 0.64 and 0.72, respectively. Satellite minus ground-based offsets are within 8x10(13) molec. cm(-2), with some differences between GOME-2A and GOME-2B depending on the station. Overall, considering all the stations, a median offset of about -2.2x10(13) molec. cm(-2) is found for both GOME-2 instruments.</t>
  </si>
  <si>
    <t>[Pinardi, Gaia; Van Roozendael, Michel; Hendrick, Francois; Granville, Jose] Royal Belgian Inst Space Aeron BIRA IASB, Av Circulaire 3, B-1180 Uccle, Belgium; [Richter, Andreas; Wittrock, Folkard] Univ Bremen, Inst Environm Phys IUPB, Otto Hahn Allee 1, D-28359 Bremen, Germany; [Valks, Pieter] Deutsch Zentrum Luft &amp; Raumfahrt DLR, Inst Method Fernerkundung IMF, Munchener Str 20, D-82234 Oberpfaffenhofen, Germany; [Alwarda, Ramina; Bognar, Kristof; Strong, Kimberly] Univ Toronto, Dept Phys, 60 St George St, Toronto, ON M5S 1A7, Canada; [Friess, Udo] Heidelberg Univ, Inst Environm Phys IUPH, Neuenheimer Feld 229, D-69120 Heidelberg, Germany; [Gu, Myojeong; Wagner, Thomas] Max Planck Inst Chem MPIC, Satellite Remote Sensing Grp, Hahn Meitner Weg 1, D-55128 Mainz, Germany; [Johnston, Paul; Querel, Richard] Natl Inst Water &amp; Atmospher Res NIWA, Private Bag 50061, Omakau, Central Otago, New Zealand; [Prados-Roman, Cristina; Gonzalez, Margarita Yela] Natl Inst Aerosp Technol INTA, Atmospher Res &amp; Instrumentat Branch, Madrid 28850, Spain; [Bognar, Kristof] 3v Geomet Inc, Vancouver, BC V5Y 0M6, Canada</t>
  </si>
  <si>
    <t>University of Bremen; Helmholtz Association; German Aerospace Centre (DLR); University of Toronto; Ruprecht Karls University Heidelberg; Max Planck Society</t>
  </si>
  <si>
    <t>Pinardi, G (corresponding author), Royal Belgian Inst Space Aeron BIRA IASB, Av Circulaire 3, B-1180 Uccle, Belgium.</t>
  </si>
  <si>
    <t>gaia.pinardi@aeronomie.be</t>
  </si>
  <si>
    <t>Prados-Roman, Cristina/FCT-7862-2022; Prados-Roman, Cristina/F-4125-2012; Wittrock, Folkard/B-6959-2008; Querel, Richard/D-3770-2015; Strong, Kimberly/D-2563-2012; Richter, Andreas/C-4971-2008; Yela Gonzalez, Margarita/J-7346-2016</t>
  </si>
  <si>
    <t>Prados-Roman, Cristina/0000-0001-8332-0226; Valks, Pieter/0000-0002-2846-7863; Friess, Udo/0000-0001-7176-7936; Querel, Richard/0000-0001-8792-2486; Strong, Kimberly/0000-0001-9947-1053; Richter, Andreas/0000-0003-3339-212X; Yela Gonzalez, Margarita/0000-0003-3775-3156; Bognar, Kristof/0000-0003-4619-2020; Pinardi, Gaia/0000-0001-5428-916X</t>
  </si>
  <si>
    <t>European Organization for the Exploitation of Meteorological Satellites [AC SAF CDOP-2, CDOP-3]; Belgian Federal Science Policy Office [ProDEx B-ACSAF]</t>
  </si>
  <si>
    <t>European Organization for the Exploitation of Meteorological Satellites; Belgian Federal Science Policy Office(Belgian Federal Science Policy Office)</t>
  </si>
  <si>
    <t>This research has been supported by the European Organization for the Exploitation of Meteorological Satellites (grant nos. AC SAF CDOP-2 and CDOP-3) and the Belgian Federal Science Policy Office (grant no. ProDEx B-ACSAF).</t>
  </si>
  <si>
    <t>1867-1381</t>
  </si>
  <si>
    <t>1867-8548</t>
  </si>
  <si>
    <t>ATMOS MEAS TECH</t>
  </si>
  <si>
    <t>Atmos. Meas. Tech.</t>
  </si>
  <si>
    <t>10.5194/amt-15-3439-2022</t>
  </si>
  <si>
    <t>Meteorology &amp; Atmospheric Sciences</t>
  </si>
  <si>
    <t>1Y4PZ</t>
  </si>
  <si>
    <t>Green Submitted, Green Accepted, gold</t>
  </si>
  <si>
    <t>WOS:000808125900001</t>
  </si>
  <si>
    <t>Gwiazdowicz, DJ; Niedbala, W; Skarzynski, D; Zawieja, B</t>
  </si>
  <si>
    <t>Gwiazdowicz, Dariusz J.; Niedbala, Wojciech; Skarzynski, Dariusz; Zawieja, Bogna</t>
  </si>
  <si>
    <t>Occurrence of mites (Acari) and springtails (Collembola) in bird nests on King George Island (South Shetland Islands, Antarctica)</t>
  </si>
  <si>
    <t>POLAR BIOLOGY</t>
  </si>
  <si>
    <t>Mites; Springtails; Biodiversity; Antarctic; Arctowski Polish Antarctic Station</t>
  </si>
  <si>
    <t>TICK IXODES-URIAE; TERRESTRIAL ARTHROPOD FAUNA; INHABITING NESTS; INVERTEBRATE FAUNA; MESOSTIGMATA; PENINSULA; SPITSBERGEN; COMMUNITIES; DISPERSAL; PATTERNS</t>
  </si>
  <si>
    <t>The relationships between birds and invertebrates are very diverse and often extend beyond the host-parasite interaction. Birds can be vectors of some arthropod species and their nests are a specific microhabitat inhabited by mites and springtails. However, the phenomenon is not well described in Antarctica. The aim of this article is to compare the arthropod communities inhabiting the nests of three species of birds and relate observed differences to the biology and ecology of the nest building bird species (i.e., living in colonies or in pairs) as well as the nature of the nest (i.e., nest lining or lack there off). Outcomes include determining the scale of the threat to birds from parasites, as well as to information concerning the ecology (microhabitat preferences) of the arthropod species. The study was conducted in the vicinity of the Arctowski Polish Antarctic Station by comparing the arthropod concentrations in nests of three bird species: Southern Giant Petrel (Macronectes giganteus), Adelie Penguin (Pygoscelis adeliae) and South Polar Skua (Stercorarius maccormicki). Four mite (Acari) species and five springtail (Collembola) species were found in the collected material. None of these species are parasites. The most numerous were Hydrogamasellus racovitzai (Acari, Mesostigmata), Alaskozetes antarcticus (Acari, Oribatida) and Cryptopygus antarcticus antarcticus (Collembola). The results indicate (e.g. the Shannon index, evenness, non-metric multidimensional scaling method, one-way multivariate permutation analysis of variances, Kruskal-Wallis test) significant variability in community composition and individual abundance in the nests dependent on the bird species. Furthermore, that this variability depends on the biology and ecology of the bird species.</t>
  </si>
  <si>
    <t>[Gwiazdowicz, Dariusz J.] Poznan Univ Life Sci, Fac Forestry &amp; Wood Technol, Wojska Polskiego 71c, PL-60625 Poznan, Poland; [Niedbala, Wojciech] Adam Mickiewicz Univ, Nat Hist Collect, Uniwersytetu Poznanskiego 6, PL-61614 Poznan, Poland; [Niedbala, Wojciech] Adam Mickiewicz Univ, Dept Anim Taxon &amp; Ecol, Uniwersytetu Poznanskiego 6, PL-61614 Poznan, Poland; [Skarzynski, Dariusz] Univ Wroclaw, Fac Biol Sci, Dept Invertebrate Biol Evolut &amp; Conservat, Przybyszewskiego 65, PL-51148 Wroclaw, Poland; [Zawieja, Bogna] Poznan Univ Life Sci, Dept Math &amp; Stat Methods, Wojska Polskiego 28, PL-60637 Poznan, Poland</t>
  </si>
  <si>
    <t>Poznan University of Life Sciences; Adam Mickiewicz University; Adam Mickiewicz University; University of Wroclaw; Poznan University of Life Sciences</t>
  </si>
  <si>
    <t>Gwiazdowicz, DJ (corresponding author), Poznan Univ Life Sci, Fac Forestry &amp; Wood Technol, Wojska Polskiego 71c, PL-60625 Poznan, Poland.</t>
  </si>
  <si>
    <t>dariusz.gwiazdowicz@up.poznan.pl; niedbala@amu.edu.pl; dariusz.skarzynski@uwr.edu.pl; bogna.zawieja@up.poznan.pl</t>
  </si>
  <si>
    <t>Skarżyński, Dariusz/T-2832-2018</t>
  </si>
  <si>
    <t>Zawieja, Bogna/0000-0003-3137-3478</t>
  </si>
  <si>
    <t>Poznan University of Life Sciences [506.217.02.00]</t>
  </si>
  <si>
    <t>Poznan University of Life Sciences</t>
  </si>
  <si>
    <t>This work was supported by the Poznan University of Life Sciences (Grant 506.217.02.00).</t>
  </si>
  <si>
    <t>SPRINGER</t>
  </si>
  <si>
    <t>NEW YORK</t>
  </si>
  <si>
    <t>ONE NEW YORK PLAZA, SUITE 4600, NEW YORK, NY, UNITED STATES</t>
  </si>
  <si>
    <t>0722-4060</t>
  </si>
  <si>
    <t>1432-2056</t>
  </si>
  <si>
    <t>POLAR BIOL</t>
  </si>
  <si>
    <t>Polar Biol.</t>
  </si>
  <si>
    <t>JUN</t>
  </si>
  <si>
    <t>10.1007/s00300-022-03052-1</t>
  </si>
  <si>
    <t>Biodiversity Conservation; Ecology</t>
  </si>
  <si>
    <t>Biodiversity &amp; Conservation; Environmental Sciences &amp; Ecology</t>
  </si>
  <si>
    <t>3C6VY</t>
  </si>
  <si>
    <t>WOS:000808412200001</t>
  </si>
  <si>
    <t>Strain, EMA; Lai, RWS; White, CA; Piarulli, S; Leung, KMY; Airoldi, L; O'Brien, A</t>
  </si>
  <si>
    <t>Strain, Elisabeth Marijke Anne; Lai, Racliffe Weng Seng; White, Camille Anna; Piarulli, Stefania; Leung, Kenneth Mei Yee; Airoldi, Laura; O'Brien, Allyson</t>
  </si>
  <si>
    <t>Editorial: Marine Pollution-Emerging Issues and Challenges</t>
  </si>
  <si>
    <t>FRONTIERS IN MARINE SCIENCE</t>
  </si>
  <si>
    <t>nutrient enrichment; heavy metals; persistent organic pollutants; plastic debris; artificial structures; multiple stressors; management options</t>
  </si>
  <si>
    <t>PLASTIC DEBRIS; GLOBAL ANALYSIS; RISK-ASSESSMENT; OCEAN SPRAWL; BEACH LITTER; ENVIRONMENT; MICROPLASTICS; STRESSORS; IMPACTS; INFRASTRUCTURE</t>
  </si>
  <si>
    <t>[Strain, Elisabeth Marijke Anne; White, Camille Anna] Univ Tasmania, Inst Marine &amp; Antarctic Studies, Hobart, Tas, Australia; [Strain, Elisabeth Marijke Anne] Univ Tasmania, Ctr Marine Socioecol, Hobart, Tas, Australia; [Lai, Racliffe Weng Seng; Leung, Kenneth Mei Yee] City Univ Hong Kong, State Key Lab Marine Pollut, Hong Kong, Peoples R China; [Piarulli, Stefania] Stiftelsen Ind &amp; Tekn Forskning SINTEF Ocean, Dept Climate &amp; Environm, Trondheim, Norway; [Leung, Kenneth Mei Yee] Southern Marine Sci &amp; Engn Guangdong Lab Zhuhai, Zhuhai, Peoples R China; [Airoldi, Laura] Univ Padua, Dept Biol, Chioggia Hydrobiol Stn Umberto D Ancona, UO CoNISMa, Chioggia, Italy; [Airoldi, Laura] Univ Bologna, Dept Cultural Heritage, Ravenna, Italy; [O'Brien, Allyson] Univ Melbourne, Sch Biosci, Parkville, Vic, Australia; [Lai, Racliffe Weng Seng; Leung, Kenneth Mei Yee] City Univ Hong Kong, Dept Chem, Hong Kong, Peoples R China</t>
  </si>
  <si>
    <t>University of Tasmania; University of Tasmania; City University of Hong Kong; Southern Marine Science &amp; Engineering Guangdong Laboratory; Southern Marine Science &amp; Engineering Guangdong Laboratory (Zhuhai); University of Padua; University of Bologna; University of Melbourne; City University of Hong Kong</t>
  </si>
  <si>
    <t>Strain, EMA (corresponding author), Univ Tasmania, Inst Marine &amp; Antarctic Studies, Hobart, Tas, Australia.;Strain, EMA (corresponding author), Univ Tasmania, Ctr Marine Socioecol, Hobart, Tas, Australia.</t>
  </si>
  <si>
    <t>elisabeth.strain@utas.edu.au</t>
  </si>
  <si>
    <t>Strain, Elisabeth/U-3520-2017; Piarulli, Stefania/AAF-8782-2020; Airoldi, Laura/I-3553-2019; Leung, Kenneth Mei Yee/C-1055-2009</t>
  </si>
  <si>
    <t>Piarulli, Stefania/0000-0002-2979-7186; Airoldi, Laura/0000-0001-5046-0871; Leung, Kenneth Mei Yee/0000-0002-2164-4281</t>
  </si>
  <si>
    <t>MUR EMME - PRIN; [MUR EMME - PRIN 2017-2018]</t>
  </si>
  <si>
    <t>MUR EMME - PRIN(Ministry of Education, Universities and Research (MIUR));</t>
  </si>
  <si>
    <t>Support for LA was from project MUR EMME - PRIN 2017-2018.</t>
  </si>
  <si>
    <t>2296-7745</t>
  </si>
  <si>
    <t>FRONT MAR SCI</t>
  </si>
  <si>
    <t>Front. Mar. Sci.</t>
  </si>
  <si>
    <t>JUN 8</t>
  </si>
  <si>
    <t>10.3389/fmars.2022.918984</t>
  </si>
  <si>
    <t>Environmental Sciences; Marine &amp; Freshwater Biology</t>
  </si>
  <si>
    <t>Environmental Sciences &amp; Ecology; Marine &amp; Freshwater Biology</t>
  </si>
  <si>
    <t>2I1TS</t>
  </si>
  <si>
    <t>WOS:000814767400001</t>
  </si>
  <si>
    <t>Hula, P; Moos, M; Des Marteaux, L; Simek, P; Kostal, V</t>
  </si>
  <si>
    <t>Hula, Petr; Moos, Martin; Des Marteaux, Lauren; Simek, Petr; Kostal, Vladimir</t>
  </si>
  <si>
    <t>Insect cross-tolerance to freezing and drought stress: role of metabolic rearrangement</t>
  </si>
  <si>
    <t>PROCEEDINGS OF THE ROYAL SOCIETY B-BIOLOGICAL SCIENCES</t>
  </si>
  <si>
    <t>cross-tolerance; cold; freezing; drought; metabolism; cytoprotectants</t>
  </si>
  <si>
    <t>GOLDENROD GALL FLY; ANTARCTIC MIDGE; COLD TOLERANCE; WATER-STRESS; HEAT-SHOCK; DESICCATION; TREHALOSE; LARVAE; DEHYDRATION; MECHANISMS</t>
  </si>
  <si>
    <t>The accumulation of trehalose has been suggested as a mechanism underlying insect cross-tolerance to cold/freezing and drought. Here we show that exposing diapausing larvae of the drosophilid fly, Chymomyza costata to dry conditions significantly stimulates their freeze tolerance. It does not, however, improve their tolerance to desiccation, nor does it significantly affect trehalose concentrations. Next, we use metabolomics to compare the complex alterations to intermediary metabolism pathways in response to three environmental factors with different ecological meanings: environmental drought (an environmental stressor causing mortality), decreasing ambient temperatures (an acclimation stimulus for improvement of cold hardiness), and short days (an environmental signal inducing diapause). We show that all three factors trigger qualitatively similar metabolic rearrangement and a similar phenotypic outcome-improved larval freeze tolerance. The similarities in metabolic response include (but are not restricted to) the accumulation of typical compatible solutes and the accumulation of energy-rich molecules (phosphagens). Based on these results, we suggest that transition to metabolic suppression (a state in which chemical energy demand is relatively low but need for stabilization of macromolecules is high) represents a common axis of metabolic pathway reorganization towards accumulation of non-toxic cytoprotective compounds, which in turn stimulates larval freeze tolerance.</t>
  </si>
  <si>
    <t>[Hula, Petr; Moos, Martin; Des Marteaux, Lauren; Simek, Petr; Kostal, Vladimir] Czech Acad Sci, Inst Entomol, Biol Ctr, Ceske Budejovice, Czech Republic; [Hula, Petr] Univ South Bohemia, Fac Sci, Ceske Budejovice, Czech Republic</t>
  </si>
  <si>
    <t>Czech Academy of Sciences; Biology Centre of the Czech Academy of Sciences; University of South Bohemia Ceske Budejovice</t>
  </si>
  <si>
    <t>Kostal, V (corresponding author), Czech Acad Sci, Inst Entomol, Biol Ctr, Ceske Budejovice, Czech Republic.</t>
  </si>
  <si>
    <t>kostal@entu.cas.cz</t>
  </si>
  <si>
    <t>Simek, Petr/H-4126-2014; Marteaux, Lauren/AAH-9038-2019; Moos, Martin/G-9353-2014; Kostal, Vladimir/G-6688-2014</t>
  </si>
  <si>
    <t>Simek, Petr/0000-0003-2754-6372; Marteaux, Lauren/0000-0002-0461-2704; Kostal, Vladimir/0000-0002-4994-5123; Moos, Martin/0000-0003-3930-3132</t>
  </si>
  <si>
    <t>ROYAL SOC</t>
  </si>
  <si>
    <t>6-9 CARLTON HOUSE TERRACE, LONDON SW1Y 5AG, ENGLAND</t>
  </si>
  <si>
    <t>0962-8452</t>
  </si>
  <si>
    <t>1471-2954</t>
  </si>
  <si>
    <t>P ROY SOC B-BIOL SCI</t>
  </si>
  <si>
    <t>Proc. R. Soc. B-Biol. Sci.</t>
  </si>
  <si>
    <t>10.1098/rspb.2022.0308</t>
  </si>
  <si>
    <t>Biology; Ecology; Evolutionary Biology</t>
  </si>
  <si>
    <t>Life Sciences &amp; Biomedicine - Other Topics; Environmental Sciences &amp; Ecology; Evolutionary Biology</t>
  </si>
  <si>
    <t>1Y2PJ</t>
  </si>
  <si>
    <t>Green Published</t>
  </si>
  <si>
    <t>WOS:000807984900013</t>
  </si>
  <si>
    <t>Mulitza, S; Bickert, T; Bostock, HC; Chiessi, CM; Donner, B; Govin, A; Harada, N; Huang, EQ; Johnstone, H; Kuhnert, H; Langner, M; Lamy, F; Lembke-Jene, L; Lisiecki, L; Lynch-Stieglitz, J; Max, L; Mohtadi, M; Mollenhauer, G; Muglia, J; Nürnberg, D; Paul, A; Rühlemann, C; Repschläger, J; Saraswat, R; Schmittner, A; Sikes, EL; Spielhagen, RF; Tiedemann, R</t>
  </si>
  <si>
    <t>Mulitza, Stefan; Bickert, Torsten; Bostock, Helen C.; Chiessi, Cristiano M.; Donner, Barbara; Govin, Aline; Harada, Naomi; Huang, Enqing; Johnstone, Heather; Kuhnert, Henning; Langner, Michael; Lamy, Frank; Lembke-Jene, Lester; Lisiecki, Lorraine; Lynch-Stieglitz, Jean; Max, Lars; Mohtadi, Mahyar; Mollenhauer, Gesine; Muglia, Juan; Nuernberg, Dirk; Paul, Andre; Ruehlemann, Carsten; Repschlaeger, Janne; Saraswat, Rajeev; Schmittner, Andreas; Sikes, Elisabeth L.; Spielhagen, Robert F.; Tiedemann, Ralf</t>
  </si>
  <si>
    <t>World Atlas of late Quaternary Foraminiferal Oxygen and Carbon Isotope Ratios</t>
  </si>
  <si>
    <t>EARTH SYSTEM SCIENCE DATA</t>
  </si>
  <si>
    <t>Article; Data Paper</t>
  </si>
  <si>
    <t>SEA-SURFACE TEMPERATURE; ATLANTIC DEEP-WATER; ANTARCTIC INTERMEDIATE WATER; SOUTH CHINA SEA; GLACIAL-INTERGLACIAL CHANGES; LAURENTIDE ICE-SHEET; OCEAN THERMOHALINE CIRCULATION; EASTERN EQUATORIAL PACIFIC; BOUNDARY UPWELLING SYSTEM; TO-MILLENNIAL-SCALE</t>
  </si>
  <si>
    <t>We present a global atlas of downcore foraminiferal oxygen and carbon isotope ratios available at https://doi.org/10.1594/PANGAEA.936747 (Mulitza et al., 2021a). The database contains 2106 published and previously unpublished stable isotope downcore records with 361 949 stable isotope values of various planktic and benthic species of Foraminifera from 1265 sediment cores. Age constraints are provided by 6153 uncalibrated radiocarbon ages from 598 (47 %) of the cores. Each stable isotope and radiocarbon series is provided in a separate netCDF file containing fundamental metadata as attributes. The data set can be managed and explored with the free software tool PaleoDataView. The atlas will provide important data for paleoceanographic analyses and compilations, site surveys, or for teaching marine stratigraphy. The database can be updated with new records as they are generated, providing a live ongoing resource into the future.</t>
  </si>
  <si>
    <t>[Mulitza, Stefan; Bickert, Torsten; Donner, Barbara; Johnstone, Heather; Kuhnert, Henning; Langner, Michael; Max, Lars; Mohtadi, Mahyar; Paul, Andre] Univ Bremen, IMARUM Ctr Marine Environm Sci, Bremen, Germany; [Bostock, Helen C.] Univ Queensland, Sch Earth &amp; Environm Sci, Brisbane, Qld, Australia; [Bostock, Helen C.] Natl Inst Water &amp; Atmospher Res NIWA, Taihoro Nukurangi, Wellington, New Zealand; [Chiessi, Cristiano M.] Univ Sao Paulo, Sch Arts Sci &amp; Humanities, Sao Paulo, Brazil; [Govin, Aline] Univ Paris Saclay, Lab Sci Climat &amp; Environm, CEA CNRS UVSQ, LSCE IPSL, F-91190 Gif Sur Yvette, France; [Harada, Naomi] Japan Agcy Marine Earth Sci &amp; Technol, 2-15 Natsushima, Yokosuka, Kanagawa, Japan; [Huang, Enqing] Tongji Univ, State Key Lab Marine Geol, Shanghai 200092, Peoples R China; [Lamy, Frank; Lembke-Jene, Lester; Mollenhauer, Gesine; Tiedemann, Ralf] Alfred Wegener Inst, Helmholtz Ctr Polar &amp; Marine Res, Bremerhaven, Germany; [Lisiecki, Lorraine] Univ Calif Santa Barbara, Dept Earth Sci, Santa Barbara, CA 93106 USA; [Lynch-Stieglitz, Jean] Georgia Inst Technol, Sch Earth &amp; Atmospher Sci, Atlanta, GA 30332 USA; [Muglia, Juan] Consejo Nacl Invest Cient &amp; Tecn, Ctr El Estudio Ios Sistemas Marinos, 2915 Blvd Brown, Puerto Madryn, Argentina; [Nuernberg, Dirk; Spielhagen, Robert F.] GEOMAR Helmholtz Ctr Ocean Res, Wischhofstr 1-3, D-24148 Kiel, Germany; [Ruehlemann, Carsten] Bundesanstalt Geowissenschaften &amp; Rohstoffe, Stilleweg 2, D-30655 Hannover, Germany; [Repschlaeger, Janne] Max Planck Inst Chem, Dept Climate Geochem, Hahn Meitner Weg 1, D-55128 Mainz, Germany; [Saraswat, Rajeev] Natl Inst Oceanog, Geol Oceanog Div, Micropaleontol Lab, Goa, India; [Schmittner, Andreas] Oregon State Univ, Coll Earth Ocean &amp; Atmospher Sci, Corvallis, OR 97331 USA; [Sikes, Elisabeth L.] Rutgers State Univ, Dept Marine &amp; Coastal Sci, New Brunswick, NJ USA</t>
  </si>
  <si>
    <t>University of Bremen; University of Queensland; National Institute of Water &amp; Atmospheric Research (NIWA) - New Zealand; Universidade de Sao Paulo; Universite Paris Cite; CEA; Centre National de la Recherche Scientifique (CNRS); Universite Paris Saclay; Japan Agency for Marine-Earth Science &amp; Technology (JAMSTEC); Tongji University; Helmholtz Association; Alfred Wegener Institute, Helmholtz Centre for Polar &amp; Marine Research; University of California System; University of California Santa Barbara; University System of Georgia; Georgia Institute of Technology; Consejo Nacional de Investigaciones Cientificas y Tecnicas (CONICET); Helmholtz Association; GEOMAR Helmholtz Center for Ocean Research Kiel; Max Planck Society; Council of Scientific &amp; Industrial Research (CSIR) - India; CSIR - National Institute of Oceanography (NIO); Oregon State University; Rutgers University System; Rutgers University New Brunswick</t>
  </si>
  <si>
    <t>Mulitza, S (corresponding author), Univ Bremen, IMARUM Ctr Marine Environm Sci, Bremen, Germany.</t>
  </si>
  <si>
    <t>smulitza@marum.de</t>
  </si>
  <si>
    <t>Sikes, Elisabeth/HPE-8194-2023; Mollenhauer, Gesine/AAD-8167-2019; Mulitza, Stefan/G-5357-2011; Lisiecki, Lorraine E/C-4066-2008; Govin, Aline/E-6354-2013; Spielhagen, Robert F./HMD-2002-2023; Chiessi, Cristiano Mazur/JAZ-0806-2023; Lembke-Jene, Lester/ABC-6275-2020; Chiessi, Cristiano Mazur/E-1916-2012; Mohtadi, Mahyar/N-2106-2014; Bostock, Helen/A-6834-2013; Lynch-Stieglitz, Jean/J-2277-2018; Schmittner, Andreas/O-9647-2015</t>
  </si>
  <si>
    <t>Mollenhauer, Gesine/0000-0001-5138-564X; Chiessi, Cristiano Mazur/0000-0003-3318-8022; Chiessi, Cristiano Mazur/0000-0003-3318-8022; Mohtadi, Mahyar/0000-0003-3306-0969; Bostock, Helen/0000-0002-8903-8958; Lynch-Stieglitz, Jean/0000-0002-9353-1972; Lisiecki, Lorraine/0000-0001-7859-0096; Kuhnert, Henning/0000-0001-5242-4495; Schmittner, Andreas/0000-0002-8376-0843</t>
  </si>
  <si>
    <t>Bundesministerium fur Bildung und Forschung [01LP1509B]; National Science Foundation [1924215]; Division Of Ocean Sciences; Directorate For Geosciences [1924215] Funding Source: National Science Foundation</t>
  </si>
  <si>
    <t>Bundesministerium fur Bildung und Forschung(Federal Ministry of Education &amp; Research (BMBF)); National Science Foundation(National Science Foundation (NSF)); Division Of Ocean Sciences; Directorate For Geosciences(National Science Foundation (NSF)NSF - Directorate for Geosciences (GEO))</t>
  </si>
  <si>
    <t>This research has been supported by the Bundesministerium fur Bildung und Forschung (grant no. 01LP1509B) and the National Science Foundation (grant no. 1924215).</t>
  </si>
  <si>
    <t>1866-3508</t>
  </si>
  <si>
    <t>1866-3516</t>
  </si>
  <si>
    <t>EARTH SYST SCI DATA</t>
  </si>
  <si>
    <t>Earth Syst. Sci. Data</t>
  </si>
  <si>
    <t>10.5194/essd-14-2553-2022</t>
  </si>
  <si>
    <t>Geosciences, Multidisciplinary; Meteorology &amp; Atmospheric Sciences</t>
  </si>
  <si>
    <t>Geology; Meteorology &amp; Atmospheric Sciences</t>
  </si>
  <si>
    <t>1X4EZ</t>
  </si>
  <si>
    <t>WOS:000807410400001</t>
  </si>
  <si>
    <t>Strzepek, RF; Nunn, BL; Bach, LT; Berges, JA; Young, EB; Boyd, PW</t>
  </si>
  <si>
    <t>Strzepek, Robert F.; Nunn, Brook L.; Bach, Lennart T.; Berges, John A.; Young, Erica B.; Boyd, Philip W.</t>
  </si>
  <si>
    <t>The ongoing need for rates: can physiology and omics come together to co-design the measurements needed to understand complex ocean biogeochemistry?</t>
  </si>
  <si>
    <t>JOURNAL OF PLANKTON RESEARCH</t>
  </si>
  <si>
    <t>physiology; omics; co-design; marine biogeochemistry; ocean change</t>
  </si>
  <si>
    <t>NITROGEN-FIXATION; ACETYLENE-REDUCTION; NIFH EXPRESSION; TRANSCRIPTOMICS; PROTEOME; GENES</t>
  </si>
  <si>
    <t>The necessity to understand the influence of global ocean change on biota has exposed wide-ranging gaps in our knowledge of the fundamental principles that underpin marine life. Concurrently, physiological research has stagnated, in part driven by the advent and rapid evolution of molecular biological techniques, such that they now influence all lines of enquiry in biological oceanography. This dominance has led to an implicit assumption that physiology is outmoded, and advocacy that ecological and biogeochemical models can be directly informed by omics. However, the main modeling currencies are biological rates and biogeochemical fluxes. Here, we ask: how do we translate the wealth of information on physiological potential from omics-based studies to quantifiable physiological rates and, ultimately, to biogeochemical fluxes? Based on the trajectory of the state-of-the-art in biomedical sciences, along with case-studies from ocean sciences, we conclude that it is unlikely that omics can provide such rates in the coming decade. Thus, while physiological rates will continue to be central to providing projections of global change biology, we must revisit the metrics we rely upon. We advocate for the co-design of a new generation of rate measurements that better link the benefits of omics and physiology.</t>
  </si>
  <si>
    <t>[Strzepek, Robert F.; Boyd, Philip W.] Univ Tasmania, Inst Marine &amp; Antarctic Studies, Australian Antarctic Program Partnership AAPP, 20 Castray Esplanade, Hobart, Tas 7004, Australia; [Nunn, Brook L.] Univ Washington, Dept Genome Sci, Foege Bldg S113 3720 15th Ave NE, Seattle, WA 98195 USA; [Bach, Lennart T.; Boyd, Philip W.] Univ Tasmania, Inst Marine &amp; Antarctic Studies, Hobart, Tas 7004, Australia; [Berges, John A.; Young, Erica B.] Univ Wisconsin, Dept Biol Sci, 3209 N Maryland Ave, Milwaukee, WI 53211 USA; [Berges, John A.; Young, Erica B.] Univ Wisconsin, Sch Freshwater Sci, 3209 N Maryland Ave, Milwaukee, WI 53211 USA</t>
  </si>
  <si>
    <t>University of Tasmania; University of Washington; University of Washington Seattle; University of Tasmania; University of Wisconsin System; University of Wisconsin Milwaukee; University of Wisconsin System; University of Wisconsin Milwaukee</t>
  </si>
  <si>
    <t>Strzepek, RF (corresponding author), Univ Tasmania, Inst Marine &amp; Antarctic Studies, Australian Antarctic Program Partnership AAPP, 20 Castray Esplanade, Hobart, Tas 7004, Australia.</t>
  </si>
  <si>
    <t>robert.strzepek@utas.edu.au</t>
  </si>
  <si>
    <t>Boyd, Philip W/J-7624-2014; Strzepek, Robert Francis/GQH-8703-2022</t>
  </si>
  <si>
    <t>Strzepek, Robert Francis/0000-0002-6442-7121; Bach, Lennart/0000-0003-0202-3671</t>
  </si>
  <si>
    <t>Australian Antarctic Program Partnership [ASCI000002]; National Science Foundation [I0S-2041497]; Australian Research Council [FT200100846]; Wisconsin Sea Grant award [R/HCE-33]; RACAS grant from the University of Wisconsin-Milwaukee; University of Tasmania Visiting Scholarship; Australian Research Council [FT200100846] Funding Source: Australian Research Council</t>
  </si>
  <si>
    <t>Australian Antarctic Program Partnership; National Science Foundation(National Science Foundation (NSF)); Australian Research Council(Australian Research Council); Wisconsin Sea Grant award; RACAS grant from the University of Wisconsin-Milwaukee; University of Tasmania Visiting Scholarship; Australian Research Council(Australian Research Council)</t>
  </si>
  <si>
    <t>Australian Antarctic Program Partnership (ASCI000002 to R.F.S. and P.W.B.), National Science Foundation (I0S-2041497 to B.L.N.), the Australian Research Council received through a Future Fellowship (FT200100846 to L.T.B.), by a Wisconsin Sea Grant award (R/HCE-33) and a RACAS grant from the University of Wisconsin-Milwaukee (to E.B.Y. andJ.A.B.), and by a University of Tasmania Visiting Scholarship (to J.A.B.).</t>
  </si>
  <si>
    <t>OXFORD UNIV PRESS</t>
  </si>
  <si>
    <t>GREAT CLARENDON ST, OXFORD OX2 6DP, ENGLAND</t>
  </si>
  <si>
    <t>0142-7873</t>
  </si>
  <si>
    <t>1464-3774</t>
  </si>
  <si>
    <t>J PLANKTON RES</t>
  </si>
  <si>
    <t>J. Plankton Res.</t>
  </si>
  <si>
    <t>JUL 23</t>
  </si>
  <si>
    <t>10.1093/plankt/fbac026</t>
  </si>
  <si>
    <t>Marine &amp; Freshwater Biology; Oceanography</t>
  </si>
  <si>
    <t>3D7YN</t>
  </si>
  <si>
    <t>Green Published, hybrid</t>
  </si>
  <si>
    <t>WOS:000807380900001</t>
  </si>
  <si>
    <t>Roberts, SJ; Monien, P; Foster, LC; Loftfield, J; Hocking, EP; Schnetger, B; Pearson, EJ; Juggins, S; Fretwell, P; Ireland, L; Ochyra, R; Haworth, AR; Allen, CS; Moreton, SG; Davies, SJ; Brumsack, HJ; Bentley, MJ; Hodgson, DA</t>
  </si>
  <si>
    <t>Roberts, Stephen J.; Monien, Patrick; Foster, Louise C.; Loftfield, Julia; Hocking, Emma P.; Schnetger, Bernhard; Pearson, Emma J.; Juggins, Steve; Fretwell, Peter; Ireland, Louise; Ochyra, Ryszard; Haworth, Anna R.; Allen, Claire S.; Moreton, Steven G.; Davies, Sarah J.; Brumsack, Hans-Juergen; Bentley, Michael J.; Hodgson, Dominic A.</t>
  </si>
  <si>
    <t>Past penguin colony responses to explosive volcanism on the Antarctic Peninsula (vol 8, 14914, 2017)</t>
  </si>
  <si>
    <t>NATURE COMMUNICATIONS</t>
  </si>
  <si>
    <t>Correction</t>
  </si>
  <si>
    <t>sjro@bas.ac.uk; monien@icbm.de</t>
  </si>
  <si>
    <t>Davies, Sarah/ITT-3963-2023; Brumsack, Hans-Jürgen/O-7942-2016; Foster, Louise C/O-7543-2015</t>
  </si>
  <si>
    <t>2041-1723</t>
  </si>
  <si>
    <t>NAT COMMUN</t>
  </si>
  <si>
    <t>Nat. Commun.</t>
  </si>
  <si>
    <t>JUN 7</t>
  </si>
  <si>
    <t>10.1038/s41467-022-30657-1</t>
  </si>
  <si>
    <t>Multidisciplinary Sciences</t>
  </si>
  <si>
    <t>Science &amp; Technology - Other Topics</t>
  </si>
  <si>
    <t>1Y4RB</t>
  </si>
  <si>
    <t>Green Accepted, Green Published, gold</t>
  </si>
  <si>
    <t>WOS:000808128800038</t>
  </si>
  <si>
    <t>Buffo, JJ; Brown, EK; Pontefract, A; Schmidt, BE; Klempay, B; Lawrence, J; Bowman, J; Grantham, M; Glass, JB; Plattner, T; Chivers, C; Doran, P; Team</t>
  </si>
  <si>
    <t>Buffo, Jacob J.; Brown, Emma K.; Pontefract, Alexandra; Schmidt, Britney E.; Klempay, Benjamin; Lawrence, Justin; Bowman, Jeff; Grantham, Meg; Glass, Jennifer B.; Plattner, Taylor; Chivers, Chase; Doran, Peter; OAST Team</t>
  </si>
  <si>
    <t>The Bioburden and Ionic Composition of Hypersaline Lake Ices: Novel Habitats on Earth and Their Astrobiological Implications</t>
  </si>
  <si>
    <t>ASTROBIOLOGY</t>
  </si>
  <si>
    <t>Brines; Ices; Planetary Analogs; Ice-Ocean Worlds; Mars; Halophilic Psychrophiles</t>
  </si>
  <si>
    <t>ANTARCTIC SEA-ICE; WATER; EUROPA; OCEAN; LIFE; SURFACE; BRINE; TRANSPORT; SALINITY; MODEL</t>
  </si>
  <si>
    <t>We present thermophysical, biological, and chemical observations of ice and brine samples from five compositionally diverse hypersaline lakes in British Columbia's interior plateau. Possessing a spectrum of magnesium, sodium, sulfate, carbonate, and chloride salts, these low-temperature high-salinity lakes are analogs for planetary ice-brine environments, including the ice shells of Europa and Enceladus and ice-brine systems on Mars. As such, understanding the thermodynamics and biogeochemistry of these systems can provide insights into the evolution, habitability, and detectability of high-priority astrobiology targets. We show that biomass is typically concentrated in a layer near the base of the ice cover, but that chemical and biological impurities are present throughout the ice. Coupling bioburden, ionic concentration, and seasonal temperature measurements, we demonstrate that impurity entrainment in the ice is directly correlated to ice formation rate and parent fluid composition. We highlight unique phenomena, including brine supercooling, salt hydrate precipitation, and internal brine layers in the ice cover, important processes to be considered for planetary ice-brine environments. These systems can be leveraged to constrain the distribution, longevity, and habitability of low-temperature solar system brines-relevant to interpreting spacecraft data and planning future missions in the lens of both planetary exploration and planetary protection.</t>
  </si>
  <si>
    <t>[Buffo, Jacob J.] Dartmouth Coll, Thayer Sch Engn, Hanover, NH USA; [Brown, Emma K.] Arizona State Univ, Sch Earth &amp; Space Explorat, Phoenix, AZ USA; [Pontefract, Alexandra] Johns Hopkins Univ, Appl Phys Lab, Laurel, MD USA; [Schmidt, Britney E.] Cornell Univ, Dept Astron, Ithaca, NY USA; [Klempay, Benjamin; Bowman, Jeff] Scripps Inst Oceanog, La Jolla, CA USA; [Lawrence, Justin; Grantham, Meg; Glass, Jennifer B.; Plattner, Taylor; Chivers, Chase] Georgia Inst Technol, Sch Earth &amp; Atmospher Sci, Atlanta, GA USA; [Doran, Peter] Louisiung State Univ, Dept Geol &amp; Geophys, Baton Rouge, LA USA; [Buffo, Jacob J.] Dartmouth Coll, Thayer Sch Engn, 14 Engn Dr, Hanover, NH 03755 USA</t>
  </si>
  <si>
    <t>Dartmouth College; Arizona State University; Arizona State University-Downtown Phoenix; Johns Hopkins University; Johns Hopkins University Applied Physics Laboratory; Cornell University; University of California System; University of California San Diego; Scripps Institution of Oceanography; University System of Georgia; Georgia Institute of Technology; Dartmouth College</t>
  </si>
  <si>
    <t>Buffo, JJ (corresponding author), Dartmouth Coll, Thayer Sch Engn, 14 Engn Dr, Hanover, NH 03755 USA.</t>
  </si>
  <si>
    <t>jacobbuffo91@gmail.com</t>
  </si>
  <si>
    <t>Glass, Jennifer/H-5363-2018</t>
  </si>
  <si>
    <t>Glass, Jennifer/0000-0003-0775-2486; Bowman, Jeff/0000-0002-8811-6280; Pontefract, Alexandra/0009-0009-1510-2425; Buffo, Jacob/0000-0002-3234-3417; Lawrence, Justin/0000-0001-7520-5914; Klempay, Benjamin/0000-0003-3531-829X</t>
  </si>
  <si>
    <t>NASA Network for Life Detection project Oceans Across Space and Time [80NSSC18K1301]; American Philosophical Society Lewis and Clark Fund for Exploration and Field Research in Astrobiology grant (Title: Biosignature Dynamics in British Columbias Frozen Hypersaline Lakes: Implications for the Habitability and Bioburden of Ice-Brine Environme; NASA Exobiology grant, Biosignature Preservation in Sulfate Dominated Environments [80NSSC20K0849]</t>
  </si>
  <si>
    <t>NASA Network for Life Detection project Oceans Across Space and Time; American Philosophical Society Lewis and Clark Fund for Exploration and Field Research in Astrobiology grant (Title: Biosignature Dynamics in British Columbias Frozen Hypersaline Lakes: Implications for the Habitability and Bioburden of Ice-Brine Environme; NASA Exobiology grant, Biosignature Preservation in Sulfate Dominated Environments</t>
  </si>
  <si>
    <t>Jacob J. Buffo, Emma K. Brown, Alexandra Pontefract, Britney E. Schmidt, Benjamin Klempay, Justin Lawrence, Jeff Bowman, Jennifer B. Glass, and Peter Doran were funded by the NASA Network for Life Detection project Oceans Across Space and Time (Grant No. 80NSSC18K1301). Jacob J. Buffo and Emma K. Brown were additionally funded through an American Philosophical Society Lewis and Clark Fund for Exploration and Field Research in Astrobiology grant (Title: Biosignature Dynamics in British Columbias Frozen Hypersaline Lakes: Implications for the Habitability and Bioburden of Ice-Brine Environments). Alexandra Pontefract was also supported by NASA Exobiology grant, Biosignature Preservation in Sulfate Dominated Environments (Grant No. 80NSSC20K0849).</t>
  </si>
  <si>
    <t>MARY ANN LIEBERT, INC</t>
  </si>
  <si>
    <t>NEW ROCHELLE</t>
  </si>
  <si>
    <t>140 HUGUENOT STREET, 3RD FL, NEW ROCHELLE, NY 10801 USA</t>
  </si>
  <si>
    <t>1531-1074</t>
  </si>
  <si>
    <t>1557-8070</t>
  </si>
  <si>
    <t>Astrobiology</t>
  </si>
  <si>
    <t>10.1089/ast.2021.0078</t>
  </si>
  <si>
    <t>Astronomy &amp; Astrophysics; Biology; Geosciences, Multidisciplinary</t>
  </si>
  <si>
    <t>Astronomy &amp; Astrophysics; Life Sciences &amp; Biomedicine - Other Topics; Geology</t>
  </si>
  <si>
    <t>3L2SU</t>
  </si>
  <si>
    <t>WOS:000808480500001</t>
  </si>
  <si>
    <t>Nelson, WA; Neill, KF; D'Archino, R; Sutherland, JE</t>
  </si>
  <si>
    <t>Nelson, Wendy A.; Neill, Kate F.; D'Archino, Roberta; Sutherland, Judy E.</t>
  </si>
  <si>
    <t>Marine macroalgae of the Balleny Islands and Ross Sea</t>
  </si>
  <si>
    <t>ANTARCTIC SCIENCE</t>
  </si>
  <si>
    <t>Antarctica; biodiversity; new records; Phyllophorella; seaweed; Southern Ocean</t>
  </si>
  <si>
    <t>ANTARCTIC CERAMIACEAE RHODOPHYCEAE; NEW-ZEALAND; SP-NOV; PHYLLOPHORA-ANTARCTICA; MOLECULAR DIVERGENCE; MCMURDO SOUND; CAPE EVANS; GENUS; PENINSULA; XANTHOPHYCEAE</t>
  </si>
  <si>
    <t>The macroalgae of the Balleny Islands (66 degrees 15 ' S-67 degrees 35 ' S and 162 degrees 30 ' E-165 degrees 00 ' E) have been infrequently collected and the flora remains poorly known. This chain of islands is located on the edge of the Antarctic Circle in the northern Ross Sea, 250 km north of the coast of northern Victoria Land, and it represents the most northerly land in the Ross Sea region. As well as being very remote, access to these islands is difficult given the highly variable prevailing ice conditions. We summarize the macroalgal floras of the Balleny Islands and the Ross Sea, including reporting new records, extending the known distribution of other taxa and highlighting the need for further taxonomic research on some of the most common and widespread species. Many of the taxa reported have been collected on few occasions and, as a consequence, there is insufficient material available, including reproductively mature samples, for some species to be fully documented. While these collections are providing intriguing insights into the relationships between the macroalgae found around the Antarctic continent, the full biodiversity of the Balleny Islands remains to be investigated, and further collections are required to enable detailed comparisons with other parts of the Antarctic region.</t>
  </si>
  <si>
    <t>[Nelson, Wendy A.; Neill, Kate F.; D'Archino, Roberta; Sutherland, Judy E.] Natl Inst Water &amp; Atmospher Res, Private Bag 14901, Wellington 6241, New Zealand; [Nelson, Wendy A.] Univ Auckland, Sch Biol Sci, Private Bag 92019, Auckland 1142, New Zealand</t>
  </si>
  <si>
    <t>National Institute of Water &amp; Atmospheric Research (NIWA) - New Zealand; University of Auckland</t>
  </si>
  <si>
    <t>Nelson, WA (corresponding author), Natl Inst Water &amp; Atmospher Res, Private Bag 14901, Wellington 6241, New Zealand.;Nelson, WA (corresponding author), Univ Auckland, Sch Biol Sci, Private Bag 92019, Auckland 1142, New Zealand.</t>
  </si>
  <si>
    <t>wendy.nelson@niwa.co.nz</t>
  </si>
  <si>
    <t>nelson, wendy/0000-0003-0014-5560</t>
  </si>
  <si>
    <t>NIWA SSIF</t>
  </si>
  <si>
    <t>This work has been supported by funding from NIWA SSIF to the Coasts and Oceans National Centre, Marine Biodiversity Programme.</t>
  </si>
  <si>
    <t>0954-1020</t>
  </si>
  <si>
    <t>1365-2079</t>
  </si>
  <si>
    <t>ANTARCT SCI</t>
  </si>
  <si>
    <t>Antarct. Sci.</t>
  </si>
  <si>
    <t>10.1017/S0954102022000220</t>
  </si>
  <si>
    <t>Environmental Sciences; Geography, Physical; Geosciences, Multidisciplinary</t>
  </si>
  <si>
    <t>Environmental Sciences &amp; Ecology; Physical Geography; Geology</t>
  </si>
  <si>
    <t>4M7JO</t>
  </si>
  <si>
    <t>WOS:000808291600001</t>
  </si>
  <si>
    <t>Dorschel, B; Hehemann, L; Viquerat, S; Warnke, F; Dreutter, S; Tenberge, YS; Accettella, D; An, L; Barrios, F; Bazhenova, E; Black, J; Bohoyo, F; Davey, C; De Santis, L; Dotti, CE; Fremand, AC; Fretwell, PT; Gales, JA; Gao, JY; Gasperini, L; Greenbaum, JS; Jencks, JH; Hogan, K; Hong, JK; Jakobsson, M; Jensen, L; Kool, J; Larin, S; Larter, RD; Leitchenkov, G; Loubrieu, B; Mackay, K; Mayer, L; Millan, R; Morlighem, M; Navidad, F; Nitsche, FO; Nogi, Y; Pertuisot, C; Post, AL; Pritchard, HD; Purser, A; Rebesco, M; Rignot, E; Roberts, JL; Rovere, M; Ryzhov, I; Sauli, C; Schmitt, T; Silvano, A; Smith, J; Snaith, H; Tate, AJ; Tinto, K; Vandenbossche, P; Weatherall, P; Wintersteller, P; Yang, CG; Zhang, T; Arndt, JE</t>
  </si>
  <si>
    <t>Dorschel, Boris; Hehemann, Laura; Viquerat, Sacha; Warnke, Fynn; Dreutter, Simon; Tenberge, Yvonne Schulze; Accettella, Daniela; An, Lu; Barrios, Felipe; Bazhenova, Evgenia; Black, Jenny; Bohoyo, Fernando; Davey, Craig; De Santis, Laura; Dotti, Carlota Escutia; Fremand, Alice C.; Fretwell, Peter T.; Gales, Jenny A.; Gao, Jinyao; Gasperini, Luca; Greenbaum, Jamin S.; Jencks, Jennifer Henderson; Hogan, Kelly; Hong, Jong Kuk; Jakobsson, Martin; Jensen, Laura; Kool, Johnathan; Larin, Sergei; Larter, Robert D.; Leitchenkov, German; Loubrieu, Benoit; Mackay, Kevin; Mayer, Larry; Millan, Romain; Morlighem, Mathieu; Navidad, Francisco; Nitsche, Frank O.; Nogi, Yoshifumi; Pertuisot, Cecile; Post, Alexandra L.; Pritchard, Hamish D.; Purser, Autun; Rebesco, Michele; Rignot, Eric; Roberts, Jason L.; Rovere, Marzia; Ryzhov, Ivan; Sauli, Chiara; Schmitt, Thierry; Silvano, Alessandro; Smith, Jodie; Snaith, Helen; Tate, Alex J.; Tinto, Kirsty; Vandenbossche, Philippe; Weatherall, Pauline; Wintersteller, Paul; Yang, Chunguo; Zhang, Tao; Arndt, Jan Erik</t>
  </si>
  <si>
    <t>The International Bathymetric Chart of the Southern Ocean Version 2</t>
  </si>
  <si>
    <t>SCIENTIFIC DATA</t>
  </si>
  <si>
    <t>COMPILATION; TOPOGRAPHY; CARBON</t>
  </si>
  <si>
    <t>The Southern Ocean surrounding Antarctica is a region that is key to a range of climatic and oceanographic processes with worldwide effects, and is characterised by high biological productivity and biodiversity. Since 2013, the International Bathymetric Chart of the Southern Ocean (IBCSO) has represented the most comprehensive compilation of bathymetry for the Southern Ocean south of 60 degrees S. Recently, the IBCSO Project has combined its efforts with the Nippon Foundation - GEBCO Seabed 2030 Project supporting the goal of mapping the world's oceans by 2030. New datasets initiated a second version of IBCSO (IBCSO v2). This version extends to 50 degrees S (covering approximately 2.4 times the area of seafloor of the previous version) including the gateways of the Antarctic Circumpolar Current and the Antarctic circumpolar frontal systems. Due to increased (multibeam) data coverage, IBCSO v2 significantly improves the overall representation of the Southern Ocean seafloor and resolves many submarine landforms in more detail. This makes IBCSO v2 the most authoritative seafloor map of the area south of 50 degrees S.</t>
  </si>
  <si>
    <t>[Dorschel, Boris; Hehemann, Laura; Viquerat, Sacha; Warnke, Fynn; Dreutter, Simon; Tenberge, Yvonne Schulze; Purser, Autun; Arndt, Jan Erik] Helmholtz Zentrum Polar &amp; Meeresforsch, Alfred Wegener Inst, Bremerhaven, Germany; [Warnke, Fynn] Univ Auckland, Sch Environm, Fac Sci, Auckland, New Zealand; [Accettella, Daniela; De Santis, Laura; Rebesco, Michele; Sauli, Chiara] Natl Inst Oceanog &amp; Appl Geophys OGS, Trieste, Italy; [An, Lu; Millan, Romain; Morlighem, Mathieu; Rignot, Eric] Univ Calif Irvine, Dept Earth Syst Sci, Irvine, CA USA; [An, Lu] Tongji Univ, Coll Surveying &amp; Geoinformat, Shanghai, Peoples R China; [Barrios, Felipe] Serv Hidrog &amp; Oceanog Armada Chile, Santiago, Chile; [Bazhenova, Evgenia; Larin, Sergei] Polar Marine Geosurvey Expedit, St Petersburg, Russia; [Black, Jenny] GNS Sci, Lower Hutt, New Zealand; [Bohoyo, Fernando] CSIC, Geol Survey Spain CN IGME, Madrid, Spain; [Davey, Craig; Navidad, Francisco; Vandenbossche, Philippe] CSIRO, Natl Collect &amp; Marine Infrastruct, Hobart, Tas, Australia; [Dotti, Carlota Escutia] UGR, CSIC, Inst Andaluz Ciencias Tierra, Granada, Spain; [Fremand, Alice C.; Fretwell, Peter T.; Hogan, Kelly; Larter, Robert D.; Pritchard, Hamish D.; Tate, Alex J.] British Antarctic Survey, Cambridge, England; [Gales, Jenny A.] Univ Plymouth, Sch Biol &amp; Marine Sci, Plymouth, Devon, England; [Gao, Jinyao; Yang, Chunguo; Zhang, Tao] MNR, Inst Oceanog 2, Key Lab Submarine Geosci, Hangzhou, Zhejiang, Peoples R China; [Gasperini, Luca; Rovere, Marzia] Ist Sci Marine CNR ISMAR, Bologna, Italy; [Greenbaum, Jamin S.] Univ Calif San Diego, Scripps Inst Oceanog, La Jolla, CA 92093 USA; [Jencks, Jennifer Henderson] NOAAs Natl Ctr Environm Informat, IHO Data Ctr Digital Bathymetry, Boulder, CO USA; [Hong, Jong Kuk] Korea Polar Res Inst, Incheon, South Korea; [Jakobsson, Martin] Stockholm Univ, Dept Geol Sci, Stockholm, Sweden; [Jensen, Laura] HafenCity Univ Hamburg, Hamburg, Germany; [Kool, Johnathan; Roberts, Jason L.] Australian Antarctic Div, Kingston, Tas, Australia; [Leitchenkov, German] All Russian Res Inst Geol &amp; Mineral Resources Wor, St Petersburg, Russia; [Loubrieu, Benoit; Pertuisot, Cecile] IFREMER, Ctr Bretagne, Plouzane, France; [Mackay, Kevin] Natl Inst Water &amp; Atmospher Res Ltd NIWA, Wellington, New Zealand; [Mayer, Larry] Univ New Hampshire, Ctr Coastal &amp; Ocean Mapping, Durham, NH 03824 USA; [Millan, Romain] Inst Geosci Environm, Grenoble, France; [Morlighem, Mathieu] Dartmouth Coll, Dept Earth Sci, Hanover, NH 03755 USA; [Nitsche, Frank O.; Tinto, Kirsty] Columbia Univ, Lamont Doherty Earth Observ, Palisades, NY USA; [Nogi, Yoshifumi] Natl Inst Polar Res, Tokyo, Japan; [Post, Alexandra L.; Smith, Jodie] Geosci Australia, Canberra, ACT, Australia; [Post, Alexandra L.; Smith, Jodie] Univ Tasmania, Inst Marine &amp; Antarctic Studies, Australian Antarctic Program Partnership, Hobart, Tas, Australia; [Rignot, Eric] CALTECH, Jet Prop Lab, Pasadena, CA USA; [Rignot, Eric] Univ Calif Irvine, Dept Civil &amp; Environm Engn, Irvine, CA USA; [Ryzhov, Ivan] Arctic &amp; Antarctic Res Inst, St Petersburg, Russia; [Schmitt, Thierry] Serv Hydrog &amp; Oceanog Marine, Brest, Bretagne, France; [Silvano, Alessandro] Univ Southampton, Ocean &amp; Earth Sci, Southampton, Hants, England; [Snaith, Helen] Natl Oceanog Ctr, British Oceanog Data Ctr, Southampton, Hants, England; [Weatherall, Pauline] Natl Oceanog Ctr, British Oceanog Data Ctr, Liverpool, Merseyside, England; [Wintersteller, Paul] Univ Bremen, MARUM, Bremen, Germany; [Wintersteller, Paul] Univ Bremen, Fac Geosci, Bremen, Germany; [Arndt, Jan Erik] Fed Inst Hydrol, Koblenz, Germany</t>
  </si>
  <si>
    <t>Helmholtz Association; Alfred Wegener Institute, Helmholtz Centre for Polar &amp; Marine Research; University of Auckland; Istituto Nazionale di Oceanografia e di Geofisica Sperimentale; University of California System; University of California Irvine; Tongji University; GNS Science - New Zealand; Consejo Superior de Investigaciones Cientificas (CSIC); Commonwealth Scientific &amp; Industrial Research Organisation (CSIRO); University of Granada; Consejo Superior de Investigaciones Cientificas (CSIC); CSIC - Instituto Andaluz de Ciencias de la Tierra (IACT); UK Research &amp; Innovation (UKRI); Natural Environment Research Council (NERC); NERC British Antarctic Survey; University of Plymouth; Consiglio Nazionale delle Ricerche (CNR); Istituto di Scienze Marine (ISMAR-CNR); University of California System; University of California San Diego; Scripps Institution of Oceanography; Korea Polar Research Institute (KOPRI); Stockholm University; Australian Antarctic Division; A.P. Karpinsky Russian Geological Research Institute (VSEGEI); Ifremer; Universite de Bretagne Occidentale; National Institute of Water &amp; Atmospheric Research (NIWA) - New Zealand; University System Of New Hampshire; University of New Hampshire; Dartmouth College; Columbia University; Research Organization of Information &amp; Systems (ROIS); National Institute of Polar Research (NIPR) - Japan; Geoscience Australia; University of Tasmania; California Institute of Technology; National Aeronautics &amp; Space Administration (NASA); NASA Jet Propulsion Laboratory (JPL); University of California System; University of California Irvine; Arctic &amp; Antarctic Research Institute; University of Southampton; NERC National Oceanography Centre; NERC National Oceanography Centre; University of Bremen; University of Bremen</t>
  </si>
  <si>
    <t>Dorschel, B (corresponding author), Helmholtz Zentrum Polar &amp; Meeresforsch, Alfred Wegener Inst, Bremerhaven, Germany.</t>
  </si>
  <si>
    <t>Boris.Dorschel@awi.de</t>
  </si>
  <si>
    <t>Gasperini, Luca/B-8796-2017; Escutia, Carlota/B-8614-2015; An, Lu/ISS-6776-2023; Rebesco, Michele/B-7462-2014; Schmitt, Thierry/ACC-8608-2022; Nitsche, Frank O/A-9343-2009; GAO, Jinyao/HHN-6642-2022; Rignot, Eric/A-4560-2014; Morlighem, Mathieu/O-9942-2014; Bohoyo, Fernando/C-1062-2011; Bazhenova, Evgenia/G-1505-2015</t>
  </si>
  <si>
    <t>Rebesco, Michele/0000-0002-9492-4081; Schmitt, Thierry/0000-0001-8582-2553; Nitsche, Frank O/0000-0002-4137-547X; Rignot, Eric/0000-0002-3366-0481; Morlighem, Mathieu/0000-0001-5219-1310; Bohoyo, Fernando/0000-0002-1044-8816; Mayer, Larry/0000-0003-1846-5140; Van Den Bossche, Philippe/0000-0001-7451-3878; Hehemann, Laura/0000-0003-0967-8945; Dorschel, Boris/0000-0002-3495-5927; Schulze Tenberge, Yvonne/0000-0001-9237-8606; AN, LU/0000-0003-3507-5953; ACCETTELLA, Daniela/0000-0001-8886-6607; Gales, Jenny/0000-0003-4402-5800; Bazhenova, Evgenia/0000-0002-8092-702X; Yang, Chunguo/0000-0001-6450-8530; Navidad, Francisco/0000-0001-7290-8200; Silvano, Alessandro/0000-0002-6441-1496; Pertuisot, Cecile/0000-0002-5474-2224; Viquerat, Sacha/0000-0002-2519-7319; Warnke, Fynn/0000-0002-7477-5058; Arndt, Jan Erik/0000-0002-9413-1612; Jakobsson, Martin/0000-0002-9033-3559</t>
  </si>
  <si>
    <t>Nippon Foundation of Japan; AWI Annex funds; ANTSSS project of Eurofleets2 EU programme [312762]; NASA [80NSSC18M0083, NNX10AN61G]; Polar Geospatial Center under NSF-OPP [1043681, 1559691]; Byrd Polar and Climate Research Center; Polar Geospatial Center under NSF-OPP awards [1043681, 1559691, 1543501, 1810976, 1542736, 1541332, 0753663, 1548562, 1238993]; NASA [NNX10AN61G, 127993] Funding Source: Federal RePORTER; Directorate For Geosciences; Office of Polar Programs (OPP) [0753663] Funding Source: National Science Foundation; Directorate For Geosciences; Office of Polar Programs (OPP) [1543501] Funding Source: National Science Foundation; Office of Advanced Cyberinfrastructure (OAC); Direct For Computer &amp; Info Scie &amp; Enginr [1810976] Funding Source: National Science Foundation</t>
  </si>
  <si>
    <t>Nippon Foundation of Japan; AWI Annex funds; ANTSSS project of Eurofleets2 EU programme; NASA(National Aeronautics &amp; Space Administration (NASA)); Polar Geospatial Center under NSF-OPP; Byrd Polar and Climate Research Center; Polar Geospatial Center under NSF-OPP awards; NASA(National Aeronautics &amp; Space Administration (NASA)); Directorate For Geosciences; Office of Polar Programs (OPP)(National Science Foundation (NSF)NSF - Directorate for Geosciences (GEO)); Directorate For Geosciences; Office of Polar Programs (OPP)(National Science Foundation (NSF)NSF - Directorate for Geosciences (GEO)); Office of Advanced Cyberinfrastructure (OAC); Direct For Computer &amp; Info Scie &amp; Enginr(National Science Foundation (NSF)NSF - Directorate for Computer &amp; Information Science &amp; Engineering (CISE))</t>
  </si>
  <si>
    <t>IBCSO is part of GEBCO and the Nippon Foundation - GEBCO Seabed 2030 Project and receives funding from the Nippon Foundation of Japan. Additional funding was provided by AWI Annex funds. Here we would like to express our sincere gratitude to all agencies, institutions, and individuals that have laboriously collected bathymetric data in the Southern Ocean and have provided them to the IBCSO Project. Furthermore, we would like to thank everybody who helped in the background facilitating the compilation of data. We are grateful to AORI and the RV Hakuho-Maru for providing bathymetric data from the expeditions KH07-04, KH09-05, and KH10-07. Data were also collected by RV OGS Explora during the ANTSSS project of Eurofleets2 EU programme grant no. 312762. We are also thankful for data provided by the Korea Polar Research Institute. We acknowledge the use of the CSIRO Marine National Facility, grid.473585.8 in undertaking this research. We thank NASA for funding BedMachine under NASA Award 80NSSC18M0083. For the REMA dataset, we acknowledge geospatial support provided by the Polar Geospatial Center under NSF-OPP awards 1043681 and 1559691 and DEMs provided by the Byrd Polar and Climate Research Center and the Polar Geospatial Center under NSF-OPP awards 1543501, 1810976, 1542736, 1559691, 1043681, 1541332, 0753663, 1548562, 1238993 and NASA award NNX10AN61G. We are thankful to two anonymous reviewer for improving the manuscript with their helpful comments.</t>
  </si>
  <si>
    <t>2052-4463</t>
  </si>
  <si>
    <t>SCI DATA</t>
  </si>
  <si>
    <t>Sci. Data</t>
  </si>
  <si>
    <t>10.1038/s41597-022-01366-7</t>
  </si>
  <si>
    <t>1X5XD</t>
  </si>
  <si>
    <t>WOS:000807525600006</t>
  </si>
  <si>
    <t>González-Aravena, M; Iturra, G; Font, A; Cárdenas, CA; Rondon, R; Bergami, E; Corsi, I</t>
  </si>
  <si>
    <t>Gonzalez-Aravena, Marcelo; Iturra, Graciela; Font, Alejandro; Cardenas, Cesar A.; Rondon, Rodolfo; Bergami, Elisa; Corsi, Ilaria</t>
  </si>
  <si>
    <t>Unravelling the suitability of Branchinecta gaini as a potential biomonitor of contaminants of emerging concern in the Antarctic Peninsula region</t>
  </si>
  <si>
    <t>biomonitoring; ecotoxicity; gene expression; titanium dioxide nanoparticles</t>
  </si>
  <si>
    <t>TITANIUM-DIOXIDE NANOPARTICLES; CATHEPSIN-L GENE; EXPRESSION; BEHAVIOR; SHRIMP; NANOMATERIALS; ENVIRONMENT; NANO-TIO2; TOXICITY; RELEASE</t>
  </si>
  <si>
    <t>The occurrence and impact of contaminants of emerging concerns (CECs) have been investigated in Antarctica much less than in other parts of the world. Although legacy anthropogenic pollutants can reach Antarctica via long-range transport, CECs mainly originate from local sources. Here, we investigated the ability of a freshwater crustacean, the Antarctic fairy shrimp Branchinecta gaini, to cope with nanoscale titanium dioxide (n-TiO2), a widely used pigment in consumer products (e.g. paintings), including those for personal care (e.g. sunscreens). An in vivo acute short-term exposure study (9 h, n-TiO2 concentration range 50-200 mu g ml(-1)) was performed and the expression levels of several genes involved in stress response were evaluated. No effect on the expression of heat-shock protein chaperone genes was found, with the exception of Hsp70a, which was significantly upregulated at 200 mu g ml(-1) n-TiO2. Similarly, cytochrome P450 was upregulated at 100 and 200 mu g ml(-1) n-TiO2, while the expression levels of cathepsin L and of antioxidant genes such as superoxide dismutase and glutathione peroxidase were significantly reduced with increasing concentrations of n-TiO2. This study shows for the first time the responsiveness and sensitivity of an Antarctic freshwater crustacean to n-TiO2 exposure and supports its suitability as a biomonitor of CECs in Antarctica.</t>
  </si>
  <si>
    <t>[Gonzalez-Aravena, Marcelo; Iturra, Graciela; Font, Alejandro; Cardenas, Cesar A.; Rondon, Rodolfo] Inst Antartico Chileno, Dept Cient, Punta Arenas, Chile; [Cardenas, Cesar A.] Millennium Inst Biodivers Antarctic &amp; Subantarct, Santiago, Chile; [Bergami, Elisa] Univ Modena &amp; Reggio Emilia, Dept Life Sci, Via Campi 2131D, I-41125 Modena, Italy; [Bergami, Elisa; Corsi, Ilaria] Univ Siena, Dept Phys Earth &amp; Environm Sci, Via Mattioli 4, I-53100 Siena, Italy</t>
  </si>
  <si>
    <t>Universita di Modena e Reggio Emilia; University of Siena</t>
  </si>
  <si>
    <t>González-Aravena, M (corresponding author), Inst Antartico Chileno, Dept Cient, Punta Arenas, Chile.</t>
  </si>
  <si>
    <t>mgonzalez@inach.cl</t>
  </si>
  <si>
    <t>Corsi, Ilaria/D-3795-2012; Bergami, Elisa/JFJ-1703-2023</t>
  </si>
  <si>
    <t>Corsi, Ilaria/0000-0002-1811-3041; Bergami, Elisa/0000-0001-8149-9584; Rondon, Rodolfo/0000-0002-0292-7438; Cardenas, Cesar/0000-0001-6662-6899</t>
  </si>
  <si>
    <t>ANID-Chile (Fondecyt) [11190802]</t>
  </si>
  <si>
    <t>ANID-Chile (Fondecyt)</t>
  </si>
  <si>
    <t>The study was financed by grants from ANID-Chile (Fondecyt 11190802).</t>
  </si>
  <si>
    <t>32 AVENUE OF THE AMERICAS, NEW YORK, NY 10013-2473 USA</t>
  </si>
  <si>
    <t>PII S0954102022000086</t>
  </si>
  <si>
    <t>10.1017/S0954102022000086</t>
  </si>
  <si>
    <t>WOS:000807257600001</t>
  </si>
  <si>
    <t>Zhang, B; Guo, X; Lin, JX; Sun, PZ; Ren, X; Xu, W; Tong, Y; Li, DM</t>
  </si>
  <si>
    <t>Zhang, Biao; Guo, Xuan; Lin, Junxin; Sun, Peizi; Ren, Xiang; Xu, Wei; Tong, Yi; Li, Dongmei</t>
  </si>
  <si>
    <t>Effect and synergy of different exogenous additives on gel properties of the mixed shrimp surimi (Antarctic krill and white shrimp)</t>
  </si>
  <si>
    <t>INTERNATIONAL JOURNAL OF FOOD SCIENCE AND TECHNOLOGY</t>
  </si>
  <si>
    <t>Exogenous additives; gel properties; mixed shrimp surimi; synergistic effect</t>
  </si>
  <si>
    <t>PROTEIN; GELATION</t>
  </si>
  <si>
    <t>The object of this study was a high-protein Antarctic krill ball which was made of mixed shrimp surimi (Antarctic krill and white shrimp). The effects of four different exogenous additives on gel properties and spatial structure of mixed shrimp surimi systems during processing were investigated by texture profile analysis, low-field nuclear magnetic resonance, magnetic resonance imaging, Fourier-transform infrared spectroscopy, scanning electron microscopy and rheology analysis, according to product formulation and processing conditions. Different exogenous additives improved distinctly the mixed shrimp surimi system. The use of the four exogenous additives combined had a synergistic promotional effect. Acetylated distarch adipate, egg white powder and soy protein isolate played a vital role in producing high-protein Antarctic krill balls. The relatively limited improvement of transglutaminase could be attributed to processing temperature and the presence of autolytic enzymes originated intrinsically from Antarctic krill surimi.</t>
  </si>
  <si>
    <t>[Zhang, Biao; Guo, Xuan; Lin, Junxin; Sun, Peizi; Ren, Xiang; Xu, Wei; Li, Dongmei] Dalian Polytech Univ, Natl Engn Res Ctr Seafood, Sch Food Sci &amp; Technol, Dalian 116034, Liaoning, Peoples R China; [Tong, Yi] COFCO Biotechnol Co Ltd, Bengbu 233010, Anhui, Peoples R China; [Li, Dongmei] Minist Educ China, Engn Res Ctr Seafood, Dalian 116034, Liaoning, Peoples R China; [Li, Dongmei] Dalian Polytech Univ, Collaborat Innovat Ctr Seafood Deep Proc, Dalian 116034, Liaoning, Peoples R China</t>
  </si>
  <si>
    <t>Dalian Polytechnic University; Dalian Polytechnic University</t>
  </si>
  <si>
    <t>Li, DM (corresponding author), Dalian Polytech Univ, Natl Engn Res Ctr Seafood, Sch Food Sci &amp; Technol, Dalian 116034, Liaoning, Peoples R China.;Li, DM (corresponding author), Minist Educ China, Engn Res Ctr Seafood, Dalian 116034, Liaoning, Peoples R China.;Li, DM (corresponding author), Dalian Polytech Univ, Collaborat Innovat Ctr Seafood Deep Proc, Dalian 116034, Liaoning, Peoples R China.</t>
  </si>
  <si>
    <t>426417898@qq.com</t>
  </si>
  <si>
    <t>Zhang, Biao/ITT-6509-2023; ren, xiang/HLQ-5068-2023</t>
  </si>
  <si>
    <t>Zhang, Biao/0000-0001-8334-5175;</t>
  </si>
  <si>
    <t>National Key Research and Development Project of China [2017YFD0400504]; COFCO Biotechnology Co., Ltd. [2021210205000014]</t>
  </si>
  <si>
    <t>National Key Research and Development Project of China; COFCO Biotechnology Co., Ltd.</t>
  </si>
  <si>
    <t>This work was supported by the National Key Research and Development Project of China (Grant No. 2017YFD0400504). We also thank COFCO Biotechnology Co., Ltd. for its support (No. 2021210205000014).</t>
  </si>
  <si>
    <t>0950-5423</t>
  </si>
  <si>
    <t>1365-2621</t>
  </si>
  <si>
    <t>INT J FOOD SCI TECH</t>
  </si>
  <si>
    <t>Int. J. Food Sci. Technol.</t>
  </si>
  <si>
    <t>SI</t>
  </si>
  <si>
    <t>10.1111/ijfs.15864</t>
  </si>
  <si>
    <t>Food Science &amp; Technology</t>
  </si>
  <si>
    <t>2Z5BB</t>
  </si>
  <si>
    <t>WOS:000806721100001</t>
  </si>
  <si>
    <t>Forte, E; French, HM; Raffi, R; Santin, I; Guglielmin, M</t>
  </si>
  <si>
    <t>Forte, Emanuele; French, Hugh M.; Raffi, Rossana; Santin, Ilaria; Guglielmin, Mauro</t>
  </si>
  <si>
    <t>Investigations of polygonal patterned ground in continuous Antarctic permafrost by means of ground penetrating radar and electrical resistivity tomography: Some unexpected correlations</t>
  </si>
  <si>
    <t>PERMAFROST AND PERIGLACIAL PROCESSES</t>
  </si>
  <si>
    <t>electrical resistivity tomography; ground penetrating radar; ice wedges; permafrost; polygonal pattern</t>
  </si>
  <si>
    <t>NORTHERN VICTORIA LAND; TERRA-NOVA BAY; HOLOCENE RAISED BEACHES; ICE-WEDGE; TUNDRA; NETWORKS; DYNAMICS; AREAS; ENVIRONMENT; DEPOSITS</t>
  </si>
  <si>
    <t>The results of a combined geophysical and geomorphological investigation of thermal-contraction-crack polygons near Gondwana station (Germany) in northern Victoria Land (Antarctica) are reported. An area of about 20,000 m(2) characterized by random orthogonal polygons was investigated using integrated ground penetrating radar, electrical resistivity tomography, geomorphological surveys, and two trench excavations. The polygons are well developed only at elevations higher than 6-7 m above current sea level on Holocene-age raised beaches. It is concluded that the polygons are composite in nature because the shallow linear depressions that outline the polygons are underlain by fissures that can contain both sandy gravel and foliated ice (i.e., ice wedges) even in the same polygon network and at distances of just a few meters. Unexpectedly, most of the polygons follow the border of the raised beaches and develop in correspondence with stratigraphic layers dipping toward the sea, imaged by ground penetrating radar (GPR) profiles and interpreted as prograding layers toward the present-day shoreline.</t>
  </si>
  <si>
    <t>[Forte, Emanuele; Santin, Ilaria] Univ Trieste, Dept Math &amp; Geosci, Trieste, Italy; [French, Hugh M.] Univ Ottawa, Dept Geog &amp; Earth Sci, Ottawa, ON, Canada; [Raffi, Rossana] Univ Roma La Sapienza, Dept Earth Sci, Rome, Italy; [Guglielmin, Mauro] Insubria Univ, Dept Theoret &amp; Appl Sci, Varese, Italy</t>
  </si>
  <si>
    <t>University of Trieste; University of Ottawa; Sapienza University Rome; University of Insubria</t>
  </si>
  <si>
    <t>Forte, E (corresponding author), Univ Trieste, Dept Math &amp; Geosci, Trieste, Italy.</t>
  </si>
  <si>
    <t>eforte@units.it</t>
  </si>
  <si>
    <t>Santin, Ilaria/HNI-9046-2023</t>
  </si>
  <si>
    <t>Santin, Ilaria/0000-0003-3566-2189; Forte, Emanuele/0000-0002-5995-9254</t>
  </si>
  <si>
    <t>PNRA [2013/AZ1.05, 18_00288-D, 18_00186-E]</t>
  </si>
  <si>
    <t>PNRA</t>
  </si>
  <si>
    <t>PNRA, Grant/Award Numbers: 2013/AZ1.05, 18_00288-D, 18_00186-E</t>
  </si>
  <si>
    <t>1045-6740</t>
  </si>
  <si>
    <t>1099-1530</t>
  </si>
  <si>
    <t>PERMAFROST PERIGLAC</t>
  </si>
  <si>
    <t>Permafrost Periglacial Process.</t>
  </si>
  <si>
    <t>10.1002/ppp.2156</t>
  </si>
  <si>
    <t>Geography, Physical; Geology</t>
  </si>
  <si>
    <t>3A6TM</t>
  </si>
  <si>
    <t>WOS:000806964000001</t>
  </si>
  <si>
    <t>Aves, AR; Revell, LE; Gaw, S; Ruffell, H; Schuddeboom, A; Wotherspoon, NE; LaRue, M; McDonald, AJ</t>
  </si>
  <si>
    <t>Aves, Alex R.; Revell, Laura E.; Gaw, Sally; Ruffell, Helena; Schuddeboom, Alex; Wotherspoon, Ngaire E.; LaRue, Michelle; McDonald, Adrian J.</t>
  </si>
  <si>
    <t>First evidence of microplastics in Antarctic snow</t>
  </si>
  <si>
    <t>ROSS ICE SHELF; ATMOSPHERIC FALLOUT; SOUTHERN-OCEAN; TRANSPORT; SEA; IMPACTS; DEBRIS; CONTAMINATION; ECOSYSTEMS; DEPOSITION</t>
  </si>
  <si>
    <t>In recent years, airborne microplastics have been identified in a range of remote environments. However, data throughout the Southern Hemisphere, in particular Antarctica, are largely absent to date. We collected snow samples from 19 sites across the Ross Island region of Antarctica. Suspected microplastic particles were isolated and their composition confirmed using micro-Fourier transform infrared spectroscopy (mu FTIR). We identified microplastics in all Antarctic snow samples at an average concentration of 29 particles L-1, with fibres the most common morphotype and polyethylene terephthalate (PET) the most common polymer. To investigate sources, backward air mass trajectories were run from the time of sampling. These indicate potential long-range transportation of up to 6000 km, assuming a residence time of 6.5 d. Local sources were also identified as potential inputs into the environment as the polymers identified were consistent with those used in clothing and equipment from nearby research stations. This study adds to the growing body of literature regarding microplastics as a ubiquitous airborne pollutant and establishes their presence in Antarctica.</t>
  </si>
  <si>
    <t>[Aves, Alex R.; Revell, Laura E.; Gaw, Sally; Ruffell, Helena; Schuddeboom, Alex; Wotherspoon, Ngaire E.; McDonald, Adrian J.] Univ Canterbury, Sch Phys &amp; Chem Sci, Christchurch, New Zealand; [Aves, Alex R.; LaRue, Michelle; McDonald, Adrian J.] Univ Canterbury, Sch Earth &amp; Environm, Gateway Antarct, Christchurch, New Zealand</t>
  </si>
  <si>
    <t>University of Canterbury; University of Canterbury</t>
  </si>
  <si>
    <t>Aves, AR (corresponding author), Univ Canterbury, Sch Phys &amp; Chem Sci, Christchurch, New Zealand.;Aves, AR (corresponding author), Univ Canterbury, Sch Earth &amp; Environm, Gateway Antarct, Christchurch, New Zealand.</t>
  </si>
  <si>
    <t>alexandra.aves@pg.canterbury.ac.nz</t>
  </si>
  <si>
    <t>Aves, Alex/0000-0002-6251-3747; Revell, Laura/0000-0002-8974-7703; Schuddeboom, Alex/0000-0002-0487-7470</t>
  </si>
  <si>
    <t>Marsden Fund [MFP-UOC1903]</t>
  </si>
  <si>
    <t>Marsden Fund(Royal Society of New ZealandMarsden Fund (NZ))</t>
  </si>
  <si>
    <t>This research has been supported by the Marsden Fund (grant no. MFP-UOC1903).</t>
  </si>
  <si>
    <t>10.5194/tc-16-2127-2022</t>
  </si>
  <si>
    <t>1W9OC</t>
  </si>
  <si>
    <t>Y</t>
  </si>
  <si>
    <t>WOS:000807095100001</t>
  </si>
  <si>
    <t>Rathore, S; Goyal, R; Jangir, B; Ummenhofer, CC; Feng, M; Mishra, M</t>
  </si>
  <si>
    <t>Rathore, Saurabh; Goyal, Rishav; Jangir, Babita; Ummenhofer, Caroline C.; Feng, Ming; Mishra, Mayank</t>
  </si>
  <si>
    <t>Interactions Between a Marine Heatwave and Tropical Cyclone Amphan in the Bay of Bengal in 2020</t>
  </si>
  <si>
    <t>FRONTIERS IN CLIMATE</t>
  </si>
  <si>
    <t>compound extreme events; marine heatwave; tropical cyclone; Amphan; Fani; super cyclone; rapid intensification; extremely severe cyclone</t>
  </si>
  <si>
    <t>SURFACE; DRIVEN; IMPACT</t>
  </si>
  <si>
    <t>Interactions are diagnosed between a marine heatwave (MHW) event and tropical super cyclone Amphan in the Bay of Bengal. In May 2020, an MHW developed in the Bay of Bengal driven by coupled ocean-atmosphere processes which included shoaling of the mixed layer depth due to reduced wind speed, increased net surface shortwave radiation flux into the ocean, increased upper ocean stratification, and increased sub-surface warming. Ocean temperature, rather than salinity, dominated the stratification that contributed to the MHW development and the subsurface ocean warming that also increased tropical cyclone heat potential. The presence of this strong MHW with sea surface temperature anomalies &gt;2.5 &amp; DEG;C in the western Bay of Bengal coincided with the cyclone track and facilitated the rapid intensification of tropical cyclone Amphan to a super cyclone in just 24 h. This rapid intensification of a short-lived tropical cyclone, with a lifespan of 5 days over the ocean, is unprecedented in the Bay of Bengal during the pre-monsoon period (March-May). As the cyclone approached landfall in northern India, the wind-induced mixing deepened the mixed layer, cooled the ocean's surface, and reduced sub-surface warming in the bay, resulting in the demise of the MHW. This study provides new perspectives on the interactions between MHWs and tropical cyclones that could aid in improving the current understanding of compound extreme events that have severe socio-economic consequences in affected countries.</t>
  </si>
  <si>
    <t>[Rathore, Saurabh] Sorbonne Univ, LOCEAN IPSL, Paris, France; [Rathore, Saurabh] Univ Tasmania, Inst Marine &amp; Antarctic Studies, Hobart, Tas, Australia; [Goyal, Rishav] Univ New South Wales, Climate Change Res Ctr, Sydney, NSW, Australia; [Goyal, Rishav] Univ New South Wales, Australian Ctr Excellence Antarctic Sci, Sydney, NSW, Australia; [Jangir, Babita] Agr Res Org, Volcani Inst, Soil Water &amp; Environm Sci, Rishon Leziyyon, Israel; [Ummenhofer, Caroline C.] Woods Hole Oceanog Inst, Woods Hole, MA USA; [Ummenhofer, Caroline C.] Australian Res Council, Ctr Excellence Climate Extremes, Sydney, NSW, Australia; [Feng, Ming] Indian Ocean Marine Res Ctr, Commonwealth Sci &amp; Ind Res Org, Oceans &amp; Atmosphere, Crawley, WA, Australia; [Feng, Ming] Commonwealth Sci &amp; Ind Res Org, Ctr Southern Hemisphere Oceans Res, Hobart, Tas, Australia; [Mishra, Mayank] Indian Inst Technol Kharagpur, Ctr Oceans Rivers Atmosphere &amp; Land Sci, Kharagpur, India</t>
  </si>
  <si>
    <t>Museum National d'Histoire Naturelle (MNHN); Sorbonne Universite; University of Tasmania; University of New South Wales Sydney; University of New South Wales Sydney; VOLCANI INSTITUTE OF AGRICULTURAL RESEARCH; Woods Hole Oceanographic Institution; Commonwealth Scientific &amp; Industrial Research Organisation (CSIRO); University of Western Australia; Commonwealth Scientific &amp; Industrial Research Organisation (CSIRO); Indian Institute of Technology System (IIT System); Indian Institute of Technology (IIT) - Kharagpur</t>
  </si>
  <si>
    <t>Rathore, S (corresponding author), Sorbonne Univ, LOCEAN IPSL, Paris, France.;Rathore, S (corresponding author), Univ Tasmania, Inst Marine &amp; Antarctic Studies, Hobart, Tas, Australia.</t>
  </si>
  <si>
    <t>saurabh.rathore@utas.edu.au</t>
  </si>
  <si>
    <t>Feng, Ming/F-5411-2010</t>
  </si>
  <si>
    <t>Rathore, Saurabh/0000-0001-6677-6838</t>
  </si>
  <si>
    <t>Nanyang Technological University, Singapore; James E. and Barbara V. Moltz Fellowship for Climate-Related Research and the Independent Research amp; Development Program at WHOI; Centre for Southern Hemisphere Oceans Research (CSHOR)</t>
  </si>
  <si>
    <t>Nanyang Technological University, Singapore(Nanyang Technological University); James E. and Barbara V. Moltz Fellowship for Climate-Related Research and the Independent Research amp; Development Program at WHOI; Centre for Southern Hemisphere Oceans Research (CSHOR)</t>
  </si>
  <si>
    <t>CU acknowledges support from the James E. and Barbara V. Moltz Fellowship for Climate-Related Research and the Independent Research &amp; amp; Development Program at WHOI. MF was supported by the Centre for Southern Hemisphere Oceans Research (CSHOR), which is a joint initiative between the Qingdao National Laboratory for Marine Science and Technology (QNLM), CSIRO, University of New South Wales, and the University of Tasmania.</t>
  </si>
  <si>
    <t>2624-9553</t>
  </si>
  <si>
    <t>FRONT CLIM</t>
  </si>
  <si>
    <t>Front. Clim.</t>
  </si>
  <si>
    <t>10.3389/fclim.2022.861477</t>
  </si>
  <si>
    <t>Environmental Sciences; Environmental Studies</t>
  </si>
  <si>
    <t>Emerging Sources Citation Index (ESCI)</t>
  </si>
  <si>
    <t>Environmental Sciences &amp; Ecology</t>
  </si>
  <si>
    <t>L2TU1</t>
  </si>
  <si>
    <t>WOS:001021842400001</t>
  </si>
  <si>
    <t>Jost, AB; Hong, YY; Karanovic, I</t>
  </si>
  <si>
    <t>Jost, Anna B.; Hong, Yuanyuan; Karanovic, Ivana</t>
  </si>
  <si>
    <t>First description of soft body parts of Ambtonia Malz and Nipponocythere Ishizaki (Ostracoda) from Korea with details on the genera?s geographic and paleogeographic distribution</t>
  </si>
  <si>
    <t>MARINE MICROPALEONTOLOGY</t>
  </si>
  <si>
    <t>Cytheroidea; Loxoconchidae; Paleobiogeography; Soft body; Taxonomy; Trachyleberididae</t>
  </si>
  <si>
    <t>ANTHROPOGENIC POLLUTION; LOXOCONCHIDAE CRUSTACEA; NAGANUMA FORMATION; TEMPORAL-CHANGES; HIROSHIMA BAY; CENTRAL JAPAN; SAGAMI GROUP; OSAKA BAY; SEA; MARINE</t>
  </si>
  <si>
    <t>For the first time, soft body parts of ostracod genera, Nipponocythere Ishizaki, 1971 from the family Loxoconchidae and Ambtonia Malz, 1982 from the family Trachyleberididae, both belonging to the superfamily Cytheroidea, are described and illustrated. The specimens are male representatives of the species Nipponocythere bicarinata (Brady, 1880) and Ambtonia obai (Ishizaki, 1971), collected from Wando Island, Korea. Their soft body morphology does not completely conform with the latest identification key to cytheroid families, which suggests the need for a comprehensive revision. A revised diagnosis for the type species of both genera, Nipponocythere asamushiensis Ishizaki, 1971 and Ambtonia glabra Malz, 1982 is given. Stratigraphic ranges and ecological and paleoecological significance of families Loxoconchidae and Trachyleberididae are being discussed. Published records of N. bicarinata that provide an illustration and/or SEM have been taxonomically reviewed and a list of morphological variations is given. Spatial distribution data for both target species, N. bicarinata and A. obai, as well as their respective genera, were compiled separated by time: recent (i.e., Holocene) versus fossil (older than Holocene). With respect to the detected eco-phenotypes of N. bicarinata, a re-evaluation of its spatial distribution is given. We found that by excluding these morphological variations, its assumed spatial distribution is significantly altered, shifting its southernmost distribution margin, previously reported from the South China Sea, north to the northernmost region of the East China Sea.</t>
  </si>
  <si>
    <t>[Jost, Anna B.; Karanovic, Ivana] Hanyang Univ, Coll Nat Sci, Dept Life Sci, Seoul 04763, South Korea; [Hong, Yuanyuan] Univ Hong Kong, Sch Biol Sci, Pok Fu Lam, Pokfulam Rd, Hong Kong, Peoples R China; [Hong, Yuanyuan] Univ Hong Kong, Swire Inst Marine Sci, Shek O Rd, Hok Tsui, Hong Kong, Peoples R China; [Karanovic, Ivana] Hanyang Univ, Res Inst Convergence Basic Sci, Seoul 04763, South Korea; [Karanovic, Ivana] Univ Tasmania, Inst Marine &amp; Antarctic Studies, Private Bag 49, Hobart, Tasmania 7001, Australia</t>
  </si>
  <si>
    <t>Hanyang University; University of Hong Kong; University of Hong Kong; Hanyang University; University of Tasmania</t>
  </si>
  <si>
    <t>Jost, AB (corresponding author), Hanyang Univ, Coll Nat Sci, Dept Life Sci, Seoul 04763, South Korea.</t>
  </si>
  <si>
    <t>annajoest@outlook.com; oocirclr@gmail.com; ivana@hanyang.ac.kr</t>
  </si>
  <si>
    <t>Jost-Kim, Anna Beate/0000-0002-1289-3630</t>
  </si>
  <si>
    <t>National Research Foundation of Korea (NRF) [2016R1D-1A1B01009806]; Brain Pool Program through NRF - Ministry of Science and ICT [2019H1D3A1A01070922]; NRF - Ministry of Education [2020R1A6A1A06046728]; National Institute of Biological Resources (NIBR) - Ministry of Environment (MOE) of the Republic of Korea</t>
  </si>
  <si>
    <t>National Research Foundation of Korea (NRF)(National Research Foundation of Korea); Brain Pool Program through NRF - Ministry of Science and ICT(National Research Foundation of Korea); NRF - Ministry of Education(National Research Foundation of Korea); National Institute of Biological Resources (NIBR) - Ministry of Environment (MOE) of the Republic of Korea(Ministry of Environment (ME), Republic of Korea)</t>
  </si>
  <si>
    <t>We thank Dr. Hyunsu Yoo and Baek Su Yeon for collecting the ma-terial and Mr. Junho Kim at Eulji University (ROK) for assisting the SEM imaging preparations. We would also like to express our gratitude to the editor, Dr. R. W. Jordan, as well as the two anonymous reviewers for their constructive comments on an earlier version of this manuscript. The work described in this article was partially supported by grants from the National Research Foundation of Korea (NRF) [grant no: 2016R1D-1A1B01009806] , the Brain Pool Program through NRF funded by the Ministry of Science and ICT [reference code: 2019H1D3A1A01070922] , by the Basic Science Research Program through NRF funded by the Ministry of Education [grant no: 2020R1A6A1A06046728] , and by the National Institute of Biological Resources (NIBR) funded by the Ministry of Environment (MOE) of the Republic of Korea.</t>
  </si>
  <si>
    <t>0377-8398</t>
  </si>
  <si>
    <t>1872-6186</t>
  </si>
  <si>
    <t>MAR MICROPALEONTOL</t>
  </si>
  <si>
    <t>Mar. Micropaleontol.</t>
  </si>
  <si>
    <t>10.1016/j.marmicro.2021.102029</t>
  </si>
  <si>
    <t>Paleontology</t>
  </si>
  <si>
    <t>3D4WK</t>
  </si>
  <si>
    <t>WOS:000829304000006</t>
  </si>
  <si>
    <t>Zarikian, CAA; Nadiri, C; Alonso-Garcia, M; Rodrigues, T; Huang, HHM; Lindhorst, S; Kunkelova, T; Kroon, D; Betzler, C; Yasuhara, M</t>
  </si>
  <si>
    <t>Zarikian, Carlos A. Alvarez; Nadiri, Chimnaz; Alonso-Garcia, Montserrat; Rodrigues, Teresa; Huang, Huai-Hsuan M.; Lindhorst, Sebastian; Kunkelova, Tereza; Kroon, Dick; Betzler, Christian; Yasuhara, Moriaki</t>
  </si>
  <si>
    <t>Ostracod response to monsoon and OMZ variability over the past 1.2 Myr</t>
  </si>
  <si>
    <t>Expedition 359; IODP Site U1467; The Maldives; Indian Ocean paleoceanography; Pleistocene; South Asian monsoon; Oxygen Minimum Zone</t>
  </si>
  <si>
    <t>RECENT MARINE OSTRACODA; FRENCH FRIGATE SHOALS; OXYGEN MINIMUM ZONE; DEEP-SEA OSTRACODA; INDIAN-OCEAN; NORTH-ATLANTIC; BENTHIC FORAMINIFERA; SOLOMON-ISLANDS; ORGANIC-MATTER; MALABAR COAST</t>
  </si>
  <si>
    <t>We present the first continuous middle through late Pleistocene record of fossil ostracods from the Maldives in the northern Indian Ocean, derived from sediment cores taken at Site U1467 by Expedition 359 of the International Ocean Discovery Program (IODP). Site U1467 lies at 487 m water depth in the Inner Sea of the Maldives archipelago, an ideal place for studying the effects of the South Asian Monsoon (SAM) system on primary productivity, intermediate depth ocean circulation, and the regional oxygen minimum zone (OMZ). The Inner Sea acts as a natural sediment trap that has undergone continuous sedimentation for millions of years with minor terrestrial influence. Our record spans from Marine Isotope Stage (MIS) 35 to the present, covering the mid Pleistocene transition (1.2-0.6 Ma) and the Mid-Brunhes Event (MBE, at similar to 480 ka) the time when ice age cycles transitioned from occurring every 40,000 years to 100,000 years. The ostracod data is interpreted alongside the existing datasets from the same site of sedimentological (grain-size) and XRF-elemental analyses, and new organic biomarker data also from Site U1467. These datasets support the paleoenvironmental interpretation of the ostracod assemblages. Ostracods are abundant and diverse, displaying a prominent change in faunal composition at the MBE related to the increase in the amplitude of glacial-interglacial cycles, which deeply affected the monsoon system and thereby the past oceanographic conditions of the Maldives Inner Sea. Furthermore, ostracods exhibit distinctly different assemblages across glacial-interglacial cycles, particularly after the MBE, and these changes convincingly correspond to variability of the OMZ. Glacial periods are characterized by ostracod indicators of well-oxygenated bottom water due to the intensification of the winter monsoon and the contraction of the OMZ. Abundant psychrospheric ostracods during glacials suggests that a southern sourced water mass, such as Antarctic Intermediate Water (AAIW) and/or Subantarctic Mode water, bathed the Maldives Inner Sea during glacial periods. In contrast, interglacial stages are characterized by ostracod species and biomarker data that indicate low-oxygen conditions and sluggish bottom water circulation pointing to an expansion of the regional OMZ due to the strengthening of the summer monsoon. Our results highlight the sensitivity of ostracods to oceanographic and climate variability.</t>
  </si>
  <si>
    <t>[Zarikian, Carlos A. Alvarez] Texas A&amp;M Univ, Int Ocean Discovery Program, College Stn, TX 77845 USA; [Zarikian, Carlos A. Alvarez] Texas A&amp;M Univ, Dept Oceanog, College Stn, TX 77845 USA; [Nadiri, Chimnaz] Texas A&amp;M Univ, Dept Geol &amp; Geophys, College Stn, TX 77845 USA; [Alonso-Garcia, Montserrat; Rodrigues, Teresa] Inst Portugues Mar &amp; Atmosfera IPMA, Ave Alfredo Magalhaes Ramalho 6, P-1495006 Lisbon, Portugal; [Alonso-Garcia, Montserrat; Rodrigues, Teresa] Univ Algarve, Ctr Ciencias Mar CCMAR, Campus Gambelas, P-8005139 Faro, Portugal; [Alonso-Garcia, Montserrat] Univ Salamanca, Geol Dept, Pza Caidos s-n, Salamanca 37008, Spain; [Huang, Huai-Hsuan M.; Yasuhara, Moriaki] Univ Hong Kong, Swire Inst Marine Sci, Sch Biol Sci, Area Ecol &amp; Biodivers,Pokfulam, Hong Kong, Peoples R China; [Huang, Huai-Hsuan M.; Yasuhara, Moriaki] Univ Hong Kong, State Key Lab Marine Pollut, Pokfulam, Hong Kong, Peoples R China; [Huang, Huai-Hsuan M.] Smithsonian Inst, Dept Paleobiol, Natl Museum Nat Hist, Washington, DC 20560 USA; [Lindhorst, Sebastian; Betzler, Christian] Univ Hamburg, Inst Geol, CEN, Bundesstr 55, D-20146 Hamburg, Germany; [Kroon, Dick] Univ Edinburgh, Sch Geosci, Edinburgh, Scotland</t>
  </si>
  <si>
    <t>Texas A&amp;M University System; Texas A&amp;M University College Station; Texas A&amp;M University System; Texas A&amp;M University College Station; Texas A&amp;M University System; Texas A&amp;M University College Station; Instituto Portugues do Mar e da Atmosfera; Universidade do Algarve; University of Salamanca; University of Hong Kong; University of Hong Kong; Smithsonian Institution; Smithsonian National Museum of Natural History; University of Hamburg; University of Edinburgh</t>
  </si>
  <si>
    <t>Zarikian, CAA (corresponding author), Texas A&amp;M Univ, Int Ocean Discovery Program, College Stn, TX 77845 USA.;Zarikian, CAA (corresponding author), Texas A&amp;M Univ, Dept Oceanog, College Stn, TX 77845 USA.</t>
  </si>
  <si>
    <t>zarikian@iodp.tamu.edu</t>
  </si>
  <si>
    <t>Huang, Huai-Hsuan/JAO-4694-2023; Alvarez Zarikian, Carlos Andres/IUM-5257-2023; Rodrigues, Teresa/G-2912-2013; Alonso-Garcia, Montserrat/AAB-5338-2021</t>
  </si>
  <si>
    <t>Rodrigues, Teresa/0000-0001-7811-7506; Alonso-Garcia, Montserrat/0000-0002-0241-2178; Alvarez Zarikian, Carlos/0000-0002-3785-3336</t>
  </si>
  <si>
    <t>US National Science Foundation (NSF); European Consortium for Ocean Research Drilling (ECORD); Ministry of Education, Culture, Sports, Science and Technology, Japan (MEXT); Ministry of Science and Technology (People's Republic of China); Korea Institute of Geoscience and Mineral Resources; Australian Research Council; New Zealand Institute for Geological and Nuclear Sciences; Ministry of Earth Sciences (India); U.S. Science Support Program at Columbia University [OCE14-50528]; NSF [OCE-1326927]; FCT [CCMAR UID/Multi/04326/2019, PTDC/CTA-GEO/29897/2017]; Research Grants Council of the Hong Kong Special Administrative Region, China [HKU 17302518]; Seed Funding Programme for Basic Research of the University of Hong Kong [202011159122]; Small Equipment Grant of the University of Hong Kong; Seed Funding of the HKU-TCL Joint Research Centre for Artificial Intelligence; SKLMP Seed Collaborative Research Fund of City University of Hong Kong [SKLMP/SCRF/0031]; Faculty of Science RAE Improvement Fund of the University of Hong Kong; Fundação para a Ciência e a Tecnologia [PTDC/CTA-GEO/29897/2017] Funding Source: FCT</t>
  </si>
  <si>
    <t>US National Science Foundation (NSF)(National Science Foundation (NSF)); European Consortium for Ocean Research Drilling (ECORD); Ministry of Education, Culture, Sports, Science and Technology, Japan (MEXT)(Ministry of Education, Culture, Sports, Science and Technology, Japan (MEXT)); Ministry of Science and Technology (People's Republic of China)(Ministry of Science and Technology, China); Korea Institute of Geoscience and Mineral Resources; Australian Research Council(Australian Research Council); New Zealand Institute for Geological and Nuclear Sciences; Ministry of Earth Sciences (India); U.S. Science Support Program at Columbia University; NSF(National Science Foundation (NSF)); FCT(Fundacao para a Ciencia e a Tecnologia (FCT)); Research Grants Council of the Hong Kong Special Administrative Region, China(Hong Kong Research Grants Council); Seed Funding Programme for Basic Research of the University of Hong Kong(University of Hong Kong); Small Equipment Grant of the University of Hong Kong; Seed Funding of the HKU-TCL Joint Research Centre for Artificial Intelligence; SKLMP Seed Collaborative Research Fund of City University of Hong Kong; Faculty of Science RAE Improvement Fund of the University of Hong Kong; Fundação para a Ciência e a Tecnologia(Fundacao para a Ciencia e a Tecnologia (FCT))</t>
  </si>
  <si>
    <t>Expedition 359 was funded by the US National Science Foundation (NSF); the European Consortium for Ocean Research Drilling (ECORD); the Ministry of Education, Culture, Sports, Science and Technology, Japan (MEXT); the Ministry of Science and Technology (People's Republic of China); the Korea Institute of Geoscience and Mineral Resources; the Australian Research Council and the New Zealand Institute for Geological and Nuclear Sciences; and the Ministry of Earth Sciences (India). CAAZ acknowledges financial support from the U.S. Science Support Program at Columbia University under post-expedition award OCE14-50528 and NSF award no. OCE-1326927. MAG and TR would like to acknowledge funding from FCT (CCMAR UID/Multi/04326/2019 and WarmWorld project (PTDC/CTA-GEO/29897/2017). MY acknowledges funding from the Research Grants Council of the Hong Kong Special Administrative Region, China (project code: HKU 17302518), the Seed Funding Programme for Basic Research of the University of Hong Kong (project code: 202011159122), the Small Equipment Grant of the University of Hong Kong, the Seed Funding of the HKU-TCL Joint Research Centre for Artificial Intelligence, SKLMP Seed Collaborative Research Fund of City University of Hong Kong (project code: SKLMP/SCRF/0031), and the Faculty of Science RAE Improvement Fund of the University of Hong Kong. This research used samples and data provided by the International Ocean Discovery Program (IODP). This study would not have been possible without the dedicated effort of the drilling crew, ship's crew, and scientific staff of the drillship JOIDES Resolution during IODP Expedition 359. The Ministry of Fisheries and Agriculture of the Republic of the Maldives is thanked for granting the research permit. Thomas Stephens is thanked for assistance during the SEM imaging. Gene Hunt for helping with ostracod taxonomy. We thank Simone N. Brandao and an anonymous reviewer for their thoughtful comments and suggestions for improving this manuscript.</t>
  </si>
  <si>
    <t>10.1016/j.marmicro.2022.102105</t>
  </si>
  <si>
    <t>2U2EF</t>
  </si>
  <si>
    <t>Green Accepted</t>
  </si>
  <si>
    <t>WOS:000822973200004</t>
  </si>
  <si>
    <t>Perkins, N; Zhang, ZL; Monk, J; Barrett, N</t>
  </si>
  <si>
    <t>Perkins, Nicholas; Zhang, Zelin; Monk, Jacquomo; Barrett, Neville</t>
  </si>
  <si>
    <t>The annotation approach used for marine imagery impacts the detection of temporal trends in seafloor biota</t>
  </si>
  <si>
    <t>ECOLOGICAL INDICATORS</t>
  </si>
  <si>
    <t>Autonomous underwater vehicle; Benthic monitoring; Indicator selection; Mesophotic ecosystems; Size distribution; Spatial modeling</t>
  </si>
  <si>
    <t>COVER; ABUNDANCE</t>
  </si>
  <si>
    <t>Image-based surveys of the marine benthos are being increasingly adopted as a monitoring tool for habitats and biota, particularly in mesophotic depths (-30-150 m) which are technically difficult to survey. Many modern tools for these surveys, such as remotely operated vehicles and autonomous underwater vehicles, can capture thousands of images in a single deployment. Turning this into quantitative data typically involves human annotation which is often time-consuming and costly. Percent cover of organisms is one of the most common metrics for monitoring changes in abundance, which may be attained through visual estimation, digitization, or point-count approaches. However, alternative metrics of abundance such as density (direct counts) or presence absence, as well as metrics that quantify condition (e.g., bleaching) and size-structure can also provide quantitative information for tracking change. Understanding the statistical power of different approaches is critical to designing effective image-based monitoring programs. Given the differing statistical power and time taken using different approaches, program managers need to decide where to allocate resources. Here we use benthic imagery from two long-term monitoring sites in south-eastern Australia to annotate three example morphospecies (morphologically distinct organisms) using three approaches: point-count (percent cover), full count and presence-absence within imagery. Also, we compare the performance of the point count and full count approaches for monitoring bleaching in one of our morphospecies. We use spatio-temporal models to quantify trends in the empirical data and simulations to quantify the power of these approaches to detect different levels of temporal change using different sampling efforts (either 100 or 200 images). Additionally, we examine the additional insights that size-structure information can provide for two morphospecies. We find that the full count approach provides a higher statistical power to detect change than the other approaches for our example morphospecies, including tracking bleaching status. Size-structure information can provide additional insights such as the occurrence of recruitment or mortality events or growth of individuals. We recommend that monitoring programs using benthic imagery should consider the choice of annotation approach as this is likely to impact observed temporal patterns, particularly when the focus is specific indicator species rather than total biodiversity.</t>
  </si>
  <si>
    <t>[Perkins, Nicholas; Zhang, Zelin; Monk, Jacquomo; Barrett, Neville] Univ Tasmania, Inst Marine &amp; Antarctic Studies, Private Bag 49, Hobart, Tas 7001, Australia</t>
  </si>
  <si>
    <t>University of Tasmania</t>
  </si>
  <si>
    <t>Perkins, N (corresponding author), Univ Tasmania, Inst Marine &amp; Antarctic Studies, Private Bag 49, Hobart, Tas 7001, Australia.</t>
  </si>
  <si>
    <t>Nicholas.Perkins@utas.edu.au</t>
  </si>
  <si>
    <t>Barrett, Neville/J-7593-2014</t>
  </si>
  <si>
    <t>Barrett, Neville/0000-0002-6167-1356</t>
  </si>
  <si>
    <t>Parks Australia; Marine Biodiversity Hub; National Environmental Science Programme</t>
  </si>
  <si>
    <t>This work was undertaken through support from Parks Australia for the monitoring of Australian Marine Parks across the region. In partic-ular, we thank Suzie Kropman from National Oceans Office (now Parks Australia) and Cath Samson for their support of the AUV monitoring program. Data was sourced from Australia?s Integrated Marine Observing System (IMOS) - IMOS is enabled by the National Collabo-rative Research Infrastructure Strategy (NCRIS) . AUV deployments were also supported by the Marine Biodiversity Hub, a collaborative partnership supported through funding from the National Environmental Science Programme. We thank Prof Stefan Williams and his IMOS AUV facility team, and collaborating research agencies in eastern Australia (NSW Marine Parks Authority and IMAS, University of Tas-mania) for supporting the collection and collation of deep reef imageryin the region and making it available for this study. We also thank Justin Hulls and the numerous technical staff that have assisted in the field programs, and post-processing of the acquired imagery to allow the analysis presented here.</t>
  </si>
  <si>
    <t>1470-160X</t>
  </si>
  <si>
    <t>1872-7034</t>
  </si>
  <si>
    <t>ECOL INDIC</t>
  </si>
  <si>
    <t>Ecol. Indic.</t>
  </si>
  <si>
    <t>10.1016/j.ecolind.2022.109029</t>
  </si>
  <si>
    <t>Biodiversity Conservation; Environmental Sciences</t>
  </si>
  <si>
    <t>2E6AM</t>
  </si>
  <si>
    <t>WOS:000812308800006</t>
  </si>
  <si>
    <t>Murase, K; Kataoka, R; Nishiyama, T; Nishimura, K; Hashimoto, T; Tanaka, Y; Kadokura, A; Tomikawa, Y; Tsutsumi, M; Ogawa, Y; Uchida, HA; Sato, K; Kasahara, S; Mitani, T; Yokota, S; Hori, T; Keika, K; Takashima, T; Kasahara, Y; Matsuda, S; Shoji, M; Matsuoka, A; Shinohara, I; Miyoshi, Y; Sato, T; Ebihara, Y; Tanaka, T</t>
  </si>
  <si>
    <t>Murase, Kiyoka; Kataoka, Ryuho; Nishiyama, Takanori; Nishimura, Koji; Hashimoto, Taishi; Tanaka, Yoshimasa; Kadokura, Akira; Tomikawa, Yoshihiro; Tsutsumi, Masaki; Ogawa, Yasunobu; Uchida, Herbert Akihito; Sato, Kaoru; Kasahara, Satoshi; Mitani, Takefumi; Yokota, Shoichiro; Hori, Tomoaki; Keika, Kunihiro; Takashima, Takeshi; Kasahara, Yoshiya; Matsuda, Shoya; Shoji, Masafumi; Matsuoka, Ayako; Shinohara, Iku; Miyoshi, Yoshizumi; Sato, Tatsuhiko; Ebihara, Yusuke; Tanaka, Takashi</t>
  </si>
  <si>
    <t>Mesospheric ionization during substorm growth phase</t>
  </si>
  <si>
    <t>JOURNAL OF SPACE WEATHER AND SPACE CLIMATE</t>
  </si>
  <si>
    <t>Mesospheric ionization; energetic electron precipitation; substorm; growth phase</t>
  </si>
  <si>
    <t>ENERGETIC ELECTRON-PRECIPITATION; OUTER RADIATION BELT; PULSATING AURORA; MIDDLE; IONOSPHERE; PARTICLE; EVENTS; IMPACT; EISCAT</t>
  </si>
  <si>
    <t>Many studies have been conducted about the impact of energetic charged particles on the atmosphere during geomagnetically active times, while quiet time effects are poorly understood. We identified two energetic electron precipitation (EEP) events during the growth phase of moderate substorms and estimated the mesospheric ionization rate for an EEP event for which the most comprehensive dataset from ground-based and space-born instruments was available. The mesospheric ionization signature reached below 70 km altitude and continued for similar to 15 min until the substorm onset, as observed by the PANSY radar and imaging riometer at Syowa Station in the Antarctic region. We also used energetic electron flux observed by the Arase and POES 15 satellites as the input for the air-shower simulation code PHITS to quantitatively estimate the mesospheric ionization rate. The calculated ionization level due to the precipitating electrons is consistent with the observed value of cosmic noise absorption. The possible spatial extent of EEP is estimated to be similar to 8 h MLT in longitude and similar to 1.5 degrees in latitude from a global magnetohydrodynamic simulation REPPU and the precipitating electron observations by the POES satellite, respectively. Such a significant duration and spatial extent of EEP events suggest a non-negligible contribution of the growth phase EEP to the mesospheric ionization. Combining the cutting-edge observations and simulations, we shed new light on the space weather impact of the EEP events during geomagnetically quiet times, which is important to understand the possible link between the space environment and climate.</t>
  </si>
  <si>
    <t>[Murase, Kiyoka; Kataoka, Ryuho; Nishiyama, Takanori; Hashimoto, Taishi; Tanaka, Yoshimasa; Kadokura, Akira; Tomikawa, Yoshihiro; Tsutsumi, Masaki; Ogawa, Yasunobu] Grad Univ Adv Studies, Dept Polar Sci, SOKENDAI, Tachikawa, Tokyo 1908518, Japan; [Kataoka, Ryuho; Nishiyama, Takanori; Hashimoto, Taishi; Tanaka, Yoshimasa; Kadokura, Akira; Tomikawa, Yoshihiro; Tsutsumi, Masaki; Ogawa, Yasunobu] Natl Inst Polar Res, Tachikawa, Tokyo 1908518, Japan; [Tanaka, Yoshimasa; Kadokura, Akira] Res Org Informat &amp; Syst, Polar Environm Data Sci Ctr, Tachikawa, Tokyo 1050001, Japan; [Sato, Kaoru; Kasahara, Satoshi; Keika, Kunihiro] Univ Tokyo, Dept Earth &amp; Planetary Sci, Bunkyo Ku, Tokyo 1130032, Japan; [Uchida, Herbert Akihito; Mitani, Takefumi; Takashima, Takeshi; Shinohara, Iku] Japan Aerosp Explorat Agcy, Inst Space &amp; Astronaut Sci, Sagamihara, Kanagawa 2525210, Japan; [Yokota, Shoichiro] Osaka Univ, Grad Sch Sci, Toyonaka, Osaka 5600043, Japan; [Hori, Tomoaki; Shoji, Masafumi; Miyoshi, Yoshizumi] Nagoya Univ, Inst Space Earth Environm Res, Nagoya, Aichi 4648601, Japan; [Kasahara, Yoshiya; Matsuda, Shoya] Kanazawa Univ, Grad Sch Nat Sci &amp; Technol, Kakuma, Ishikawa 9201192, Japan; [Matsuoka, Ayako] Kyoto Univ, Data Anal Ctr Geomagnetism &amp; Space Magnetism, Sakyo Ku, Kyoto 6068502, Japan; [Nishimura, Koji; Ebihara, Yusuke] Kyoto Univ, Res Inst Sustainable Humanosphere, Uji, Kyoto 6110011, Japan; [Tanaka, Takashi] Kyushu Univ, Int Ctr Space Weather Sci &amp; Educ, Fukuoka, Fukuoka 8190395, Japan; [Sato, Tatsuhiko] Japan Atom Energy Agcy, Tokai, Ibaraki 3191184, Japan</t>
  </si>
  <si>
    <t>Graduate University for Advanced Studies - Japan; Research Organization of Information &amp; Systems (ROIS); National Institute of Polar Research (NIPR) - Japan; Research Organization of Information &amp; Systems (ROIS); University of Tokyo; Japan Aerospace Exploration Agency (JAXA); Institute of Space &amp; Astronautical Science (ISAS); Osaka University; Nagoya University; Kanazawa University; Kyoto University; Kyoto University; Kyushu University; Japan Atomic Energy Agency</t>
  </si>
  <si>
    <t>Murase, K (corresponding author), Grad Univ Adv Studies, Dept Polar Sci, SOKENDAI, Tachikawa, Tokyo 1908518, Japan.</t>
  </si>
  <si>
    <t>murase.kiyoka@nipr.ac.jp</t>
  </si>
  <si>
    <t>KATAOKA, RYUHO/AAJ-4570-2020; Miyoshi, Yoshizumi/T-5748-2019; Ebihara, Yusuke/ABD-4430-2021; KASAHARA, Yoshiya/E-7073-2015; Tomikawa, Yoshihiro/D-5304-2012; Ebihara, Yusuke/D-1638-2013; Sato, Tatsuhiko/G-5964-2012; Mitani, Takefumi/GQH-5847-2022; Nishiyama, Takanori/D-5546-2016; Sato, Kaoru/E-1693-2012</t>
  </si>
  <si>
    <t>Miyoshi, Yoshizumi/0000-0001-7998-1240; Ebihara, Yusuke/0000-0002-2293-1557; Tomikawa, Yoshihiro/0000-0002-5652-3017; Ebihara, Yusuke/0000-0002-2293-1557; Murase, Kiyoka/0000-0001-8871-9199; Nishimura, Koji/0000-0001-8824-9844; Nishiyama, Takanori/0000-0002-3648-6589; KADOKURA, AKIRA/0000-0002-6105-9562; Sato, Kaoru/0000-0002-6225-6066; Kataoka, Ryuho/0000-0001-9400-1765; Ogawa, Yasunobu/0000-0002-8118-4475</t>
  </si>
  <si>
    <t>National Institute of Polar Research; IUGONET (Inter-university Upper atmosphere Global Observation NETwork) project; ISEE/Nagoya University; JSPS-KAKENHI [15H05747, 16H06286, 17H00728, 20H01955, 20H01959, 20K14546]; Grants-in-Aid for Scientific Research [20H01955, 20K14546, 17H00728] Funding Source: KAKEN</t>
  </si>
  <si>
    <t>National Institute of Polar Research(National Institute of Polar Research (NIPR) - Japan); IUGONET (Inter-university Upper atmosphere Global Observation NETwork) project; ISEE/Nagoya University; JSPS-KAKENHI(Ministry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</si>
  <si>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PANSY is a multi-institutional project with a core of the University of Tokyo and the National Institute of Polar Research. The PANSY radar observation data are available at the project website, https://pansy.eps.s.u-tokyo.ac.jp (https://doi.org/10.17592/002.2020070384).The Arase satellite data were downloaded and analyzed using the SPEDAS software (http://spedas.org) with the IUGONET and ERG plugins. The redistribution of ground-based observational data has been supported by the IUGONET (Inter-university Upper atmosphere Global Observation NETwork) project. Science data from ERG (Arase) satellite were obtained from the ERG Science Center operated by ISAS/JAXA and ISEE/Nagoya University (https://ergsc.isee.nagoya-u.ac.jp/, Miyoshi et al. 2018b). The present study used the PWE/OFA L2 v02_01 (Kasahara et al., 2018c), MGF L2 v03.03 (Matsuoka et al., 2018b), HEP L2 v03_01 (Mitani et al., 2018b), MEP-e L2 v01_01 (Kasahara et al., 2018d), and ERG Orbit L2 v03 (Miyoshi et al., 2018c). We gratefully acknowledge the SuperMAG collaborators (https://supermag.jhuapl.edu/info/?page= acknowledgement). This work is supported by JSPS-KAKENHI (15H05747, 16H06286, 17H00728, 20H01955, 20H01959, 20K14546). The editor thanks two anonymous reviewers for their assistance in evaluating this paper.</t>
  </si>
  <si>
    <t>EDP SCIENCES S A</t>
  </si>
  <si>
    <t>LES ULIS CEDEX A</t>
  </si>
  <si>
    <t>17, AVE DU HOGGAR, PA COURTABOEUF, BP 112, F-91944 LES ULIS CEDEX A, FRANCE</t>
  </si>
  <si>
    <t>2115-7251</t>
  </si>
  <si>
    <t>J SPACE WEATHER SPAC</t>
  </si>
  <si>
    <t>J. Space Weather Space Clim.</t>
  </si>
  <si>
    <t>JUN 6</t>
  </si>
  <si>
    <t>10.1051/swsc/2022012</t>
  </si>
  <si>
    <t>Astronomy &amp; Astrophysics; Geochemistry &amp; Geophysics; Meteorology &amp; Atmospheric Sciences</t>
  </si>
  <si>
    <t>1V9RC</t>
  </si>
  <si>
    <t>WOS:000806420400001</t>
  </si>
  <si>
    <t>Orihuela-Pinto, B; England, MH; Taschetto, AS</t>
  </si>
  <si>
    <t>Orihuela-Pinto, Bryam; England, Matthew H.; Taschetto, Andrea S.</t>
  </si>
  <si>
    <t>Interbasin and interhemispheric impacts of a collapsed Atlantic Overturning Circulation</t>
  </si>
  <si>
    <t>NATURE CLIMATE CHANGE</t>
  </si>
  <si>
    <t>INTERTROPICAL CONVERGENCE ZONE; TROPICAL PACIFIC; THERMOHALINE CIRCULATION; GLOBAL TELECONNECTIONS; CLIMATE-CHANGE; OCEAN; VARIABILITY; ATMOSPHERE; MODEL; DYNAMICS</t>
  </si>
  <si>
    <t>Changes to the Atlantic Meridional Overturning Circulation (AMOC) will have substantial regional impacts but more remote effects are unclear. Here, model analysis shows that AMOC collapse causes excess heat to accumulate in the tropical south Atlantic Ocean, resulting in atmospheric changes globally. Climate projections suggest a weakening or collapse of the Atlantic Meridional Overturning Circulation (AMOC) under global warming, with evidence that a slowdown is already underway. This could have significant ramifications for Atlantic Ocean heat transport, Arctic sea ice extent and regional North Atlantic climate. However, the potential for far-reaching effects, such as teleconnections to adjacent basins and into the Southern Hemisphere, remains unclear. Here, using a global climate model we show that AMOC collapse can accelerate the Pacific trade winds and Walker circulation by leaving an excess of heat in the tropical South Atlantic. This tropical warming drives anomalous atmospheric convection, resulting in enhanced subsidence over the east Pacific and a strengthened Walker circulation and trade winds. Further teleconnections include weakening of the Indian and South Atlantic subtropical highs and deepening of the Amundsen Sea Low. These findings have important implications for understanding the global climate response to ongoing greenhouse gas increases.</t>
  </si>
  <si>
    <t>[Orihuela-Pinto, Bryam; England, Matthew H.; Taschetto, Andrea S.] Univ New South Wales, Climate Change Res Ctr, Sydney, NSW, Australia; [Orihuela-Pinto, Bryam; Taschetto, Andrea S.] Univ New South Wales, ARC Ctr Excellence Climate Extremes, Sydney, NSW, Australia; [England, Matthew H.] Univ New South Wales, ARC Australian Ctr Excellence Antarctic Sci, Sydney, NSW, Australia</t>
  </si>
  <si>
    <t>University of New South Wales Sydney; University of New South Wales Sydney; University of New South Wales Sydney</t>
  </si>
  <si>
    <t>England, MH (corresponding author), Univ New South Wales, Climate Change Res Ctr, Sydney, NSW, Australia.;England, MH (corresponding author), Univ New South Wales, ARC Australian Ctr Excellence Antarctic Sci, Sydney, NSW, Australia.</t>
  </si>
  <si>
    <t>M.England@unsw.edu.au</t>
  </si>
  <si>
    <t>England, Matthew/A-7539-2011</t>
  </si>
  <si>
    <t>England, Matthew/0000-0001-9696-2930; Taschetto, Andrea/0000-0001-6020-1603; Orihuela-Pinto, Bryam/0000-0003-3873-9401</t>
  </si>
  <si>
    <t>Australian Research Council [FT160100495, CE170100023, SR200100008]; Earth Science and Climate Change Hub of the Australian Government's National Environmental Science Programme; Centre for Southern Hemisphere Oceans Research; Australian Research Council [FT160100495, SR200100008] Funding Source: Australian Research Council</t>
  </si>
  <si>
    <t>Australian Research Council(Australian Research Council); Earth Science and Climate Change Hub of the Australian Government's National Environmental Science Programme; Centre for Southern Hemisphere Oceans Research(Commonwealth Scientific &amp; Industrial Research Organisation (CSIRO)); Australian Research Council(Australian Research Council)</t>
  </si>
  <si>
    <t>A.S.T. and M.H.E. are supported by the Australian Research Council (grant numbers FT160100495, CE170100023 and SR200100008) and the Earth Science and Climate Change Hub of the Australian Government's National Environmental Science Programme. M.H.E. also acknowledges support from the Centre for Southern Hemisphere Oceans Research (a joint research centre between QNLM, CSIRO, UNSW and UTAS). B.O.P. thanks C. Bitz for assisting with the code to set up the experiment. We thank J. Kajtar, S. McGregor and A. Sen Gupta for early discussions on aspects of this work. We thank W. Cai for making available the intermodel analysis of AtlanticPacific teleconnections shown in Extended Data Fig. 1 and R. Goyal for providing the CMIP5 and CMIP6 zonal wind speed data used to plot Extended Data Fig. 7. All model simulations were conducted on the Australian National Computing Infrastructure Facility in Canberra, Australia.</t>
  </si>
  <si>
    <t>1758-678X</t>
  </si>
  <si>
    <t>1758-6798</t>
  </si>
  <si>
    <t>NAT CLIM CHANGE</t>
  </si>
  <si>
    <t>Nat. Clim. Chang.</t>
  </si>
  <si>
    <t>10.1038/s41558-022-01380-y</t>
  </si>
  <si>
    <t>Environmental Sciences; Environmental Studies; Meteorology &amp; Atmospheric Sciences</t>
  </si>
  <si>
    <t>Science Citation Index Expanded (SCI-EXPANDED); Social Science Citation Index (SSCI)</t>
  </si>
  <si>
    <t>Environmental Sciences &amp; Ecology; Meteorology &amp; Atmospheric Sciences</t>
  </si>
  <si>
    <t>2E5NU</t>
  </si>
  <si>
    <t>WOS:000806663500005</t>
  </si>
  <si>
    <t>Hotaling, S; Desvignes, T; Sproul, JS; Lins, LSF; Kelley, JL</t>
  </si>
  <si>
    <t>Hotaling, Scott; Desvignes, Thomas; Sproul, John S.; Lins, Luana S. F.; Kelley, Joanna L.</t>
  </si>
  <si>
    <t>Pathways to polar adaptation in fishes revealed by long-read sequencing</t>
  </si>
  <si>
    <t>MOLECULAR ECOLOGY</t>
  </si>
  <si>
    <t>Review; Early Access</t>
  </si>
  <si>
    <t>antifreeze proteins; cold adaptation; extremophile; genome biology; polar fish; Southern Ocean</t>
  </si>
  <si>
    <t>ANTIFREEZE PROTEINS; THERMAL ADAPTATION; FUNCTIONAL DIVERSIFICATION; TRANSPOSABLE ELEMENTS; PHYLOGENETIC ANALYSIS; GENOME SEQUENCE; OCEAN POUT; EVOLUTION; HEMOGLOBIN; GENE</t>
  </si>
  <si>
    <t>Long-read sequencing is driving a new reality for genome science in which highly contiguous assemblies can be produced efficiently with modest resources. Genome assemblies from long-read sequences are particularly exciting for understanding the evolution of complex genomic regions that are often difficult to assemble. In this study, we utilized long-read sequencing data to generate a high-quality genome assembly for an Antarctic eelpout, Ophthalmolycus amberensis, the first for the globally distributed family Zoarcidae. We used this assembly to understand how O. amberensis has adapted to the harsh Southern Ocean and compared it to another group of Antarctic fishes: the notothenioids. We showed that selection has largely acted on different targets in eelpouts relative to notothenioids. However, we did find some overlap; in both groups, genes involved in membrane structure, thermal tolerance and vision have evidence of positive selection. We found evidence for historical shifts of transposable element activity in O. amberensis and other polar fishes, perhaps reflecting a response to environmental change. We were specifically interested in the evolution of two complex genomic loci known to underlie key adaptations to polar seas: haemoglobin and antifreeze proteins (AFPs). We observed unique evolution of the haemoglobin MN cluster in eelpouts and related fishes in the suborder Zoarcoidei relative to other Perciformes. For AFPs, we identified the first species in the suborder with no evidence of afpIII sequences (Cebidichthys violaceus) in the genomic region where they are found in all other Zoarcoidei, potentially reflecting a lineage-specific loss of this cluster. Beyond polar fishes, our results highlight the power of long-read sequencing to understand genome evolution.</t>
  </si>
  <si>
    <t>[Hotaling, Scott; Kelley, Joanna L.] Washington State Univ, Sch Biol Sci, Pullman, WA 99164 USA; [Desvignes, Thomas] Univ Oregon, Inst Neurosci, Eugene, OR 97403 USA; [Sproul, John S.] Univ Nebraska, Dept Biol, Omaha, NE 68182 USA; [Lins, Luana S. F.] CSIRO, Australian Natl Insect Collect, Canberra, ACT, Australia</t>
  </si>
  <si>
    <t>Washington State University; University of Oregon; University of Nebraska System; Commonwealth Scientific &amp; Industrial Research Organisation (CSIRO)</t>
  </si>
  <si>
    <t>Hotaling, S; Kelley, JL (corresponding author), Washington State Univ, Sch Biol Sci, Pullman, WA 99164 USA.</t>
  </si>
  <si>
    <t>scott.hotaling@wsu.edu; joanna.l.kelley@wsu.edu</t>
  </si>
  <si>
    <t>Lins, Luana S/J-2175-2012; Kelley, Joanna L/H-1693-2012; Thomas, Desvignes/AAX-3526-2020</t>
  </si>
  <si>
    <t>Kelley, Joanna L/0000-0002-7731-605X; Thomas, Desvignes/0000-0001-5126-8785; Lins, Luana/0000-0003-0808-2154</t>
  </si>
  <si>
    <t>Division of Antarctic Sciences [OPP-1543383, OPP-1744877, OPP-1906015, OPP-1947040]</t>
  </si>
  <si>
    <t>Division of Antarctic Sciences</t>
  </si>
  <si>
    <t>Division of Antarctic Sciences, Grant/Award Number: OPP-1543383, OPP-1744877, OPP-1906015 and OPP-1947040</t>
  </si>
  <si>
    <t>0962-1083</t>
  </si>
  <si>
    <t>1365-294X</t>
  </si>
  <si>
    <t>MOL ECOL</t>
  </si>
  <si>
    <t>Mol. Ecol.</t>
  </si>
  <si>
    <t>2022 JUN 6</t>
  </si>
  <si>
    <t>10.1111/mec.16501</t>
  </si>
  <si>
    <t>Biochemistry &amp; Molecular Biology; Ecology; Evolutionary Biology</t>
  </si>
  <si>
    <t>Biochemistry &amp; Molecular Biology; Environmental Sciences &amp; Ecology; Evolutionary Biology</t>
  </si>
  <si>
    <t>1W0RG</t>
  </si>
  <si>
    <t>Green Submitted</t>
  </si>
  <si>
    <t>WOS:000806488500001</t>
  </si>
  <si>
    <t>Dupont, V; Bonnet-Lebrun, AS; Boileve, A; Debrumetz, A; Wynckel, A; Braconnier, A; Colosio, C; Mokri, L; Schvartz, B; Vuiblet, V; Barbe, C; Jozwiak, M; Rieu, P</t>
  </si>
  <si>
    <t>Dupont, Vincent; Bonnet-Lebrun, Anne-Sophie; Boileve, Alice; Debrumetz, Alexandre; Wynckel, Alain; Braconnier, Antoine; Colosio, Charlotte; Mokri, Laetitia; Schvartz, Betoul; Vuiblet, Vincent; Barbe, Coralie; Jozwiak, Mathieu; Rieu, Philippe</t>
  </si>
  <si>
    <t>A Pilot Study on the Association Between Early Fluid Status Indicators After Kidney Transplantation and Graft Function Recovery</t>
  </si>
  <si>
    <t>KIDNEY INTERNATIONAL REPORTS</t>
  </si>
  <si>
    <t>Letter</t>
  </si>
  <si>
    <t>allograft function; fluid management; graft function recovery; hemodynamic; kidney transplantation; renal congestion</t>
  </si>
  <si>
    <t>[Dupont, Vincent; Debrumetz, Alexandre; Wynckel, Alain; Braconnier, Antoine; Colosio, Charlotte; Mokri, Laetitia; Schvartz, Betoul; Vuiblet, Vincent; Rieu, Philippe] Cedars Sinai Med Ctr, Dept Med, Los Angeles, CA 90048 USA; [Dupont, Vincent] CHU Reims, Dept Nephrol, Reims, France; [Dupont, Vincent] French Clin Res Infrastruct Network F CRIN, Invest Network Initiat Cardiovasc &amp; Renal Clin Tr, Reims, France; [Bonnet-Lebrun, Anne-Sophie] British Antarctic Survey, Madingley Rd, Cambridge, England; [Boileve, Alice] Gustave Roussy, Dept Med Oncol, Villejuif, France; [Barbe, Coralie] Univ Reims, Res Hlth Univ Dept, Reims, France; [Jozwiak, Mathieu] CHU Archet 1, Serv Med Intens Reanimat, Nice, France; [Jozwiak, Mathieu] Univ Cote Azur UCA, Unite Rech Clin Cote Azur UR2CA, CARRES, Nice, France</t>
  </si>
  <si>
    <t>Cedars Sinai Medical Center; CHU de Reims; Universite de Reims Champagne-Ardenne; UK Research &amp; Innovation (UKRI); Natural Environment Research Council (NERC); NERC British Antarctic Survey; UNICANCER; Gustave Roussy; Universite de Reims Champagne-Ardenne; CHU Nice</t>
  </si>
  <si>
    <t>Dupont, V (corresponding author), Cedars Sinai Med Ctr, Dept Med, Los Angeles, CA 90048 USA.</t>
  </si>
  <si>
    <t>Vincent.dupont@cshs.org</t>
  </si>
  <si>
    <t>Rieu, Philippe/KBC-3783-2024; Bonnet-Lebrun, Anne-Sophie/GYU-2977-2022; BRACONNIER, Antoine/HNB-9120-2023</t>
  </si>
  <si>
    <t>Bonnet-Lebrun, Anne-Sophie/0000-0002-7587-615X; Dupont, Vincent/0000-0003-4264-494X</t>
  </si>
  <si>
    <t>ELSEVIER SCIENCE INC</t>
  </si>
  <si>
    <t>STE 800, 230 PARK AVE, NEW YORK, NY 10169 USA</t>
  </si>
  <si>
    <t>2468-0249</t>
  </si>
  <si>
    <t>KIDNEY INT REP</t>
  </si>
  <si>
    <t>Kidney Int. Rep.</t>
  </si>
  <si>
    <t>10.1016/j.ekir.2022.02.013</t>
  </si>
  <si>
    <t>Urology &amp; Nephrology</t>
  </si>
  <si>
    <t>3N7JO</t>
  </si>
  <si>
    <t>WOS:000836322100011</t>
  </si>
  <si>
    <t>Patel, S; Evans, CW; Stuckey, A; Matzke, NJ; Millar, CD</t>
  </si>
  <si>
    <t>Patel, Selina; Evans, Clive W.; Stuckey, Alex; Matzke, Nicholas J.; Millar, Craig D.</t>
  </si>
  <si>
    <t>A Unique Mitochondrial Gene Block Inversion in Antarctic Trematomin Fishes: A Cautionary Tale</t>
  </si>
  <si>
    <t>JOURNAL OF HEREDITY</t>
  </si>
  <si>
    <t>mitochondrial genome; Nototheniodei; Trematomus bernacchii; Trematomus (Pagothenia) borchgrevinki; Trematomus nicolai</t>
  </si>
  <si>
    <t>D-LOOP; GENOME; PERCIFORMES; ORGANIZATION; SEQUENCE; ICEFISH; REGION</t>
  </si>
  <si>
    <t>Many Antarctic notothenioid fishes have major rearrangements in their mitochondrial (mt) genomes. Here, we report the complete mt genomes of 3 trematomin notothenioids: the bald notothen (Trematomus (Pagothenia) borchgrevinki), the spotted notothen (T. nicolai), and the emerald notothen (T. bernacchii). The 3 mt genomes were sequenced using next-generation Illumina technology, and the assemblies verified by Sanger sequencing. When compared with the canonical mt gene order of the Antarctic silverfish (Pleuragramma antarctica), we found a large gene inversion in the 3 trematomin mt genomes that included tRNA(Ile), ND1, tRNA(Leu2), 16S, tRNA(Val), 12S, tRNA(Phe), and the control region. The trematomin mt genomes contained 3 intergenic spacers, which are thought to be the remnants of previous gene and control region duplications. All control regions included the characteristic conserved regulatory sequence motifs. Although short-read next-generation DNA sequencing technology has allowed the rapid and cost-effective sequencing of a large number of complete mt genomes, it is essential in all cases to verify the assembly in order to prevent the publication and use of erroneous data.</t>
  </si>
  <si>
    <t>[Patel, Selina; Evans, Clive W.; Matzke, Nicholas J.; Millar, Craig D.] Univ Auckland, Sch Biol Sci, Private Bag, Auckland 92019, New Zealand; [Stuckey, Alex] Queen Mary Univ London, Genom England, Dawson Hall, London EC1M 6BQ, England</t>
  </si>
  <si>
    <t>University of Auckland; University of London; Queen Mary University London</t>
  </si>
  <si>
    <t>Millar, CD (corresponding author), Univ Auckland, Sch Biol Sci, Private Bag, Auckland 92019, New Zealand.</t>
  </si>
  <si>
    <t>cd.millar@auckland.ac.nz</t>
  </si>
  <si>
    <t>Evans, Clive/0000-0003-2888-842X</t>
  </si>
  <si>
    <t>University of Auckland research funds; Allan Wilson Centre for Molecular Ecology and Evolution</t>
  </si>
  <si>
    <t>This work was supported by the University of Auckland research funds and the Allan Wilson Centre for Molecular Ecology and Evolution.</t>
  </si>
  <si>
    <t>OXFORD UNIV PRESS INC</t>
  </si>
  <si>
    <t>CARY</t>
  </si>
  <si>
    <t>JOURNALS DEPT, 2001 EVANS RD, CARY, NC 27513 USA</t>
  </si>
  <si>
    <t>0022-1503</t>
  </si>
  <si>
    <t>1465-7333</t>
  </si>
  <si>
    <t>J HERED</t>
  </si>
  <si>
    <t>J. Hered.</t>
  </si>
  <si>
    <t>10.1093/jhered/esac028</t>
  </si>
  <si>
    <t>Evolutionary Biology; Genetics &amp; Heredity</t>
  </si>
  <si>
    <t>3E6CF</t>
  </si>
  <si>
    <t>hybrid, Green Published</t>
  </si>
  <si>
    <t>WOS:000818880100001</t>
  </si>
  <si>
    <t>Jangoux, M</t>
  </si>
  <si>
    <t>Jangoux, Michel</t>
  </si>
  <si>
    <t>The type specimens of extant asteroids (Echinodermata) in the Museum national d'Histoire naturelle of Paris</t>
  </si>
  <si>
    <t>ZOOSYSTEMA</t>
  </si>
  <si>
    <t>Asteroidea; sea stars; type collection; catalogue; new synonymies</t>
  </si>
  <si>
    <t>JURASSIC FAMILY; ASTERINID GENUS; NOV-SP; BIOGEOGRAPHY; PHYLOGENY; VALVATIDA; PACIFIC; GONIASTERIDAE; REVISION; REGION</t>
  </si>
  <si>
    <t>Since its foundation in 1793, type specimens of 441 asteroid species and subspecies have been deposited in the Museum national d'Histoire naturelle of Paris. The annotated catalogue of all these taxa is drawn up including species whose type material could not be found in the collection. Today the Paris museum houses 1011 asteroid type specimens representing 398 nominal species and subspecies, most of which were described by Lamarck (1816), Muller &amp; Troschel (1842), Perrier (between 1869 and 1896) and Koehler (between 1895 and 1923). Though originating worldwide, species coming from the Atlantic and Indo-West Pacific Oceans, and Antarctic waters are more numerous. A biographical directory of all those involved either in the descriptions of the species or the collection of new material as well as their dedicatee is annexed to the catalogue. Revision of the Paris collection allows to propose taxonomic changes for two species of Muller &amp; Troschel (Echinaster crassus Muller &amp; Troschel, 1842 and Echinaster gracilis Muller &amp; Troschel, 1842 are synonymized with Echinaster purpureus (Gray, 1840)) and five species of Perrier (Asterias borbonica Perrier, 1875 and Echinaster clouei Perrier, 1869 are synonymized with Echinaster purpureus (Gray, 1840), Oreaster clouei Perrier, 1869 and Oreaster mammosus Perrier, 1869 with Protoreaster lincki (Blainville, 1830) and Ophidiaster chinensis Perrier, 1875 with Ophidiaster granifer Lutken, 1871).</t>
  </si>
  <si>
    <t>[Jangoux, Michel] Univ Libre Bruxelles, Lab Biol Marine, 50 Ave FD Roosevelt, B-1050 Brussels, Belgium; [Jangoux, Michel] Univ Mons, Lab Biol Marine, 20 Pl Parc, B-7000 Mons, Belgium</t>
  </si>
  <si>
    <t>Universite Libre de Bruxelles; University of Mons</t>
  </si>
  <si>
    <t>Jangoux, M (corresponding author), Univ Libre Bruxelles, Lab Biol Marine, 50 Ave FD Roosevelt, B-1050 Brussels, Belgium.;Jangoux, M (corresponding author), Univ Mons, Lab Biol Marine, 20 Pl Parc, B-7000 Mons, Belgium.</t>
  </si>
  <si>
    <t>michel.jangoux@telenet.be</t>
  </si>
  <si>
    <t>PUBLICATIONS SCIENTIFIQUES DU MUSEUM, PARIS</t>
  </si>
  <si>
    <t>PARIS CEDEX 05</t>
  </si>
  <si>
    <t>CP 39-57, RUE CUVIER, F-75231 PARIS CEDEX 05, FRANCE</t>
  </si>
  <si>
    <t>1280-9551</t>
  </si>
  <si>
    <t>1638-9387</t>
  </si>
  <si>
    <t>Zoosystema</t>
  </si>
  <si>
    <t>JUN 3</t>
  </si>
  <si>
    <t>10.5252/zoosystema2022v44a11</t>
  </si>
  <si>
    <t>Zoology</t>
  </si>
  <si>
    <t>2F5VR</t>
  </si>
  <si>
    <t>WOS:000812977500001</t>
  </si>
  <si>
    <t>Vlcek, T; Kovacova, M; Sarinova, K; Rybar, S; Hudackova, N; Ruman, A; Jamrich, M; Francu, J</t>
  </si>
  <si>
    <t>Vlcek, Tomas; Kovacova, Marianna; Sarinova, Katarina; Rybar, Samuel; Hudackova, Natalia; Ruman, Andrej; Jamrich, Michal; Francu, Juraj</t>
  </si>
  <si>
    <t>Multiproxy constraints on Central Paratethys Sea and Lake Pannon paleoclimate and paleoenvironment transitions during the Middle-Late Miocene (Danube Basin, Slovakia)</t>
  </si>
  <si>
    <t>PALAEOGEOGRAPHY PALAEOCLIMATOLOGY PALAEOECOLOGY</t>
  </si>
  <si>
    <t>Biomarkers; Palynology; Sedimentology; Inorganic geochemistry; Hydrocarbon potential</t>
  </si>
  <si>
    <t>N-ALKANE DISTRIBUTIONS; VIENNA BASIN; DEPOSITIONAL ENVIRONMENT; SONGLIAO BASIN; CLIMATE-CHANGE; SOURCE ROCKS; SEQUENCE STRATIGRAPHY; ORGANIC GEOCHEMISTRY; NENJIANG FORMATION; CHINA IMPLICATIONS</t>
  </si>
  <si>
    <t>The Danube Basin represents a northwestern depocenter of the Middle Miocene Central Paratethys Sea, which was succeed by the Late Miocene Lake Pannon. Although this is an extensively examined area, the application of multidisciplinary studies has proven capable of drawing attention to novel information concerning the depositional environment. Thus, this study aims to reveal climatic and paleoenvironmental changes by using both archive and fresh data drawn from biomarkers, palynology, sedimentology, and geochemistry. The article also addresses the quality, quantity, and thermal maturity of organic matter in relation to hydrocarbon potential. In general, the beginning of Serravallian stage relates to a regression forced by the development of the Antarctic icesheet followed by a pronounced transgression. The results presented here show that the Central Paratethys Sea reacted to the late Badenian (Serravallian) flooding, by an event which triggered a dysoxic, but not euxinic, bottom waters. The climate remained warm and humid, with paratropical to subtropical forests on the continent. Several new depocenters developed during the Sarmatian and divided the depositional environments into a shelfbrake slope in the central part of the Danube Basin, and into deltaic and swamp environments on the basin margins. The climate changed to temperate, leading to the disappearance of subtropical taxa. A shallow lake and swamp environment developed at the beginning of the Pannonian (Tortonian), forcing a salinity decrease connected to the increase in humidity. The degree of hydrocarbon richness of the mudstones is generally fair to good, and the kerogen is of mixed marine-terrestrial origin (II and III). Nonetheless, sediments at the basin margin are clearly immature due to insufficient burial.</t>
  </si>
  <si>
    <t>[Vlcek, Tomas; Kovacova, Marianna; Rybar, Samuel; Hudackova, Natalia; Ruman, Andrej; Jamrich, Michal] Comenius Univ, Dept Geol &amp; Paleontol, Ilkovicova 6, Bratislava 842 15, Slovakia; [Sarinova, Katarina] Comenius Univ, Dept Mineral Petrol &amp; Econ Geol, Ilkovicova 6, Bratislava 842 15, Slovakia; [Francu, Juraj] Czech Geol Survey, Leitnerova 22, Brno 658 69, Czech Republic; [Rybar, Samuel] Tech Univ Ostrava, Fac Min &amp; Geol, Dept Geodesy &amp; Mine Surveying, 17 listopadu 2172-15, Ostrava 708 00, Czech Republic</t>
  </si>
  <si>
    <t>Comenius University Bratislava; Comenius University Bratislava; Czech Geological Survey; Technical University of Ostrava</t>
  </si>
  <si>
    <t>Vlcek, T (corresponding author), Comenius Univ, Dept Geol &amp; Paleontol, Ilkovicova 6, Bratislava 842 15, Slovakia.</t>
  </si>
  <si>
    <t>vlcek22@uniba.sk</t>
  </si>
  <si>
    <t>Jamrich, Michal/KBQ-4498-2024; Rybár, Samuel/KGL-6307-2024; Francu, Juraj/D-9904-2014</t>
  </si>
  <si>
    <t>Rybár, Samuel/0000-0003-4548-9340; Jamrich, Michal/0009-0005-1496-3099; Vlcek, Tomas/0000-0001-5945-390X</t>
  </si>
  <si>
    <t>Slovak Research and Development Agency [APVV-15-0575, APVV-16-0121, APVV-17-0555, APVV-20-0079, APVV-20-0120, UK/125/2021]; Ministry of Education, Science, Research and Sport of the Slovak Republic [VEGA-1/0526/21]</t>
  </si>
  <si>
    <t>Slovak Research and Development Agency(Slovak Research and Development Agency); Ministry of Education, Science, Research and Sport of the Slovak Republic</t>
  </si>
  <si>
    <t>This work was supported by the Slovak Research and Development Agency under contracts. APVV-15-0575, APVV-16-0121, APVV-17-0555, APVV-20-0079, and APVV-20-0120, Grant UK/125/2021 and The Ministry of Education, Science, Research and Sport of the Slovak Republic under VEGA-1/0526/21. Special thanks go to Dr. Imre Magyar (MOL, the Hungarian Oil and Gas Company) for the classification of mollusks and to Prof. Sachsenhofer (University of Leoben) for the discussion on source rocks. Our gratitude also goes to the Department of Applied Geosciences and Geophysics (University of Leoben) for the opportunity to use laboratory facilities. The authors would like to thank the editor and our reviewers for their insightful comments and suggestions, which allowed us to improve the manuscript significantly.</t>
  </si>
  <si>
    <t>0031-0182</t>
  </si>
  <si>
    <t>1872-616X</t>
  </si>
  <si>
    <t>PALAEOGEOGR PALAEOCL</t>
  </si>
  <si>
    <t>Paleogeogr. Paleoclimatol. Paleoecol.</t>
  </si>
  <si>
    <t>AUG 15</t>
  </si>
  <si>
    <t>10.1016/j.palaeo.2022.111058</t>
  </si>
  <si>
    <t>Geography, Physical; Geosciences, Multidisciplinary; Paleontology</t>
  </si>
  <si>
    <t>Physical Geography; Geology; Paleontology</t>
  </si>
  <si>
    <t>2B5YJ</t>
  </si>
  <si>
    <t>WOS:000810263200001</t>
  </si>
  <si>
    <t>Zhang, SF; Zhang, WW; Ju, MW; Qu, L; Chu, XT; Huo, C; Wang, JY</t>
  </si>
  <si>
    <t>Zhang, Shoufeng; Zhang, Weiwei; Ju, Maowei; Qu, Ling; Chu, Xiaoting; Huo, Cheng; Wang, Juying</t>
  </si>
  <si>
    <t>Distribution characteristics of microplastics in surface and subsurface Antarctic seawater</t>
  </si>
  <si>
    <t>SCIENCE OF THE TOTAL ENVIRONMENT</t>
  </si>
  <si>
    <t>Microplastic; Antarctic seawaters; Distribution characteristics; Potential source</t>
  </si>
  <si>
    <t>PLASTIC DEBRIS; PACIFIC; SEA; ACCUMULATION; ABUNDANCE; IMPACTS; WATERS</t>
  </si>
  <si>
    <t>Microplastics have attracted worldwide attention due to their potential threat to the marine ecosystem, with such pollutants even detected in the polar seas. Although in-depth research on microplastics has increased in recent years, studies in Antarctic waters remain relatively scarce compared with coastal waters and open oceans. In this study, microplastics in surface and subsurface Antarctic waters were investigated. The average microplastic abundance in the surface water was 0.10 &amp; PLUSMN; 0.14 items/m3, with highest abundance in the Ross Sea, and the average microplastic abundance in the subsurface water was 1.66 &amp; PLUSMN; 1.20 items/m3, with highest abundance in the Dumont d'Urville Sea. Polyester was the main microplastic in the surface waters (87.3%), while polypropylene (33.1%), polyester (28.7%), and polyethylene (22.8%) were the dominant microplastics in the subsurface waters. Results indicate that microplastic pollution in Antarctic waters may come from the Antarctic continent as well as southward transport from the ocean at mid-and low latitudes.</t>
  </si>
  <si>
    <t>[Zhang, Shoufeng; Zhang, Weiwei; Ju, Maowei; Qu, Ling; Chu, Xiaoting; Huo, Cheng; Wang, Juying] Natl Marine Environm Monitoring Ctr, 42 Linghe St, Dalian 116023, Peoples R China</t>
  </si>
  <si>
    <t>National Marine Environmental Monitoring Center</t>
  </si>
  <si>
    <t>Wang, JY (corresponding author), Natl Marine Environm Monitoring Ctr, 42 Linghe St, Dalian 116023, Peoples R China.</t>
  </si>
  <si>
    <t>jywang@nmemc.org.cn</t>
  </si>
  <si>
    <t>Zhang, Yuyao/KEH-7175-2024; lu, kai/KBB-4008-2024</t>
  </si>
  <si>
    <t>National Key Research and Development Program [2016YFC1402201]</t>
  </si>
  <si>
    <t>National Key Research and Development Program</t>
  </si>
  <si>
    <t>We thank the National Key Research and Development Program (2016YFC1402201) for providing financial support. We thank the Polar Research Institute of China for facilitating the microplastics survey. We also thank Huigen Yang, Limin Xia, Bing Zhu, Guangfu Luo, Yutian Jiao, Jianhua Kang, Zhengbing Han, and Limei Tang for their help in sample collection.</t>
  </si>
  <si>
    <t>0048-9697</t>
  </si>
  <si>
    <t>1879-1026</t>
  </si>
  <si>
    <t>SCI TOTAL ENVIRON</t>
  </si>
  <si>
    <t>Sci. Total Environ.</t>
  </si>
  <si>
    <t>SEP 10</t>
  </si>
  <si>
    <t>10.1016/j.scitotenv.2022.156051</t>
  </si>
  <si>
    <t>Environmental Sciences</t>
  </si>
  <si>
    <t>2A8QX</t>
  </si>
  <si>
    <t>WOS:000809761500016</t>
  </si>
  <si>
    <t>Kim, HS; Choi, HG; Hwang, MS; Jeon, YJ; Yarish, C; Kim, JK</t>
  </si>
  <si>
    <t>Kim, Hyung-Seop; Choi, Han Gil; Hwang, Mi-Sook; Jeon, You Jin; Yarish, Charles; Kim, Jang Kyun</t>
  </si>
  <si>
    <t>Concise review of the genus Neopyropia (Rhodophyta: Bangiales)</t>
  </si>
  <si>
    <t>JOURNAL OF APPLIED PHYCOLOGY</t>
  </si>
  <si>
    <t>Neopyropia; Rhodophyta; Ecology; Life history; Aquaculture; Bioactive compounds; Utilization</t>
  </si>
  <si>
    <t>PORPHYRA-YEZOENSIS BANGIALES; RED ROT DISEASE; INTERNAL TRANSCRIBED SPACER-1; REVEALS CRYPTIC DIVERSITY; SUBUNIT RIBOSOMAL-RNA; LONG-TERM CHANGES; PYROPIA-YEZOENSIS; MOLECULAR-IDENTIFICATION; INTEGRATED AQUACULTURE; ENVIRONMENTAL-FACTORS</t>
  </si>
  <si>
    <t>Neopyropia J. Brodie &amp; L.-E Yang has been cultivated in Asia for centuries and the total production was nearly three million (fresh weight) with an economic value of US$2.7 billion in 2019. It has been traditionally used as human food. Recently its diverse secondary metabolites as functional components, including porphyrin, phycobiliproteins, carotenoids, mycosporine-like amino acids (MAAs) in the cosmetic and pharmaceutical industries have received much attention. In this review we first discuss the nomenclatural history of Neopyropia, its characterization, and circumscription and species delineation; current systematics, biogeography and speciation, genomics and transcriptomics, ecology, life history, cultivation, and bioactive chemicals. Currently, 22 species have been described in this genus and 32 varieties or cultivars have been developed in Korea, China, and Japan. Most species show a large degree of phenotypic plasticity. This genus may be found on all continents except for the Antarctic. Neopyropia has a heteromorphic life cycle, alternating macroscopic foliose monoecious gametophytic phase and a filamentous sporophytic phase, called the conchocelis. The gametophytic thallus consists of one cell layers in thickness with an extremely high surface area to volume ratio, and therefore, all cells can take up nutrients. Neopyropia can be found in various environments: from marine to estuarine; from eulittoral to sublittoral; and may be epilithic, epiphytic or epizoic. Neopyropia yezoensis has received much more attention than other species in this genus because this species is the dominant aquaculture species and has rapid growth. Recently, a complete plastid and mitochondria genome has been described in N. yezoensis, which provides critical insights to understand the origin and evolution of eukaryotes and the evolution of agronomic traits. This review will describe the most recent advances in these areas.</t>
  </si>
  <si>
    <t>[Kim, Hyung-Seop] Gangneung Wonju Natl Univ, Dept Biol, Kangnung 25457, Gangwon, South Korea; [Choi, Han Gil] Wonkwang Univ, Fac Biol Sci, Iksan 54538, Jeonbuk, South Korea; [Hwang, Mi-Sook] Natl Inst Fisheries Sci, Fisheries Seed &amp; Breeding Res Inst, Mokpo Si 59002, Jeonnam, South Korea; [Jeon, You Jin] Jeju Natl Univ, Dept Marine Life Sci, Jeju 63243, South Korea; [Yarish, Charles] Univ Connecticut, Dept Ecol &amp; Evolutionary Biol, Stamford, CT 06901 USA; [Kim, Jang Kyun] Incheon Natl Univ, Dept Marine Sci, Incheon 22012, South Korea</t>
  </si>
  <si>
    <t>Kangnung Wonju National University; Wonkwang University; National Institute of Fisheries Science; Jeju National University; University of Connecticut; Incheon National University</t>
  </si>
  <si>
    <t>Kim, JK (corresponding author), Incheon Natl Univ, Dept Marine Sci, Incheon 22012, South Korea.</t>
  </si>
  <si>
    <t>hskim@gwnu.ac.kr; hgchoi@wku.ac.kr; mishwang@korea.kr; youjinj@jejunu.ac.kr; Charles.yarish@uconn.edu; jang.kim@inu.ac.kr</t>
  </si>
  <si>
    <t>Basic Science Research Program through the National Research Foundation of Korea (NRF) - Ministry of Education [NRF2017R1A6A1A06015181]; National Institute of Fisheries Science [R2021013]</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</si>
  <si>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National Institute of Fisheries Science</t>
  </si>
  <si>
    <t>This study was supported by the Basic Science Research Program through the National Research Foundation of Korea (NRF) funded by the Ministry of Education (NRF2017R1A6A1A06015181) and a grant from the National Institute of Fisheries Science (R2021013)</t>
  </si>
  <si>
    <t>DORDRECHT</t>
  </si>
  <si>
    <t>VAN GODEWIJCKSTRAAT 30, 3311 GZ DORDRECHT, NETHERLANDS</t>
  </si>
  <si>
    <t>0921-8971</t>
  </si>
  <si>
    <t>1573-5176</t>
  </si>
  <si>
    <t>J APPL PHYCOL</t>
  </si>
  <si>
    <t>J. Appl. Phycol.</t>
  </si>
  <si>
    <t>10.1007/s10811-022-02776-1</t>
  </si>
  <si>
    <t>Biotechnology &amp; Applied Microbiology; Marine &amp; Freshwater Biology</t>
  </si>
  <si>
    <t>3B7RX</t>
  </si>
  <si>
    <t>WOS:000805718700001</t>
  </si>
  <si>
    <t>Chen, DX; Luo, YH; Yang, X; Si, FQ; Dou, K; Zhou, HJ; Qian, YY; Hu, CQ; Liu, JG; Liu, WQ</t>
  </si>
  <si>
    <t>Chen, Douxing; Luo, Yuhan; Yang, Xin; Si, Fuqi; Dou, Ke; Zhou, Haijin; Qian, Yuanyuan; Hu, Chunqiao; Liu, Jianguo; Liu, Wenqing</t>
  </si>
  <si>
    <t>Study of an Arctic blowing snow-induced bromine explosion event in Ny-Alesund, Svalbard</t>
  </si>
  <si>
    <t>Bromine explosion event; Ozone; Arctic; DOAS; Cyclone; Sea salt aerosol</t>
  </si>
  <si>
    <t>SEA-SALT AEROSOL; ABSORPTION CROSS-SECTIONS; TROPOSPHERIC BRO COLUMNS; BOUNDARY-LAYER; OZONE DEPLETION; SURFACE OZONE; VERTICAL-DISTRIBUTION; INORGANIC BROMINE; MONOXIDE BRO; ICE</t>
  </si>
  <si>
    <t>Bromine explosion events (BEEs) are important processes that influence the atmospheric oxidation capacity, especially in the polar troposphere during spring. Although sea ice surface is thought to be a significant bromine source, bromine release mechanisms remain unclear. High-resolution ground-based observations of reactive bromine, such as BrO, are important for assessing the potential impacts on tropospheric ozone and evaluating chemical models. However, previous model studies paid little attention to Svalbard, which is surrounded by both open ocean and sea ice. In this paper, we present continuous BrO slant column densities and vertical column densities derived by Multi-Axis Differential Optical Absorption Spectroscopy deployed at Ny-Alesund (78.92 degrees N, 11.93 degrees E) in March 2017. We focused on one BEE in mid-March, during which the vertical column densities of BrO surged from4.26x10(13) molecular cm(-2) to the peak at 1.23x10(14) molecular cm(-2) on March 17, surface ozone depleted from a background level of 46.25 parts per billion by volume (ppbv) to 13.9 ppbv. This case study indicates that the BEE was strongly associated with blowing snow induced by the cyclone systems that approached Svalbard from March 14 to 18. By considering meteorological conditions, sea ice coverage, and airmass trajectory history, we demonstrate that sea salt aerosols (SSAs) from blowing snow on sea ice, rather than from open ocean, are attributed to the occurrence of this BEE. Model results from a parallelized-tropospheric offline model of chemistry and transport (p-TOMCAT) indicate that this BEE was mainly triggered by a blowing snow event associated with a low-pressure cyclone system. The concentration of blowing-snowsourced SSAs surged to peak when the airmass pass across the sea-ice-covered area under high wind speed, which is a critical factor in the process of bromine explosion observed in Ny-Alesund. Due to the coarse resolution, the possible delayed timing of bromine release from SSA and the model-data discrepancies still exist.</t>
  </si>
  <si>
    <t>[Chen, Douxing; Luo, Yuhan; Si, Fuqi; Dou, Ke; Zhou, Haijin; Qian, Yuanyuan; Hu, Chunqiao; Liu, Jianguo; Liu, Wenqing] Chinese Acad Sci, Anhui Inst Opt &amp; Fine Mech, Hefei Inst Phys Sci, Key Lab Environm Opt &amp; Technol, Hefei 230031, Peoples R China; [Chen, Douxing; Qian, Yuanyuan; Hu, Chunqiao] Univ Sci &amp; Technol China, Hefei 230026, Peoples R China; [Yang, Xin] NERC, British Antarctic Survey, Cambridge CB3 0ET, England</t>
  </si>
  <si>
    <t>Chinese Academy of Sciences; Hefei Institutes of Physical Science, CAS; Anhui Institute of Optics &amp; Fine Mechanics (AIOFM), CAS; Chinese Academy of Sciences; University of Science &amp; Technology of China, CAS; UK Research &amp; Innovation (UKRI); Natural Environment Research Council (NERC); NERC British Antarctic Survey</t>
  </si>
  <si>
    <t>Luo, YH (corresponding author), Chinese Acad Sci, Anhui Inst Opt &amp; Fine Mech, Hefei Inst Phys Sci, Key Lab Environm Opt &amp; Technol, Hefei 230031, Peoples R China.</t>
  </si>
  <si>
    <t>yhluo@aiofm.ac.cn</t>
  </si>
  <si>
    <t>liu, wen/HGE-3071-2022; Zhou, Haijin/ABE-5081-2020; 钱, 园园/IUM-5648-2023</t>
  </si>
  <si>
    <t>钱, 园园/0000-0001-5870-9467</t>
  </si>
  <si>
    <t>National Natural Science Foundation of China [41941011, 41676184]; Youth Innovation Promotion Association of CAS [2020439]; UK NERC [NE/S00257X/1]</t>
  </si>
  <si>
    <t>National Natural Science Foundation of China(National Natural Science Foundation of China (NSFC)); Youth Innovation Promotion Association of CAS; UK NERC(UK Research &amp; Innovation (UKRI)Natural Environment Research Council (NERC))</t>
  </si>
  <si>
    <t>This research was financially supported by the National Natural Science Foundation of China (Grant Nos. 41941011 and 41676184) and the Youth Innovation Promotion Association of CAS (Grant No. 2020439). XY thanks for the financial support by UK NERC funded project (NE/S00257X/1). The authors thank the organizations of the Chinese Arctic and Antarctic Administration (CAAA), Polar Research Institute of China, and teammates of the Chinese Arctic Yellow River Station for their kind help. We appreciate Andreas Richter and Ilias Bougoudis fromthe University of Bremen for providing the GOME-2B dataset. Sea ice information was provided by the NASA National Snowand Ice Data Center. The PANGAEAwebsite provided meteorological data, and the ECMWF provided complementary data. Surface ozone data were obtained from the EBAS database. We gratefully acknowledge Caroline Fayt, Thomas Danckaert, and Michel van Roozendael from BIRA for providing the QDOAS analysis software. We also gratefully thank the NOAA Air Resources Laboratory (ARL) for the HYSPLIT transport model and READY website (http://www.ready.noaa.gov) used in this study.</t>
  </si>
  <si>
    <t>SEP 15</t>
  </si>
  <si>
    <t>10.1016/j.scitotenv.2022.156335</t>
  </si>
  <si>
    <t>3J6ZN</t>
  </si>
  <si>
    <t>Green Accepted, hybrid</t>
  </si>
  <si>
    <t>WOS:000833543400011</t>
  </si>
  <si>
    <t>Yan, Q; Wei, T; Zhang, ZS</t>
  </si>
  <si>
    <t>Yan, Qing; Wei, Ting; Zhang, Zhongshi</t>
  </si>
  <si>
    <t>Modeling the climate sensitivity of Patagonian glaciers and their responses to climatic change during the global last glacial maximum</t>
  </si>
  <si>
    <t>QUATERNARY SCIENCE REVIEWS</t>
  </si>
  <si>
    <t>Ice sheet modeling; Last glacial maximum; Patagonian ice sheet</t>
  </si>
  <si>
    <t>SURFACE MASS-BALANCE; ANTARCTIC ICE-SHEET; GRAN-CAMPO-NEVADO; LATE PLEISTOCENE; NUMERICAL-MODEL; EROSION; DEGLACIATION; RECONSTRUCTION; TERMINATION; LAND</t>
  </si>
  <si>
    <t>Investigation of the behavior of the former ice sheet over Patagonia aids better understanding of ice-climate interactions and has important implications for deciphering how modern glaciers will respond to rapid increase in global temperature. Here, we use a 1-km resolution ice sheet model to identify the climate sensitivity of Patagonian glaciers and examine their responses to climatic change during the global Last Glacial Maximum (gLGM). Our results demonstrate that the total glacier area increases by similar to 78 x 10(3) km(2) and the equilibrium-line altitude (ELA) lowers by similar to 163 m for every 1 degrees C of cooling under modern precipitation regime. Keeping temperature unchanged, there is an increase of total glacier area by similar to 21 x 10(3) km(2 )and a Delta ELA by similar to 64 m for every doubling in precipitation. According to the multimodel ensemble mean of 21 PMIP models, an overall colder and drier climate prevails over Patagonia during the gLGM, with a decrease of annual mean temperature and precipitation by similar to 4.7 degrees C and 12%, respectively. Under the modeled gLGM climate, there is an extensive ice sheet (similar to 387 x 10(3) km(2) ) almost completely covering the Patagonian Andes, which results largely from the cooling with positive contribution from sea-level fall. The Patagonian ice sheet is drained by ice streams at the western margins and fast-flowing outlet glaciers to the east, with a north-to-south ice divide mainly extending the southern Patagonian Andes. Additionally, the erosion potential induced by the ice sheet exhibits a very strong localization over the fjords and valleys, resembling the pattern of ice velocity. The modeled ice sheet extent and ice flow pattern during the gLGM match well with the latest empirical reconstructions (though with spatial discrepancies), whereas the total ice volume is underestimated. However, the modeled Patagonian ice sheet exhibits high sensitivity to climatic forcing and the values of ice sheet model parameters used. (C) 2022 Elsevier Ltd. All rights reserved.</t>
  </si>
  <si>
    <t>[Yan, Qing] Chinese Acad Sci, Nansen Zhu Int Res Ctr, Inst Atmospher Phys, Beijing 100029, Peoples R China; [Wei, Ting] Chinese Acad Meteorol Sci, State Key Lab Severe Weather, Beijing 100087, Peoples R China; [Zhang, Zhongshi] China Univ Geosci, Sch Environm Studies, Dept Atmospher Sci, Wuhan 430074, Peoples R China</t>
  </si>
  <si>
    <t>Chinese Academy of Sciences; Institute of Atmospheric Physics, CAS; China Meteorological Administration; Chinese Academy of Meteorological Sciences (CAMS); China University of Geosciences</t>
  </si>
  <si>
    <t>Yan, Q (corresponding author), Chinese Acad Sci, Nansen Zhu Int Res Ctr, Inst Atmospher Phys, Beijing 100029, Peoples R China.</t>
  </si>
  <si>
    <t>yanqing@mail.iap.ac.cn</t>
  </si>
  <si>
    <t>Zhang, zs/GXN-3521-2022; zhang, zhi/HPH-4905-2023; Yan, Qing/C-5413-2013; Zhang, Zhongshi/ADE-5510-2022</t>
  </si>
  <si>
    <t>Zhang, Zhongshi/0000-0002-2354-1622</t>
  </si>
  <si>
    <t>National Natural Science Foundation of China [42022036, 41888101]; Youth Innovation Promotion Association by CAS [2019080]</t>
  </si>
  <si>
    <t>National Natural Science Foundation of China(National Natural Science Foundation of China (NSFC)); Youth Innovation Promotion Association by CAS</t>
  </si>
  <si>
    <t>We would like to thank the anonymous reviewers for their valuable comments and suggestions to significantly improve the quality of the paper. This study was funded by the National Natural Science Foundation of China (42022036, 41888101) and the Youth Innovation Promotion Association by CAS (2019080) . The modeled PIS during the gLGM is available at https://zenodo.org/record/6586629.</t>
  </si>
  <si>
    <t>0277-3791</t>
  </si>
  <si>
    <t>1873-457X</t>
  </si>
  <si>
    <t>QUATERNARY SCI REV</t>
  </si>
  <si>
    <t>Quat. Sci. Rev.</t>
  </si>
  <si>
    <t>JUL 15</t>
  </si>
  <si>
    <t>10.1016/j.quascirev.2022.107582</t>
  </si>
  <si>
    <t>2E1YR</t>
  </si>
  <si>
    <t>WOS:000812029500002</t>
  </si>
  <si>
    <t>Riboni, N; Amorini, M; Bianchi, F; Pedrini, A; Pinalli, R; Dalcanale, E; Careri, M</t>
  </si>
  <si>
    <t>Riboni, N.; Amorini, M.; Bianchi, F.; Pedrini, A.; Pinalli, R.; Dalcanale, E.; Careri, M.</t>
  </si>
  <si>
    <t>Ultra-sensitive solid-phase Microextraction-Gas Chromatography-Mass spectrometry determination of polycyclic aromatic hydrocarbons in snow samples using a deep cavity BenzoQxCavitand</t>
  </si>
  <si>
    <t>CHEMOSPHERE</t>
  </si>
  <si>
    <t>Solid-phase microextraction; Polycyclic aromatic hydrocarbons; Priority pollutants; Cavitand; Trace analysis</t>
  </si>
  <si>
    <t>SELECTIVE DETECTION; PAHS; DEPOSITION; COATINGS; BENZENE; WATER; FATE; BTEX; AIR</t>
  </si>
  <si>
    <t>A very sensitive and selective solid-phase microextraction-gas chromatography-mass spectrometry method based on the use of a deep cavity BenzoQxCavitand as innovative coating was developed and validated for the simultaneous determination of the 16 US-EPA priority pollutants polycyclic aromatic hydrocarbons (PAHs) in snow samples at ultra-trace levels. The presence of a 8.3 angstrom deep hydrophobic cavity allowed the engulfment of all the 16 PAHs, providing enhanced selectivity also in presence of interfering aromatic pollutants at high concentration levels. Validation proved the reliability of the method for the determination of the investigated compounds achieving detection limits in the 0.03-0.30 ng/L range, good precision, with relative standard deviations &lt;18% and recovery rates in the 90.8(+/- 2.1)%-109.6(+/- 1.0)%. The detection of low-molecular weight PAHs in snow samples from Antarctica and Alps confirms the widespread occurrence of these compounds, thus assessing the impact of anthropogenic activities onto the environment.</t>
  </si>
  <si>
    <t>[Riboni, N.; Amorini, M.; Bianchi, F.; Pedrini, A.; Pinalli, R.; Dalcanale, E.; Careri, M.] Univ Parma, Dept Chem, Life Sci &amp; Environm Sustainabil, Parco Area Sci 17-A, I-43124 Parma, Italy; [Bianchi, F.] Univ Parma, Ctr Energy &amp; Environm CIDEA, Parco Area Sci 42, I-43124 Parma, Italy</t>
  </si>
  <si>
    <t>University of Parma; University of Parma</t>
  </si>
  <si>
    <t>Riboni, N; Bianchi, F (corresponding author), Univ Parma, Dept Chem, Life Sci &amp; Environm Sustainabil, Parco Area Sci 17-A, I-43124 Parma, Italy.;Bianchi, F (corresponding author), Univ Parma, Ctr Energy &amp; Environm CIDEA, Parco Area Sci 42, I-43124 Parma, Italy.</t>
  </si>
  <si>
    <t>nicolo.riboni@unipr.it; federica.bianchi@unipr.it</t>
  </si>
  <si>
    <t>Dalcanale, Enrico/A-6352-2012; Pinalli, Roberta/Q-1836-2019; Bianchi, Federica/J-4912-2012; Riboni, Nicolò/ADR-7872-2022</t>
  </si>
  <si>
    <t>Pinalli, Roberta/0000-0002-0000-8980; Bianchi, Federica/0000-0001-7880-5624; Riboni, Nicolo/0000-0002-0789-3812; Dalcanale, Enrico/0000-0001-6964-788X; Amorini, Mattia/0000-0002-1779-4615</t>
  </si>
  <si>
    <t>'Departments of Excellence' program of the Italian Ministry for Education, University and Research (MIUR); Emerging COntaminants in Antarctic Snow: sources and TRAnsport (ECO AS:TRA) - MIUR Programma Nazionale di Ricerca in Antartide (PNRA) [PNRA18_00229]</t>
  </si>
  <si>
    <t>'Departments of Excellence' program of the Italian Ministry for Education, University and Research (MIUR); Emerging COntaminants in Antarctic Snow: sources and TRAnsport (ECO AS:TRA) - MIUR Programma Nazionale di Ricerca in Antartide (PNRA)</t>
  </si>
  <si>
    <t>This work has benefited from the equipment and framework of the COMP-HUB Initiative, funded by the 'Departments of Excellence' program of the Italian Ministry for Education, University and Research (MIUR, 2018-2022).; The study was also supported by the project Emerging COntaminants in Antarctic Snow: sources and TRAnsport (ECO AS:TRA), funded by the MIUR Programma Nazionale di Ricerca in Antartide (PNRA), grant: PNRA18_00229.</t>
  </si>
  <si>
    <t>0045-6535</t>
  </si>
  <si>
    <t>1879-1298</t>
  </si>
  <si>
    <t>Chemosphere</t>
  </si>
  <si>
    <t>10.1016/j.chemosphere.2022.135144</t>
  </si>
  <si>
    <t>1Y2UH</t>
  </si>
  <si>
    <t>WOS:000807998400004</t>
  </si>
  <si>
    <t>Bromwich, DH; Powers, JG; Manning, KW; Zou, X</t>
  </si>
  <si>
    <t>Bromwich, David H.; Powers, Jordan G.; Manning, Kevin W.; Zou, Xun</t>
  </si>
  <si>
    <t>Antarctic data impact experiments with Polar WRF during the YOPP-SH summer special observing period</t>
  </si>
  <si>
    <t>QUARTERLY JOURNAL OF THE ROYAL METEOROLOGICAL SOCIETY</t>
  </si>
  <si>
    <t>Antarctica; data assimilation; NWP; Polar WRF; radiosondes; Southern Ocean; YOPP-SH</t>
  </si>
  <si>
    <t>WEATHER RESEARCH; SURFACE CLIMATOLOGY; SYSTEM; PREDICTION; MODEL; ASSIMILATION; PERFORMANCE; CYCLONE; CLOUDS</t>
  </si>
  <si>
    <t>Data impact experiments are conducted employing the Polar Weather Research and Forecasting (WRF) model during the YOPP-SH summer special observing period (SOP) using the Antarctic Mesoscale Prediction System (AMPS) framework to determine the forecast impact of numerous additional radiosondes collected during the SOP. Hybrid variational-ensemble three-dimensional data assimilation is performed on model forecast domains over Antarctica and the Southern Ocean using all regular observations normally available (Experiment NoSOP) and using the same set plus the extra soundings launched for the SOP (Experiment SOP). The SOP results show better near-surface temperature and wind-speed forecasts than the NoSOP results, primarily over West Antarctica. Radiosonde profiles confirm that temperature and wind-speed forecasts are improved throughout the troposphere with the addition of the SOP radiosonde data, but the results for relative humidity are variable. Temperatures are improved at lower levels early in the forecasts, whereas wind speeds are better at higher levels later in the forecasts. An evaluation against the ERA5 global reanalysis that provides a much broader perspective reveals that the improved forecast skill for the SOP experiment persists up to 72 hours for temperature, wind speed, and relative humidity. The gains, however, are primarily confined to the Antarctic continent, consistent with the additional radiosonde spatial coverage being mainly poleward of 60 degrees S. With extra radiosondes concentrated over the Antarctic Peninsula, SOP forecasts of the region downstream of the Peninsula were significantly improved compared to NoSOP forecasts. In addition, it is found that the assimilation of the additional radiosonde data can have a greater impact on the forecasts of strong cyclones, as shown for a major coastal cyclone affecting West Antarctica, with improvements in its magnitude and track. The results also suggest that increasing radiosonde launches at lower southern latitudes would improve forecasts over the Southern Ocean, especially during austral winter.</t>
  </si>
  <si>
    <t>[Bromwich, David H.; Zou, Xun] Ohio State Univ, Byrd Polar &amp; Climate Res Ctr, Polar Meteorol Grp, Columbus, OH 43210 USA; [Bromwich, David H.] Ohio State Univ, Dept Geog, Atmospher Sci Program, Columbus, OH 43210 USA; [Powers, Jordan G.; Manning, Kevin W.] Natl Ctr Atmospher Res, POB 3000, Boulder, CO 80307 USA</t>
  </si>
  <si>
    <t>University System of Ohio; Ohio State University; University System of Ohio; Ohio State University; National Center Atmospheric Research (NCAR) - USA</t>
  </si>
  <si>
    <t>Bromwich, DH (corresponding author), Ohio State Univ, 1090 Carmack Rd, Columbus, OH 43210 USA.</t>
  </si>
  <si>
    <t>bromwich.1@osu.edu</t>
  </si>
  <si>
    <t>zou, xun/AAV-1306-2020; zou, xun/I-2438-2015</t>
  </si>
  <si>
    <t>zou, xun/0000-0003-1620-3198; Bromwich, David/0000-0003-4608-8071</t>
  </si>
  <si>
    <t>Office of Polar Programs [1823135]; Directorate For Geosciences; Office of Polar Programs (OPP) [1823135] Funding Source: National Science Foundation</t>
  </si>
  <si>
    <t>Office of Polar Programs(National Science Foundation (NSF)NSF - Directorate for Geosciences (GEO)); Directorate For Geosciences; Office of Polar Programs (OPP)(National Science Foundation (NSF)NSF - Directorate for Geosciences (GEO))</t>
  </si>
  <si>
    <t>Office of Polar Programs, Grant/Award Number: 1823135</t>
  </si>
  <si>
    <t>0035-9009</t>
  </si>
  <si>
    <t>1477-870X</t>
  </si>
  <si>
    <t>Q J ROY METEOR SOC</t>
  </si>
  <si>
    <t>Q. J. R. Meteorol. Soc.</t>
  </si>
  <si>
    <t>10.1002/qj.4298</t>
  </si>
  <si>
    <t>3N1NA</t>
  </si>
  <si>
    <t>WOS:000804591600001</t>
  </si>
  <si>
    <t>Antonello, A</t>
  </si>
  <si>
    <t>Antonello, Alessandro</t>
  </si>
  <si>
    <t>Antarctic Krill and the Temporalities of Oceanic Abundance, 1930s-1960s</t>
  </si>
  <si>
    <t>ISIS</t>
  </si>
  <si>
    <t>FISHERIES</t>
  </si>
  <si>
    <t>In the decades after World War II, oceans were envisioned as sites of resource abundance that would underpin global development. This essay investigates Antarctic krill and its potential surplus as one articulation of this abundance, attending to the cultural and epistemic strategies at play in constituting this ocean abundance. Concentrating on the work of Neil Mackintosh, a world-leading British whale biologist working within governmental scientific bodies, this essay identifies temporal imaginings and sensibilities as being central to his claims around krill abundance and its seeming surplus in the context of whale stocks significantly diminished through overexploitation. Mackintosh's temporalities of abundance were generated in three overlapping and mutually reinforcing sites: the archive of the colonial scientific survey he worked for, the decades of his career, and the recovery of polar seal populations. The story of the krill surplus and the temporalities underpinning it allows for a more complex reckoning with ideas of scarcity and abundance as well as further demonstrating the need to see the temporalities at work in constituting environments and the scientific labor in them.</t>
  </si>
  <si>
    <t>[Antonello, Alessandro] Flinders Univ S Australia, Coll Humanities Arts &amp; Social Sci, GPO Box 2100, Adelaide, SA 5001, Australia</t>
  </si>
  <si>
    <t>Flinders University South Australia</t>
  </si>
  <si>
    <t>Antonello, A (corresponding author), Flinders Univ S Australia, Coll Humanities Arts &amp; Social Sci, GPO Box 2100, Adelaide, SA 5001, Australia.</t>
  </si>
  <si>
    <t>alessandro.antonello@flinders.edu.au</t>
  </si>
  <si>
    <t>Antonello, Alessandro/0000-0002-7549-1436</t>
  </si>
  <si>
    <t>Australian Research Council - Australian government [DE190100922]; Australian Research Council [DE190100922] Funding Source: Australian Research Council</t>
  </si>
  <si>
    <t>Australian Research Council - Australian government(Australian Research Council); Australian Research Council(Australian Research Council)</t>
  </si>
  <si>
    <t>My thanks to Alexandra Roginski and the Isis Editors and referees for their critical engagement. An early version of this essay was presented at the Global Environmental Histories from the Pacific Workshop at the University of Oregon in 2018, and my thanks to Ryan Jones and Mark Carey for the invitation. Colleagues at Flinders University and the University of Melbourne also generously engaged with this work. This work was supported by an Australian Research Council grant (DE190100922) funded by the Australian government.</t>
  </si>
  <si>
    <t>UNIV CHICAGO PRESS</t>
  </si>
  <si>
    <t>CHICAGO</t>
  </si>
  <si>
    <t>1427 E 60TH ST, CHICAGO, IL 60637-2954 USA</t>
  </si>
  <si>
    <t>0021-1753</t>
  </si>
  <si>
    <t>1545-6994</t>
  </si>
  <si>
    <t>Isis</t>
  </si>
  <si>
    <t>10.1086/719745</t>
  </si>
  <si>
    <t>History &amp; Philosophy Of Science</t>
  </si>
  <si>
    <t>Science Citation Index Expanded (SCI-EXPANDED); Social Science Citation Index (SSCI); Arts &amp; Humanities Citation Index (A&amp;HCI)</t>
  </si>
  <si>
    <t>History &amp; Philosophy of Science</t>
  </si>
  <si>
    <t>8P3TD</t>
  </si>
  <si>
    <t>WOS:000926448100004</t>
  </si>
  <si>
    <t>Madelaire, CB; Klink, AC; Israelsen, WJ; Hindle, AG</t>
  </si>
  <si>
    <t>Madelaire, Carla B.; Klink, Amy C.; Israelsen, William J.; Hindle, Allyson G.</t>
  </si>
  <si>
    <t>Fibroblasts as an experimental model system for the study of comparative physiology</t>
  </si>
  <si>
    <t>COMPARATIVE BIOCHEMISTRY AND PHYSIOLOGY B-BIOCHEMISTRY &amp; MOLECULAR BIOLOGY</t>
  </si>
  <si>
    <t>Dermal fibroblast; Primary cell culture; Skin biopsy; Environmental stress; Immortalization</t>
  </si>
  <si>
    <t>PHOSPHOLIPASE-C ACTIVITY; WEDDELL SEALS; LEPTONYCHOTES-WEDDELLII; CELLULAR SENESCENCE; ATMOSPHERIC OXYGEN; PROTEIN-SYNTHESIS; BODY-TEMPERATURE; GENE-EXPRESSION; CELLS; CULTURE</t>
  </si>
  <si>
    <t>Mechanistic evaluations of processes that underlie organism-level physiology often require reductionist approaches. Dermal fibroblasts offer one such approach. These cells are easily obtained from minimally invasive skin biopsy, making them appropriate for the study of protected and/or logistically challenging species. Cell culture approaches permit extensive and fine-scale sampling regimes as well as gene manipulation techniques that are not feasible in vivo. Fibroblast isolation and culture protocols are outlined here for primary cells, and the benefits and drawbacks of immortalization are discussed. We show examples of physiological metrics that can be used to characterize primary cells (oxygen consumption, translation, proliferation) and readouts that can be informative in understanding cell-level responses to environmental stress (lactate production, heat shock protein induction). Importantly, fibroblasts may display fidelity to whole animal physiological phenotypes, facilitating their study. Fibroblasts from Antarctic Weddell seals show greater resilience to low temperatures and hypoxia exposure than fibroblasts from humans or rats. Fibroblast oxygen consumption rates are not affected by temperature stress in the heat-tolerant camel, whereas similar temperature exposures depress mitochondrial metabolism in fibroblasts from rhinoceros. Finally, dermal fibroblasts from a hibernator, the meadow jumping mouse, better resist experimental cooling than a fibroblast line from the laboratory mouse, with the hibernator demonstrating a greater maintenance of homeostatic processes such as protein translation. These results exemplify the parallels that can be drawn between fibroblast physiology and expectations in vivo, and provide evidence for the power of fibroblasts as a model system to understand comparative physiology and biomedicine.</t>
  </si>
  <si>
    <t>[Madelaire, Carla B.; Klink, Amy C.; Hindle, Allyson G.] Univ Nevada, Sch Life Sci, Las Vegas, NV 89154 USA; [Israelsen, William J.] Univ Texas Southwestern Med Ctr Dallas, Dept Biochem, Dallas, TX USA; [Israelsen, William J.] Skroot Lab Inc, Ames, IA USA</t>
  </si>
  <si>
    <t>Nevada System of Higher Education (NSHE); University of Nevada Las Vegas; University of Texas System; University of Texas Southwestern Medical Center Dallas</t>
  </si>
  <si>
    <t>Hindle, AG (corresponding author), Univ Nevada, Sch Life Sci, Las Vegas, NV 89154 USA.</t>
  </si>
  <si>
    <t>allyson.hindle@unlv.edu</t>
  </si>
  <si>
    <t>Bonetti Madelaire, Carla/0000-0002-4399-715X</t>
  </si>
  <si>
    <t>National Science Foundation [2022046]; National Institutes of Health [DP5OD021365]; Sara and Frank McKnight Fund for Biomedical Research</t>
  </si>
  <si>
    <t>National Science Foundation(National Science Foundation (NSF)); National Institutes of Health(United States Department of Health &amp; Human ServicesNational Institutes of Health (NIH) - USA); Sara and Frank McKnight Fund for Biomedical Research</t>
  </si>
  <si>
    <t>This work was supported by the National Science Foundation [grant number 2022046], the National Institutes of Health [grant number DP5OD021365], and the Sara and Frank McKnight Fund for Biomedical Research.</t>
  </si>
  <si>
    <t>1096-4959</t>
  </si>
  <si>
    <t>1879-1107</t>
  </si>
  <si>
    <t>COMP BIOCHEM PHYS B</t>
  </si>
  <si>
    <t>Comp. Biochem. Physiol. B-Biochem. Mol. Biol.</t>
  </si>
  <si>
    <t>JUN-JUL</t>
  </si>
  <si>
    <t>10.1016/j.cbpb.2022.110735</t>
  </si>
  <si>
    <t>Biochemistry &amp; Molecular Biology; Zoology</t>
  </si>
  <si>
    <t>7W2BW</t>
  </si>
  <si>
    <t>WOS:000913319100001</t>
  </si>
  <si>
    <t>Kornishin, KA; Efimov, YO; Tarasov, PA; Mamedov, TE; Smirnov, KG; Skutin, AA; Skutina, EA; Naumov, AK; Gudmestad, OT</t>
  </si>
  <si>
    <t>Kornishin, Konstantin A.; Efimov, Yaroslav O.; Tarasov, Peter A.; Mamedov, Teymur E.; Smirnov, Konstantin G.; Skutin, Andrey A.; Skutina, Elena A.; Naumov, Aleksey K.; Gudmestad, Ove T.</t>
  </si>
  <si>
    <t>Stability of Icebergs and Period of Natural Oscillations in the Barents, Kara, and Laptev Seas</t>
  </si>
  <si>
    <t>INTERNATIONAL JOURNAL OF OFFSHORE AND POLAR ENGINEERING</t>
  </si>
  <si>
    <t>Iceberg; towing; Arctic; Kara; Barents; ice; stability</t>
  </si>
  <si>
    <t>The paper presents calculations of icebergs' stability criteria (metacentric height) based on iceberg towing experiments conducted in 2016-2017 in the Barents and Kara Seas. To ensure safety of marine operations during ice management in Arctic seas, it is essential to understand an iceberg's stability. Stable icebergs can be towed away from offshore facilities using standard vessels and procedures. Unstable icebergs create high risks and can easily capsize during the vessel's maneuvering and towing. As is known, an iceberg capsize event could lead to iceberg destruction into several pieces that can also damage offshore units. Especially dangerous are large icebergs that may capsize and damage the towing vessel.</t>
  </si>
  <si>
    <t>[Kornishin, Konstantin A.; Tarasov, Peter A.] Rosneft Oil Co, R&amp;D &amp; Tech Regulat Dept, Moscow, Russia; [Efimov, Yaroslav O.; Mamedov, Teymur E.] Arctic Res Ctr, Dept Marine Operat, Moscow, Russia; [Smirnov, Konstantin G.; Skutin, Andrey A.; Skutina, Elena A.; Naumov, Aleksey K.] Arctic &amp; Antarctic Res Inst, Lab Arctic Shelf, St Petersburg, Russia; [Gudmestad, Ove T.] Univ Stavanger, Stavanger, Norway</t>
  </si>
  <si>
    <t>Rosneft Oil; Arctic &amp; Antarctic Research Institute; Universitetet i Stavanger</t>
  </si>
  <si>
    <t>Kornishin, KA (corresponding author), Rosneft Oil Co, R&amp;D &amp; Tech Regulat Dept, Moscow, Russia.</t>
  </si>
  <si>
    <t>Naumov, Alexander Kondratevich/A-1581-2014; Smirnov, Konstantin/B-5201-2017</t>
  </si>
  <si>
    <t>Smirnov, Konstantin/0000-0002-6967-6696</t>
  </si>
  <si>
    <t>INT SOC OFFSHORE POLAR ENGINEERS</t>
  </si>
  <si>
    <t>CUPERTINO</t>
  </si>
  <si>
    <t>PO BOX 189, CUPERTINO, CA 95015-0189 USA</t>
  </si>
  <si>
    <t>1053-5381</t>
  </si>
  <si>
    <t>INT J OFFSHORE POLAR</t>
  </si>
  <si>
    <t>Int. J. Offshore Polar Eng.</t>
  </si>
  <si>
    <t>10.17736/ijope.2022.jc837</t>
  </si>
  <si>
    <t>Engineering, Civil; Engineering, Ocean; Engineering, Mechanical</t>
  </si>
  <si>
    <t>Engineering</t>
  </si>
  <si>
    <t>5B1DJ</t>
  </si>
  <si>
    <t>WOS:000863315600001</t>
  </si>
  <si>
    <t>Kornishin, KA; Efimov, YO; Nikushchenko, DV; Khmara, DS; Tryaskin, NV; Andreev, AG; Skutin, AA; Smirnov, KG</t>
  </si>
  <si>
    <t>Kornishin, Konstantin A.; Efimov, Yaroslav O.; Nikushchenko, Dmitriy, V; Khmara, Dmitriy S.; Tryaskin, Nikita, V; Andreev, Andrey G.; Skutin, Andrey A.; Smirnov, Konstantin G.</t>
  </si>
  <si>
    <t>Effect of Iceberg Shape on Wind-force Parameters</t>
  </si>
  <si>
    <t>Ice management; iceberg; towing; drift; wind; shape</t>
  </si>
  <si>
    <t>This article examines iceberg movement under the influence of wind-force, with detailed analysis of the influence of iceberg shape (both keel and sail) on the parameters of this movement. For four icebergs, studied during trials in 2016- 2017, hydrodynamic characteristics of keels and sails were determined by means of numerical and basin modeling. For these icebergs, orientation, direction, and speed of movement were calculated for different wind speeds and directions. Regression between the maximum value of the hydrodynamic drag coefficient and the geometric parameters is built based on the studied shape of sails of 10 icebergs. A formula for calculating the wind load on an iceberg depending on the parameters of its topside and a formula for calculating the drift speed of icebergs less than 75 meters long are proposed. The formulas are applied to icebergs of the southwestern part of the Kara Sea, which made it possible to estimate their drift speed and wind load under the influence of wind. The obtained results can be used in the modeling of the iceberg drift, as well as for assessing the wind impact during iceberg towing.</t>
  </si>
  <si>
    <t>[Kornishin, Konstantin A.] Rosneft Oil Co, R&amp;D &amp; Tech Regulat Dept, Moscow, Russia; [Efimov, Yaroslav O.] Arctic Res Ctr, Dept Marine Operat, Moscow, Russia; [Nikushchenko, Dmitriy, V; Khmara, Dmitriy S.; Tryaskin, Nikita, V; Andreev, Andrey G.] State Marine Tech Univ SMTU, Inst Hydrodynam &amp; Control Proc, St Petersburg, Russia; [Skutin, Andrey A.; Smirnov, Konstantin G.] Arctic &amp; Antarctic Res Inst ARI, Dept Sea Ice &amp; Ice Forecasts, St Petersburg, Russia</t>
  </si>
  <si>
    <t>Rosneft Oil</t>
  </si>
  <si>
    <t>Tryaskin, Nikita/M-8209-2014; Nikushchenko, Dmitry/AAI-1818-2019; Nikushchenko, Dmitry/I-2406-2017; Smirnov, Konstantin/B-5201-2017</t>
  </si>
  <si>
    <t>Nikushchenko, Dmitry/0000-0001-8549-772X; Nikushchenko, Dmitry/0000-0001-8549-772X; Smirnov, Konstantin/0000-0002-6967-6696</t>
  </si>
  <si>
    <t>10.17736/ijope.2022.jc850</t>
  </si>
  <si>
    <t>4Y9VT</t>
  </si>
  <si>
    <t>WOS:000861869700001</t>
  </si>
  <si>
    <t>Tryaskin, NV; Ermolaeva, EV; Ovchinnikov, KD; Nikushchenko, DV; Khmara, DS; Kornishin, KA; Efimov, YO; Nesterov, AV; Skutin, AA</t>
  </si>
  <si>
    <t>Tryaskin, Nikita V.; Ermolaeva, Elena V.; Ovchinnikov, Kirill D.; Nikushchenko, Dmitriy V.; Khmara, Dmitriy S.; Kornishin, Konstantin A.; Efimov, Yaroslav O.; Nesterov, Alexandr V.; Skutin, Andrey A.</t>
  </si>
  <si>
    <t>Features of Tabular Iceberg Towing</t>
  </si>
  <si>
    <t>CFD; towing tank; wind tunnel; iceberg; towing</t>
  </si>
  <si>
    <t>MODEL</t>
  </si>
  <si>
    <t>Some features of the movement of tabular icebergs during their towing are examined. A tabular iceberg towed in the Barents Sea in 2017, for which surveys of the underwater and surface parts were carried out, was selected for the analysis. As a result of numerical and physical modeling, the hydrodynamic characteristics of the iceberg were obtained for different motion courses; good convergence of the results of these methods was achieved. To determine each component, the numerical simulation, based on the equations of a viscous fluid motion, was carried out. Turbulent fluid flow is described by the Reynolds-averaged Navier-Stokes and continuity equations. The k-omega SST turbulence model is used to simulate turbulence. Numerical differentiation of the equations was performed in the open-source computational fluid dynamics software Open -FOAM. It is shown that the iceberg has several positions of stable and unstable equilibria in terms of the rotation around a vertical axis, and the influence of an iceberg's orientation on additional resistance during rough seas is considered. Obtained results may be used in planning tabular iceberg towing in different regions of the world, as well as in further studies of iceberg behavior under load.</t>
  </si>
  <si>
    <t>[Tryaskin, Nikita V.; Ermolaeva, Elena V.; Ovchinnikov, Kirill D.; Nikushchenko, Dmitriy V.; Khmara, Dmitriy S.] State Marine Tech Univ, Inst Hydrodynam &amp; Control Proc, St Petersburg, Russia; [Kornishin, Konstantin A.] Rosneft Oil Co, R&amp;D, Moscow, Russia; [Kornishin, Konstantin A.] Rosneft Oil Co, Tech Regulat Dept, Moscow, Russia; [Efimov, Yaroslav O.] Arctic Res Ctr, Dept Marine Operat, Moscow, Russia; [Nesterov, Alexandr V.; Skutin, Andrey A.] Lab Arctic Shelf Arctic, St Petersburg, Russia; [Nesterov, Alexandr V.; Skutin, Andrey A.] Antarctic Res Inst, St Petersburg, Russia</t>
  </si>
  <si>
    <t>State Marine Technical University; Rosneft Oil; Rosneft Oil</t>
  </si>
  <si>
    <t>Tryaskin, NV (corresponding author), State Marine Tech Univ, Inst Hydrodynam &amp; Control Proc, St Petersburg, Russia.</t>
  </si>
  <si>
    <t>Tryaskin, Nikita/M-8209-2014; Nikushchenko, Dmitry/AAI-1818-2019; Ovchinnikov, Kirill/AAO-4482-2020</t>
  </si>
  <si>
    <t>Nikushchenko, Dmitry/0000-0001-8549-772X; Ovchinnikov, Kirill/0000-0001-8753-6243</t>
  </si>
  <si>
    <t>10.17736/ijope.2022.ik09</t>
  </si>
  <si>
    <t>4Z1PJ</t>
  </si>
  <si>
    <t>WOS:000861988800001</t>
  </si>
  <si>
    <t>Guzenko, RB; Mironov, YU; May, RI; Porubaev, VS; Kornishin, KA; Efimov, YO</t>
  </si>
  <si>
    <t>Guzenko, Roman B.; Mironov, Yevgeny U.; May, Ruslan, I; Porubaev, Viktor S.; Kornishin, Konstantin A.; Efimov, Yaroslav O.</t>
  </si>
  <si>
    <t>Morphometry of First-Year Ice Ridges with Greatest Thickness of the Consolidated Layer and Other Statistical Patterns</t>
  </si>
  <si>
    <t>Ice ridge; morphometry; consolidated layer; ice blocks; sail height</t>
  </si>
  <si>
    <t>SEA; MORPHOLOGY</t>
  </si>
  <si>
    <t>This paper describes the morphometric particularities of first-year ice ridges, comprehensively studied in the Kara and Laptev Seas. The distributions of the main morphometric characteristics of ice ridges are given, and the corresponding theoretical approximations are proposed. The connection between the parameters of the ice blocks that make up the sail and other morphometric characteristics of the ice ridge is shown. Empirical relationships between the parameters of the sail and the parameters of the ice ridge are proposed. The particularities of the morphometry of the ice ridges with the largest average consolidated layer thickness are revealed.</t>
  </si>
  <si>
    <t>[Guzenko, Roman B.; Mironov, Yevgeny U.; May, Ruslan, I; Porubaev, Viktor S.] Arctic &amp; Antarctic Res Inst AARI, Dept Sea Ice &amp; Ice Forecasts, St Petersburg, Russia; [Kornishin, Konstantin A.] Rosneft Oil Co, R&amp;D &amp; Tech Regulat Dept, Moscow, Russia; [Efimov, Yaroslav O.] Arctic Res Ctr, Dept Marine Operat, Moscow, Russia</t>
  </si>
  <si>
    <t>Arctic &amp; Antarctic Research Institute; Rosneft Oil</t>
  </si>
  <si>
    <t>Guzenko, RB (corresponding author), Arctic &amp; Antarctic Res Inst AARI, Dept Sea Ice &amp; Ice Forecasts, St Petersburg, Russia.</t>
  </si>
  <si>
    <t>Mironov, Yevgeny Uarovich/ADV-4713-2022</t>
  </si>
  <si>
    <t>Mironov, Yevgeny Uarovich/0000-0001-8390-8011</t>
  </si>
  <si>
    <t>10.17736/ijope.2022.jc859</t>
  </si>
  <si>
    <t>4Y9SK</t>
  </si>
  <si>
    <t>WOS:000861861000001</t>
  </si>
  <si>
    <t>Korshunov, VA; Mudrik, RS; Ponomarev, DA; Rodionov, AA; Nikushchenko, DV; Kornishin, KA; Efimov, YO; Chernov, AV; Svistunov, IA</t>
  </si>
  <si>
    <t>Korshunov, Vladimir A.; Mudrik, Roman S.; Ponomarev, Dmitry A.; Rodionov, Alexander A.; Nikushchenko, Dmitriy V.; Kornishin, Konstantin A.; Efimov, Yaroslav O.; Chernov, Alexey V.; Svistunov, Ivan A.</t>
  </si>
  <si>
    <t>Oscillations During Iceberg Towing</t>
  </si>
  <si>
    <t>Arctic; iceberg towing; towline tension; numerical mod-eling; oscillations</t>
  </si>
  <si>
    <t>This paper describes a mathematical model of iceberg towing that considers an iceberg's shape in an explicit form. The developed model allows for the analysis of oscillations appearing in towing systems in both stationary and dynamic modes. The proposed numerical model can be used to assess the nonlinear dynamics of the vessel-rope-iceberg system. An understanding of the peak values in the tow force should help to increase iceberg towing efficiency and ensure the safety of operations as a result of reduced iceberg roll and rope slide-off.</t>
  </si>
  <si>
    <t>[Korshunov, Vladimir A.; Mudrik, Roman S.; Ponomarev, Dmitry A.; Rodionov, Alexander A.; Nikushchenko, Dmitriy V.] St Petersburg State Marine Tech Univ SMTU, St Petersburg, Russia; [Kornishin, Konstantin A.; Efimov, Yaroslav O.] Arctic Res Ctr, R&amp;D Dept, Moscow, Russia; [Chernov, Alexey V.; Svistunov, Ivan A.] Arctic &amp; Antarctic Res Inst (AARI), St Petersburg, Russia</t>
  </si>
  <si>
    <t>State Marine Technical University; Arctic &amp; Antarctic Research Institute</t>
  </si>
  <si>
    <t>Korshunov, VA (corresponding author), St Petersburg State Marine Tech Univ SMTU, St Petersburg, Russia.</t>
  </si>
  <si>
    <t>Nikushchenko, Dmitry/AAI-1818-2019; Nikushchenko, Dmitry/I-2406-2017; Пономарев, Дмитрий/T-9700-2019</t>
  </si>
  <si>
    <t>Nikushchenko, Dmitry/0000-0001-8549-772X; Nikushchenko, Dmitry/0000-0001-8549-772X; Пономарев, Дмитрий/0000-0003-0652-9514</t>
  </si>
  <si>
    <t>10.17736/ijope.2022.jc853</t>
  </si>
  <si>
    <t>4Z0QA</t>
  </si>
  <si>
    <t>WOS:000861922900001</t>
  </si>
  <si>
    <t>Kornishin, KA; Efimov, YO; Tarasov, PA; Kovalev, SM; Bekker, AT; Polomoshnov, AM</t>
  </si>
  <si>
    <t>Kornishin, Konstantin A.; Efimov, Yaroslav O.; Tarasov, Petr A.; Kovalev, Sergey M.; Bekker, Alexander T.; Polomoshnov, Alexander M.</t>
  </si>
  <si>
    <t>Correlation Dependences of Level Ice Strength Properties in the Kara, Laptev, and East Siberian Seas</t>
  </si>
  <si>
    <t>Ice; strength; compressive; bending; temperature</t>
  </si>
  <si>
    <t>The article investigates dependences of level ice strength properties in the Kara, Laptev, and East Siberian Seas on ice structure and physical parameters (primarily the ice temperature). Research was based on an array of experimental data on the level ice properties studied during expeditions in the Kara, Laptev, and East Siberian Seas in 2013-2017 and work on a research site in the Khatanga Bay of the Laptev Sea in 2016-2019. Analysis of various ice strength characteristics showed similarity of ice in the Russian Arctic seas and the Sea of Okhotsk. The differences in the ice strength properties at different loading rates were determined, and the variation coefficients of ice strength parameters were estimated. Dependences on ice temperature were obtained for all ice strength characteristics and show a good approximation that can be described by a linear law.</t>
  </si>
  <si>
    <t>[Kornishin, Konstantin A.] Arctic Res Ctr, R&amp;D Dept, Moscow, Russia; [Efimov, Yaroslav O.; Tarasov, Petr A.] Arctic Res Ctr, Dept Innovat Projects, Moscow, Russia; [Kovalev, Sergey M.] Arctic &amp; Antarctic Res Inst AARI, St Petersburg, Russia; [Bekker, Alexander T.; Polomoshnov, Alexander M.] Far Eastern Fed Univ, Vladivostok, Russia</t>
  </si>
  <si>
    <t>Arctic &amp; Antarctic Research Institute; Far Eastern Federal University</t>
  </si>
  <si>
    <t>Kornishin, KA (corresponding author), Arctic Res Ctr, R&amp;D Dept, Moscow, Russia.</t>
  </si>
  <si>
    <t>Bekker, Alexander/AAB-8482-2020</t>
  </si>
  <si>
    <t>Bekker, Alexander/0000-0002-2899-7995</t>
  </si>
  <si>
    <t>10.17736/ijope.2022.jc851</t>
  </si>
  <si>
    <t>4P8KC</t>
  </si>
  <si>
    <t>WOS:000855638000001</t>
  </si>
  <si>
    <t>Vyazilova, AE; Alekseev, GV; Kharlanenkova, NE</t>
  </si>
  <si>
    <t>Vyazilova, A. E.; Alekseev, G., V; Kharlanenkova, N. E.</t>
  </si>
  <si>
    <t>Impact of Global Warming on River Inflow to the Arctic Seas</t>
  </si>
  <si>
    <t>RUSSIAN METEOROLOGY AND HYDROLOGY</t>
  </si>
  <si>
    <t>river runoff; Arctic Ocean; global warming; atmospheric circulation</t>
  </si>
  <si>
    <t>FRESH-WATER; PRECIPITATION; VARIABILITY; TRENDS</t>
  </si>
  <si>
    <t>An impact of global warming on river runoff into the Arctic seas is discussed. River runoff is one of the main components of the Arctic freshwater balance. Annual total river runoff is determined as the sum of runoff of six rivers: the Ob, Yenisei, Lena, Kolyma, Indigirka, and Mackenzie. The indices of zonal, meridional, and general circulation were calculated to assess the effect of atmospheric circulation. Correlations between the indices and surface air temperature and precipitation in the catchment areas confirmed the most significant influence of atmospheric transport on climatic conditions in the cold season. It was stated that annual total river runoff increased during 1979-2019, but the occurrence of peak discharges was reduced.</t>
  </si>
  <si>
    <t>[Vyazilova, A. E.; Alekseev, G., V; Kharlanenkova, N. E.] Arctic &amp; Antarctic Res Inst, Ul Beringa 38, St Petersburg 199397, Russia</t>
  </si>
  <si>
    <t>Arctic &amp; Antarctic Research Institute</t>
  </si>
  <si>
    <t>Vyazilova, AE (corresponding author), Arctic &amp; Antarctic Res Inst, Ul Beringa 38, St Petersburg 199397, Russia.</t>
  </si>
  <si>
    <t>vae@aari.ru</t>
  </si>
  <si>
    <t>Russian Foundation for Basic Research [18-05-60107]</t>
  </si>
  <si>
    <t>Russian Foundation for Basic Research(Russian Foundation for Basic Research (RFBR)Spanish Government)</t>
  </si>
  <si>
    <t>The research was supported by the Russian Foundation for Basic Research (grant 18-05-60107).</t>
  </si>
  <si>
    <t>PLEIADES PUBLISHING INC</t>
  </si>
  <si>
    <t>PLEIADES HOUSE, 7 W 54 ST, NEW YORK, NY, UNITED STATES</t>
  </si>
  <si>
    <t>1068-3739</t>
  </si>
  <si>
    <t>1934-8096</t>
  </si>
  <si>
    <t>RUSS METEOROL HYDRO+</t>
  </si>
  <si>
    <t>Russ. Meteorol. Hydrol.</t>
  </si>
  <si>
    <t>10.3103/S1068373922060048</t>
  </si>
  <si>
    <t>4I4RC</t>
  </si>
  <si>
    <t>WOS:000850564500004</t>
  </si>
  <si>
    <t>[Anonymous]</t>
  </si>
  <si>
    <t>Project EPICA has retrieved the first Drill Cores from the Antarctic Ice</t>
  </si>
  <si>
    <t>HYDROLOGIE UND WASSERBEWIRTSCHAFTUNG</t>
  </si>
  <si>
    <t>German</t>
  </si>
  <si>
    <t>News Item</t>
  </si>
  <si>
    <t>BUNDESANSTALT GEWASSERKUNDE-BFG</t>
  </si>
  <si>
    <t>KOBLENZ</t>
  </si>
  <si>
    <t>POSTFACH 200 253, KOBLENZ, 56002, GERMANY</t>
  </si>
  <si>
    <t>1439-1783</t>
  </si>
  <si>
    <t>HYDROL WASSERBEWIRTS</t>
  </si>
  <si>
    <t>Hydrol. Wasserbewirtsch.</t>
  </si>
  <si>
    <t>Water Resources</t>
  </si>
  <si>
    <t>3W0FA</t>
  </si>
  <si>
    <t>WOS:000842030700009</t>
  </si>
  <si>
    <t>Satellite Missions to study the Melting of West Antarctic Glaciers</t>
  </si>
  <si>
    <t>WOS:000842030700010</t>
  </si>
  <si>
    <t>Lavergne, T; Kern, S; Aaboe, S; Derby, L; Dybkjaer, G; Garric, G; Heil, P; Hendricks, S; Holfort, J; Howell, S; Key, J; Lieser, JL; Maksym, T; Maslowski, W; Meier, W; Muñoz-Sabater, J; Nicolas, J; Özsoy, B; Rabe, B; Rack, W; Raphael, M; de Rosnay, P; Smolyanitsky, V; Tietsche, S; Ukita, J; Vichi, M; Wagner, P; Willmes, S; Zhao, X</t>
  </si>
  <si>
    <t>Lavergne, Thomas; Kern, Stefan; Aaboe, Signe; Derby, Lauren; Dybkjaer, Gorm; Garric, Gilles; Heil, Petra; Hendricks, Stefan; Holfort, Juergen; Howell, Stephen; Key, Jeffrey; Lieser, Jan L.; Maksym, Ted; Maslowski, Wieslaw; Meier, Walt; Munoz-Sabater, Joaquin; Nicolas, Julien; Oezsoy, Burcu; Rabe, Benjamin; Rack, Wolfgang; Raphael, Marilyn; de Rosnay, Patricia; Smolyanitsky, Vasily; Tietsche, Steffen; Ukita, Jinro; Vichi, Marcello; Wagner, Penelope; Willmes, Sascha; Zhao, Xi</t>
  </si>
  <si>
    <t>A New Structure for the Sea Ice Essential Climate Variables of the Global Climate Observing System</t>
  </si>
  <si>
    <t>BULLETIN OF THE AMERICAN METEOROLOGICAL SOCIETY</t>
  </si>
  <si>
    <t>Sea ice; Climate change; Climatology; Climate records</t>
  </si>
  <si>
    <t>ESTIMATING SNOW DEPTH; ARCTIC SUMMER ICE; SOUTHERN-OCEAN; AGE DISTRIBUTION; MOTION TRACKING; SPECTRAL ALBEDO; DATA RECORD; THICKNESS; TEMPERATURE; SAR</t>
  </si>
  <si>
    <t>Climate observations inform about the past and present state of the climate system. They underpin climate science, feed into policies for adaptation and mitigation, and increase awareness of the impacts of climate change. The Global Climate Observing System (GCOS), a body of the World Meteorological Organization (WMO), assesses the maturity of the required observing system and gives guidance for its development. The Essential Climate Variables (ECVs) are central to GCOS, and the global community must monitor them with the highest standards in the form of Climate Data Records (CDR). Today, a single ECV-the sea ice ECV-encapsulates all aspects of the sea ice environment. In the early 1990s it was a single variable (sea ice concentration) but is today an umbrella for four variables (adding thickness, edge/extent, and drift). In this contribution, we argue that GCOS should from now on consider a set of seven ECVs (sea ice concentration, thickness, snow depth, surface temperature, surface albedo, age, and drift). These seven ECVs are critical and cost effective to monitor with existing satellite Earth observation capability. We advise against placing these new variables under the umbrella of the single sea ice ECV. To start a set of distinct ECVs is indeed critical to avoid adding to the suboptimal situation we experience today and to reconcile the sea ice variables with the practice in other ECV domains.</t>
  </si>
  <si>
    <t>[Lavergne, Thomas] Norwegian Meteorol Inst, Res &amp; Dev Dept, Oslo, Norway; [Kern, Stefan] Univ Hamburg, Integrated Climate Data Ctr, Ctr Earth Syst Res &amp; Sustainabil CEN, Hamburg, Germany; [Aaboe, Signe] Norwegian Meteorol Inst, Res &amp; Dev Dept, Tromso, Norway; [Derby, Lauren] World Meteorol Org, Global Cryosphere Watch Project Off, Geneva, Switzerland; [Dybkjaer, Gorm] Danish Meteorol Inst, Res &amp; Dev, Copenhagen, Denmark; [Garric, Gilles] Mercator Ocean Int, Toulouse, France; [Heil, Petra] Univ Tasmania, Australian Antarctic Div, Hobart, Tas, Australia; [Heil, Petra] Univ Tasmania, Australian Antarctic Program Partnership, Hobart, Tas, Australia; [Hendricks, Stefan; Rabe, Benjamin] Helmholtz Zentrum Polar &amp; Meeresforsch, Alfred Wegener Inst, Bremerhaven, Germany; [Holfort, Juergen] Bundesamt Seeschifffahrt &amp; Hydrog, Rostock, Germany; [Howell, Stephen] Environm &amp; Climate Change Canada, Climate Res Div, Toronto, ON, Canada; [Key, Jeffrey] Natl Environm Satellite Data &amp; Informat Serv, NOAA, Madison, WI USA; [Lieser, Jan L.] Univ Tasmania, Bur Meteorol, Hobart, Tas, Australia; [Lieser, Jan L.] Univ Tasmania, Inst Marine &amp; Antarctic Studies, Hobart, Tas, Australia; [Maksym, Ted] Woods Hole Oceanog Inst, Woods Hole, MA 02543 USA; [Maslowski, Wieslaw] Naval Postgrad Sch, Monterey, CA USA; [Meier, Walt] Univ Colorado, Natl Snow &amp; Ice Data Ctr, CIRES, Boulder, CO USA; [Munoz-Sabater, Joaquin; Nicolas, Julien; de Rosnay, Patricia] European Ctr Medium Range Weather Forecasts, Reading, Berks, England; [Oezsoy, Burcu] Istanbul Tech Univ, Maritime Fac, TUBITAK Marmara Res Ctr, Polar Res Inst, Istanbul, Turkey; [Rack, Wolfgang] Univ Canterbury, Sch Earth &amp; Environm, Gateway Antarct, Christchurch, New Zealand; [Raphael, Marilyn] Univ Calif Los Angeles, Dept Geog, Los Angeles, CA 90024 USA; [Smolyanitsky, Vasily] Arctic &amp; Antarctic Res Inst, St Petersburg, Russia; [Tietsche, Steffen] European Ctr Medium Range Weather Forecasts, Bonn, Germany; [Ukita, Jinro] Niigata Univ, Fac Sci, Niigata, Japan; [Vichi, Marcello] Univ Cape Town, Dept Oceanog, Rondebosch, South Africa; [Vichi, Marcello] Univ Cape Town, Marine &amp; Antarctic Res Ctr Innovat &amp; Sustainabil, Rondebosch, South Africa; [Wagner, Penelope] Norwegian Meteorol Inst, Norwegian Ice Serv, Tromso, Norway; [Willmes, Sascha] Trier Univ, Earth Observat &amp; Climate Proc, Trier, Germany; [Zhao, Xi] Sun Yat Sen Univ, Sch Geospatial Engn &amp; Sci, Zhuhai, Peoples R China</t>
  </si>
  <si>
    <t>Norwegian Meteorological Institute; University of Hamburg; Norwegian Meteorological Institute; Danish Meteorological Institute DMI; University of Tasmania; Australian Antarctic Division; University of Tasmania; Helmholtz Association; Alfred Wegener Institute, Helmholtz Centre for Polar &amp; Marine Research; Environment &amp; Climate Change Canada; National Oceanic Atmospheric Admin (NOAA) - USA; University of Tasmania; Bureau of Meteorology - Australia; University of Tasmania; Woods Hole Oceanographic Institution; United States Department of Defense; United States Navy; Naval Postgraduate School; University of Colorado System; University of Colorado Boulder; European Centre for Medium-Range Weather Forecasts (ECMWF); Istanbul Technical University; Turkiye Bilimsel ve Teknolojik Arastirma Kurumu (TUBITAK); University of Canterbury; University of California System; University of California Los Angeles; Arctic &amp; Antarctic Research Institute; Niigata University; University of Cape Town; University of Cape Town; Norwegian Meteorological Institute; Universitat Trier; Sun Yat Sen University</t>
  </si>
  <si>
    <t>Lavergne, T (corresponding author), Norwegian Meteorol Inst, Res &amp; Dev Dept, Oslo, Norway.</t>
  </si>
  <si>
    <t>thomas.lavergne@met.no</t>
  </si>
  <si>
    <t>Willmes, Sascha/J-5796-2012; Ozsoy, Burcu/AAH-5348-2020; Tietsche, Steffen/F-7633-2015; Vichi, Marcello/GLR-9823-2022; Rack, Wolfgang/U-8898-2017; Hendricks, Stefan/D-5168-2011; Smolyanitsky, Vasily/K-2464-2015</t>
  </si>
  <si>
    <t>Ozsoy, Burcu/0000-0003-4320-1796; Vichi, Marcello/0000-0002-0686-9634; Hendricks, Stefan/0000-0002-1412-3146; Smolyanitsky, Vasily/0000-0002-8087-0393; Heil, Petra/0000-0003-2078-0342; Aaboe, Signe/0000-0002-5618-4537</t>
  </si>
  <si>
    <t>GCOS/GOOS/WCRP; Australian Government's Antarctic Science Collaboration Initiative program; Australian Antarctic Program Partnership [ASCI000002]; Australian Antarctic Science Projects [4496, 4506]; International Space Science Institute (Bern, Switzerland) [405]</t>
  </si>
  <si>
    <t>GCOS/GOOS/WCRP; Australian Government's Antarctic Science Collaboration Initiative program; Australian Antarctic Program Partnership; Australian Antarctic Science Projects; International Space Science Institute (Bern, Switzerland)</t>
  </si>
  <si>
    <t>We are thankful to the WMO GCW Project Office (Rodica Nitu and Nora Krebs) for facilitating the consultations, fostering engagements, and supporting the development of this paper. We are thankful to the GCOS/GOOS/WCRP co-sponsored Ocean Observations Physics and Climate Panel (Belen Martin Miguez) for providing insights into the ECV/EOV framework. The views expressed in this article are those of the authors based on their own scientific expertise and experience and do not necessarily reflect the position of their institution of affiliation. PH's contribution was funded under the Australian Government's Antarctic Science Collaboration Initiative program, and contributes to Project 6 of the Australian Antarctic Program Partnership (ASCI000002). PH acknowledges support through the Australian Antarctic Science Projects 4496 and 4506, and the International Space Science Institute (Bern, Switzerland) project #405.</t>
  </si>
  <si>
    <t>AMER METEOROLOGICAL SOC</t>
  </si>
  <si>
    <t>BOSTON</t>
  </si>
  <si>
    <t>45 BEACON ST, BOSTON, MA 02108-3693, UNITED STATES</t>
  </si>
  <si>
    <t>0003-0007</t>
  </si>
  <si>
    <t>1520-0477</t>
  </si>
  <si>
    <t>B AM METEOROL SOC</t>
  </si>
  <si>
    <t>Bull. Amer. Meteorol. Soc.</t>
  </si>
  <si>
    <t>E1502</t>
  </si>
  <si>
    <t>E1521</t>
  </si>
  <si>
    <t>10.1175/BAMS-D-21-0227.1</t>
  </si>
  <si>
    <t>3V1XL</t>
  </si>
  <si>
    <t>Bronze, Green Published</t>
  </si>
  <si>
    <t>WOS:000841455200004</t>
  </si>
  <si>
    <t>Meijer, JJ; Phillips, HE; Bindoff, NL; Rintoul, SR; Foppert, A</t>
  </si>
  <si>
    <t>Meijer, Jan Jaap; Phillips, Helen E.; Bindoff, Nathaniel L.; Rintoul, Stephen R.; Foppert, Annie</t>
  </si>
  <si>
    <t>Dynamics of a Standing Meander of the Subantarctic Front Diagnosed from Satellite Altimetry and Along-Stream Anomalies of Temperature and Salinity</t>
  </si>
  <si>
    <t>JOURNAL OF PHYSICAL OCEANOGRAPHY</t>
  </si>
  <si>
    <t>Ageostrophic circulations; Baroclinic flows; Convergence/divergence; Cyclogenesis/cyclolysis; Fronts; Mesoscale processes; Ocean dynamics; Rossby waves; Topographic effects; Upwelling/downwelling; In situ oceanic observations; Satellite observations; Ship observations</t>
  </si>
  <si>
    <t>NORTH-ATLANTIC CURRENT; CIRCUMPOLAR CURRENT; SOUTHERN-OCEAN; GULF-STREAM; EDDY HEAT; TRANSPORT; HEMISPHERE; BALANCE; MODEL; VARIABILITY</t>
  </si>
  <si>
    <t>Meanders formed where the Antarctic Circumpolar Current (ACC) interacts with topography have been identified as dynamical hot spots, characterized by enhanced eddy energy, momentum transfer, and cross-front exchange. However, few studies have used observations to diagnose the dynamics of ACC standing meanders. We use a synoptic hydrographic survey and satellite altimetry to explore the momentum and vorticity balance of a Subantarctic Front standing meander, downstream of the Southeast Indian Ridge. Along-stream anomalies of temperature in the upper ocean (150-600 m) show along-stream cooling entering the surface trough and along-stream warming entering the surface crest, while warming is observed from trough to crest in the deeper ocean (600-1500 m). Advection of relative vorticity is balanced by vortex stretching, as found in model studies of meandering currents. Meander curvature is sufficiently large that the flow is in gradient wind balance, resulting in ageostrophic horizontal divergence. This drives downwelling of cooler water along isopycnals entering the surface trough and upwelling of warmer water entering the surface crest, consistent with the observed evolution of temperature anomalies in the upper ocean. Progressive along-stream warming observed between 600 and 1500 m likely reflects cyclogenesis in the deep ocean. Vortex stretching couples the upper and lower water column, producing a low pressure at depth between surface trough and crest and cyclonic flow that carries cold water equatorward in the surface trough and warm water poleward in the surface crest (poleward heat flux). The results highlight gradient-wind balance and cyclogenesis as central to dynamics of standing meanders and their critical role in the ACC momentum and vorticity balance.</t>
  </si>
  <si>
    <t>[Meijer, Jan Jaap; Phillips, Helen E.; Bindoff, Nathaniel L.] Univ Tasmania, Inst Marine &amp; Antarctic Studies, Hobart, Tas, Australia; [Meijer, Jan Jaap] ARC Ctr Excellence Climate Extremes, Hobart, Tas, Australia; [Phillips, Helen E.; Bindoff, Nathaniel L.; Foppert, Annie] Univ Tasmania, Inst Marine &amp; Antarctic Studies, Australian Antarctic Program Partnership, Hobart, Tas, Australia; [Phillips, Helen E.; Bindoff, Nathaniel L.; Rintoul, Stephen R.] Australian Ctr Excellence Antarctic Sci, Hobart, Tas, Australia; [Rintoul, Stephen R.] CSIRO Oceans &amp; Atmosphere, Hobart, Tas, Australia; [Rintoul, Stephen R.] Ctr Southern Hemisphere Ocean Res, Hobart, Tas, Australia; [Rintoul, Stephen R.] Australian Antarctic Program Partnership, Hobart, Tas, Australia</t>
  </si>
  <si>
    <t>University of Tasmania; University of Tasmania; Commonwealth Scientific &amp; Industrial Research Organisation (CSIRO)</t>
  </si>
  <si>
    <t>Meijer, JJ (corresponding author), Univ Tasmania, Inst Marine &amp; Antarctic Studies, Hobart, Tas, Australia.;Meijer, JJ (corresponding author), ARC Ctr Excellence Climate Extremes, Hobart, Tas, Australia.</t>
  </si>
  <si>
    <t>janjaap.meijer@utas.edu.au</t>
  </si>
  <si>
    <t>Phillips, Helen/I-3761-2013; Meijer, Jan Jaap/Q-7660-2018</t>
  </si>
  <si>
    <t>Phillips, Helen/0000-0002-2941-7577; Meijer, Jan Jaap/0000-0001-8667-488X; Foppert, Annie/0000-0003-2958-1454</t>
  </si>
  <si>
    <t>Centre for Southern Hemisphere Oceans Research (CSHOR); Commonwealth Scientific and Industrial Research Organisation (CSIRO); Qingdao National Laboratory for Marine Science; Australian Antarctic Program Partnership; Earth Systems and Climate Change Hub of the Australian Government's National Environmental Science Program; Australian Research Council Discovery Projects [DP170102162]; Climate Systems of the Australian Government's National Environmental Science Program</t>
  </si>
  <si>
    <t>Centre for Southern Hemisphere Oceans Research (CSHOR); Commonwealth Scientific and Industrial Research Organisation (CSIRO)(Commonwealth Scientific &amp; Industrial Research Organisation (CSIRO)); Qingdao National Laboratory for Marine Science; Australian Antarctic Program Partnership; Earth Systems and Climate Change Hub of the Australian Government's National Environmental Science Program; Australian Research Council Discovery Projects(Australian Research Council); Climate Systems of the Australian Government's National Environmental Science Program</t>
  </si>
  <si>
    <t>We thank the crew members of the RV Southern Surveyor, the RSV Aurora Australis, and the Marine National Facility for obtaining and making available a unique dataset of a standing meander in the Antarctic Circumpolar Current. This research was supported by the Centre for Southern Hemisphere Oceans Research (CSHOR), a partnership between the Commonwealth Scientific and Industrial Research Organisation (CSIRO) and the Qingdao National Laboratory for Marine Science; the Australian Antarctic Program Partnership; and the Climate Systems and Earth Systems and Climate Change Hub of the Australian Government's National Environmental Science Program. HP and NB acknowledge funding from the Australian Research Council Discovery Projects (DP170102162). We thank the contributors to the GSW-Python/GSW-C packages for making the Gibbs SeaWater (GSW) Oceanographic Toolbox of TEOS-10 available (https://github.com/TEOS-10/GSW-Python), originally written in MATLAB by David Jackett, Trevor McDougall, and Paul Barker (http://www.teos-10.org).We also would like to express our appreciation for the comments of two anonymous reviewers, which have greatly improved the manuscript.</t>
  </si>
  <si>
    <t>0022-3670</t>
  </si>
  <si>
    <t>1520-0485</t>
  </si>
  <si>
    <t>J PHYS OCEANOGR</t>
  </si>
  <si>
    <t>J. Phys. Oceanogr.</t>
  </si>
  <si>
    <t>10.1175/JPO-D-21-0049.1</t>
  </si>
  <si>
    <t>3R7BR</t>
  </si>
  <si>
    <t>Green Submitted, hybrid</t>
  </si>
  <si>
    <t>WOS:000839063900003</t>
  </si>
  <si>
    <t>Hong, Y; Zhang, Y; Du, Y</t>
  </si>
  <si>
    <t>Hong, Yu; Zhang, Ying; Du, Yan</t>
  </si>
  <si>
    <t>Minimum Warming in the South Indian Ocean Thermocline in a Warming Climate Linked to Freshening Processes</t>
  </si>
  <si>
    <t>Southern Ocean; Ocean circulation; Ocean dynamics; Trends</t>
  </si>
  <si>
    <t>ANTARCTIC MODE WATER; HEAT UPTAKE; SPICINESS; MECHANISM; PACIFIC; TRENDS; DRIVEN</t>
  </si>
  <si>
    <t>The Southern Ocean (SO) is one of the key regions in absorbing and storing anthropogenic heat. An analysis of the CMIP6 models finds a distinct warming minimum/cooling and freshening in the subtropical ocean thermocline of the south Indian Ocean (SIO) under a medium-emission scenario (SSP245). The warming minimum/cooling has also been found in other warming scenarios in previous studies. However, the freshening here has received less attention. On account of increased precipitation in the models, the SO high latitudes get fresher in a wanner world. We show that this freshening anomaly is advected to the north of the deep mixed layer by the horizontal current and then subducts into the ocean interior in the SIO. As a result, the isopycnal surfaces become fresher, deeper, and cooler. This freshening and cooling signal then propagates to the north along isopycnals through the subtropical gyre and leads to freshening and cooling on the depth coordinates where the vertical movement of isopycnals (heaving) is insignificant. Lacking deep-enough mixed layers, the other two basins show smaller freshening and cooling signs in the models. Here the importance of freshening in temperature redistribution in the ocean interior in the SIO under extensive global warming is emphasized. The result helps interpret the future heat storage in the SO in a warmer world.</t>
  </si>
  <si>
    <t>[Hong, Yu; Zhang, Ying; Du, Yan] Chinese Acad Sci, South China Sea Inst Oceanol, State Key Lab Trop Oceanog, Guangzhou, Peoples R China; [Hong, Yu; Zhang, Ying; Du, Yan] Chinese Acad Sci, Innovat Acad South China Sea Ecol &amp; Environm Engn, Guangzhou, Peoples R China; [Hong, Yu; Zhang, Ying; Du, Yan] Southern Marine Sci &amp; Engn Guangdong Lab Guangzho, Guangzhou, Peoples R China; [Du, Yan] Univ Chinese Acad Sci, Coll Marine Sci, Beijing, Peoples R China</t>
  </si>
  <si>
    <t>Chinese Academy of Sciences; South China Sea Institute of Oceanology, CAS; Chinese Academy of Sciences; Hong Kong Branch of the Southern Marine Science &amp; Engineering Guangdong Laboratory (Guangzhou); Chinese Academy of Sciences; University of Chinese Academy of Sciences, CAS</t>
  </si>
  <si>
    <t>Du, Y (corresponding author), Chinese Acad Sci, South China Sea Inst Oceanol, State Key Lab Trop Oceanog, Guangzhou, Peoples R China.;Du, Y (corresponding author), Chinese Acad Sci, Innovat Acad South China Sea Ecol &amp; Environm Engn, Guangzhou, Peoples R China.;Du, Y (corresponding author), Southern Marine Sci &amp; Engn Guangdong Lab Guangzho, Guangzhou, Peoples R China.;Du, Y (corresponding author), Univ Chinese Acad Sci, Coll Marine Sci, Beijing, Peoples R China.</t>
  </si>
  <si>
    <t>duyan@scsio.ac.cn</t>
  </si>
  <si>
    <t>DU, Yan/C-4496-2013; DU, YAN/HZI-1091-2023</t>
  </si>
  <si>
    <t>DU, Yan/0000-0002-7842-0801; Hong, Yu/0000-0003-2150-5449</t>
  </si>
  <si>
    <t>National Natural Science Foundation of China [41906180]; National Basic Research Program of China [2018YFA0605704]; Chinese Academy of Sciences [XDA15020901, 133244KYSB20190031]; Southern Marine Science and Engineering Guangdong Laboratory (Guangzhou) [GML2019ZD0303]</t>
  </si>
  <si>
    <t>National Natural Science Foundation of China(National Natural Science Foundation of China (NSFC)); National Basic Research Program of China(National Basic Research Program of China); Chinese Academy of Sciences(Chinese Academy of Sciences); Southern Marine Science and Engineering Guangdong Laboratory (Guangzhou)</t>
  </si>
  <si>
    <t>We acknowledge the World Climate Research Programme's Working Group on Coupled Modelling, which is responsible for CMIP, and we thank the climate modeling groups (listed in Table 1 of this paper) for producing and making available their model output. This work is supported by the National Natural Science Foundation of China (41906180), the National Basic Research Program of China (2018YFA0605704), the Chinese Academy of Sciences (XDA15020901, 133244KYSB20190031), and the Southern Marine Science and Engineering Guangdong Laboratory (Guangzhou) (GML2019ZD0303).</t>
  </si>
  <si>
    <t>10.1175/JPO-D-21-0224.1</t>
  </si>
  <si>
    <t>WOS:000839063900008</t>
  </si>
  <si>
    <t>Liu, CY; Wang, ZM; Liang, X; Li, X; Li, XC; Cheng, C; Qi, D</t>
  </si>
  <si>
    <t>Liu, Chengyan; Wang, Zhaomin; Liang, Xi; Li, Xiang; Li, Xichen; Cheng, Chen; Qi, Di</t>
  </si>
  <si>
    <t>Topography-Mediated Transport of Warm Deep Water across the Continental Shelf Slope, East Antarctica</t>
  </si>
  <si>
    <t>Antarctica; Continental shelf/slope; Coastal flows; Topographic effects; Idealized models</t>
  </si>
  <si>
    <t>CROSS-SHELF; HEAT-TRANSPORT; ICE-SHELF; OCEAN; CIRCULATION; SEA; VARIABILITY; EXCHANGE; MODEL; WEST</t>
  </si>
  <si>
    <t>Warm deep water intrusion over the Antarctic continental shelves threatens the Antarctic ice sheet stability by enhancing the basal melting of ice shelves. In East Antarctica, the Antarctic Slope Current (ASC), along with the Antarctic Slope Front (ASF), acts as a potential vorticity barrier to prevent the warm modified Circumpolar Deep Water (mCDW) from ventilating the cold and fresh shelf. However, mCDW onshore transport is still observed within certain shelf regions, such as submarine troughs running perpendicular to the continental shelf. This study focuses on the dynamic mechanisms governing mCDW intrusion within a submarine trough over the fresh shelf regions, East Antarctica. Based on an idealized eddy-resolving coupled ocean-ice shelf model, two high-resolution process-oriented numerical experiments are conducted to reveal the mechanisms responsible for the mCDW onshore transport. Three dynamic mechanisms governing cross-slope mCDW intrusion are identified: 1) the bottom pressure torque, 2) the topography beta spiral, and 3) the topography Rossby waves. These three mechanisms simultaneously govern the mCDW intrusion together. The bottom pressure torque plays a leading role in driving the time-mean onshore flow whose vertical structure is determined by the topography beta spiral, while the topography Rossby waves contribute to the high-frequency oscillations in the onshore volume and heat transport. The simulated spatial distribution and seasonality of mCDW intrusion qualitatively coincide with the observed mCDW intrusion over fresh shelf regions, East Antarctica. Both the topography beta spiral and the ASC play an important role in governing the seasonality of mCDW intrusion.</t>
  </si>
  <si>
    <t>[Liu, Chengyan; Wang, Zhaomin; Li, Xiang; Cheng, Chen] Southern Marine Sci &amp; Engn Guangdong Lab Zhuhai, Zhuhai, Peoples R China; [Wang, Zhaomin] Hohai Univ, Coll Oceanog, Int Polar Environm Res Lab, Nanjing, Peoples R China; [Liang, Xi] Minist Nat Resources, Key Lab Marine Hazards Forecasting, Natl Marine Environm Forecasting Ctr, Beijing, Peoples R China; [Li, Xichen] Chinese Acad Sci, Inst Atmospher Phys, Beijing, Peoples R China; [Qi, Di] Jimei Univ, Polar &amp; Marine Res Inst, Xiamen, Peoples R China</t>
  </si>
  <si>
    <t>Southern Marine Science &amp; Engineering Guangdong Laboratory; Southern Marine Science &amp; Engineering Guangdong Laboratory (Zhuhai); Hohai University; Ministry of Natural Resources of the People's Republic of China; National Marine Environmental Forecasting Center; Chinese Academy of Sciences; Institute of Atmospheric Physics, CAS; Jimei University</t>
  </si>
  <si>
    <t>Wang, ZM (corresponding author), Southern Marine Sci &amp; Engn Guangdong Lab Zhuhai, Zhuhai, Peoples R China.;Wang, ZM (corresponding author), Hohai Univ, Coll Oceanog, Int Polar Environm Res Lab, Nanjing, Peoples R China.</t>
  </si>
  <si>
    <t>zhaomin.wang@hhu.edu.cn</t>
  </si>
  <si>
    <t>zhang, luyu/JJC-4227-2023; Liang, Xi/HOF-5510-2023; LI, XIAO/JCE-6169-2023; ma, long/JHU-2289-2023; Li, Xichen/ISB-4663-2023; cheng, cheng/JBR-8359-2023; LI, Xiang-Yang/JZE-0275-2024</t>
  </si>
  <si>
    <t>Liang, Xi/0000-0001-8986-1154;</t>
  </si>
  <si>
    <t>China National Natural Science Foundation (NSFC) [41941007, 41876220]; Independent Research Foundation of Southern Marine Science and Engineering Guangdong Laboratory (Zhuhai) [SML2021SP306]; Natural Science Foundation of Jiangsu Province [BK20191405]</t>
  </si>
  <si>
    <t>China National Natural Science Foundation (NSFC)(National Natural Science Foundation of China (NSFC)); Independent Research Foundation of Southern Marine Science and Engineering Guangdong Laboratory (Zhuhai); Natural Science Foundation of Jiangsu Province(Natural Science Foundation of Jiangsu Province)</t>
  </si>
  <si>
    <t>This work is supported by the China National Natural Science Foundation (NSFC) Projects (41941007; 41876220), by the Independent Research Foundation of Southern Marine Science and Engineering Guangdong Laboratory (Zhuhai) (SML2021SP306), and by the Natural Science Foundation of Jiangsu Province (BK20191405).</t>
  </si>
  <si>
    <t>10.1175/JPO-D-22-0023.1</t>
  </si>
  <si>
    <t>Bronze</t>
  </si>
  <si>
    <t>WOS:000839063900015</t>
  </si>
  <si>
    <t>Mays, C; McLoughlin, S</t>
  </si>
  <si>
    <t>Mays, Chris; McLoughlin, Stephen</t>
  </si>
  <si>
    <t>END-PERMIAN BURNOUT: THE ROLE OF PERMIAN-TRIASSIC WILDFIRES IN EXTINCTION, CARBON CYCLING, AND ENVIRONMENTAL CHANGE IN EASTERN GONDWANA</t>
  </si>
  <si>
    <t>PALAIOS</t>
  </si>
  <si>
    <t>PRINCE-CHARLES MOUNTAINS; BAINMEDART COAL MEASURES; ATMOSPHERIC OXYGEN LEVELS; LARGE IGNEOUS PROVINCES; MAIN KAROO BASIN; SYDNEY BASIN; FOSSIL CHARCOAL; MASS EXTINCTION; PERMINERALIZED FOSSILS; REVISED STRATIGRAPHY</t>
  </si>
  <si>
    <t>Wildfire has been implicated as a potential driver of deforestation and continental biodiversity loss during the end-Permian extinction event (EPE; similar to 252 Ma). However, it cannot be established whether wildfire activity was anomalous during the EPE without valid pre- and post-EPE baselines. Here, we assess the changes in wildfire activity in the high-latitude lowlands of eastern Gondwana by presenting new long-term, quantitative late Permian (Lopingian) to Early Triassic records of dispersed fossil charcoal and inertinite from sediments of the Sydney Basin, eastern Australia. We also document little-transported fossil charcoal occurrences in middle to late Permian (Guadalupian to Lopingian) permineralized peats of the Lambert Graben, East Antarctica, and Sydney and Bowen basins, eastern Australia, indicating that even vegetation of consistently moist high-latitude settings was prone to regular fire events. Our records show that wildfires were consistently prevalent through the Lopingian, but the EPE demonstrates a clear spike in activity. The relatively low charcoal and inertinite baseline for the Early Triassic is likely due in part to the lower vegetation density, which would have limited fire spread. We review the evidence for middle Permian to Lower Triassic charcoal in the geosphere, and the impacts of wildfires on sedimentation processes and the evolution of landscapes. Moreover, we assess the evidence of continental extinction drivers during the EPE within eastern Australia, and critically evaluate the role of wildfires as a cause and consequence of ecosystem collapse. The initial intensification of the fire regime during the EPE likely played a role in the initial loss of wetland carbon sinks, and contributed to increased greenhouse gas emissions and land and freshwater ecosystem changes. However, we conclude that elevated wildfire frequency was a short-lived phenomenon; recurrent wildfire events were unlikely to be the direct cause of the subsequent long-term absence of peat-forming wetland vegetation, and the associated `coal gap' of the Early Triassic.</t>
  </si>
  <si>
    <t>[Mays, Chris] Univ Coll Cork, Environm Res Inst, Sch Biol Earth &amp; Environm Sci, Cork T23 N73K, Ireland; [McLoughlin, Stephen] Swedish Museum Nat Hist, Svante Arrhenius V 9, SE-10405 Stockholm, Sweden</t>
  </si>
  <si>
    <t>University College Cork; Swedish Museum of Natural History</t>
  </si>
  <si>
    <t>Mays, C (corresponding author), Univ Coll Cork, Environm Res Inst, Sch Biol Earth &amp; Environm Sci, Cork T23 N73K, Ireland.</t>
  </si>
  <si>
    <t>cmays@ucc.ie</t>
  </si>
  <si>
    <t>Mays, Chris/0000-0002-5416-2289</t>
  </si>
  <si>
    <t>National Science Foundation [EAR-1636625]; Swedish Research Council (VR) [2018-04527]; Australian Antarctic Division [509]; Swedish Research Council [2018-04527] Funding Source: Swedish Research Council</t>
  </si>
  <si>
    <t>National Science Foundation(National Science Foundation (NSF)); Swedish Research Council (VR)(Swedish Research Council); Australian Antarctic Division; Swedish Research Council(Swedish Research Council)</t>
  </si>
  <si>
    <t>We thank Jane Sibbons and Lucy McGee (University of Adelaide) for assistance with reflected light microscopy, Bob Hill (University of Adelaide) for discussions and sample logistics, Joan Esterle (University of Queensland) for advice on organic petrology. The authors acknowledge the support of research grant EAR-1636625 from the National Science Foundation, and the Swedish Research Council (VR) grant 2018-04527 to SM. The Australian Antarctic Division provided financial and logistical support for fieldwork in the Prince Charles Mountains during the Austral summer of 1994-1995 via Antarctic Science Advisory Council Project 509. We thank Editors Patrick John Orr, Will Foster, Kathleen Huber and Neil Davies, and reviewers Evelyn Kustatscher and Andr ' e Jasper, for their constructive feedback.</t>
  </si>
  <si>
    <t>SEPM-SOC SEDIMENTARY GEOLOGY</t>
  </si>
  <si>
    <t>TULSA</t>
  </si>
  <si>
    <t>6128 EAST 38TH ST, STE 308, TULSA, OK 74135-5814 USA</t>
  </si>
  <si>
    <t>0883-1351</t>
  </si>
  <si>
    <t>1938-5323</t>
  </si>
  <si>
    <t>Palaios</t>
  </si>
  <si>
    <t>10.2110/palo.2021.051</t>
  </si>
  <si>
    <t>Geology; Paleontology</t>
  </si>
  <si>
    <t>3O4HK</t>
  </si>
  <si>
    <t>WOS:000836795700002</t>
  </si>
  <si>
    <t>Murunga, M; Pecl, GT; Ogier, EM; Leith, P; Macleod, C; Kelly, R; Corney, S; van Putten, IE; Mossop, D; Cullen-Knox, C; Bettiol, S; Fox-Hughes, P; Sharples, C; Nettlefold, J</t>
  </si>
  <si>
    <t>Murunga, Michael; Pecl, Gretta T.; Ogier, Emily M.; Leith, Peat; Macleod, Catriona; Kelly, Rachel; Corney, Stuart; van Putten, Ingrid E.; Mossop, David; Cullen-Knox, Coco; Bettiol, Silvana; Fox-Hughes, Paul; Sharples, Chris; Nettlefold, Jocelyn</t>
  </si>
  <si>
    <t>More than just information: what does the public want to know about climate change?</t>
  </si>
  <si>
    <t>ECOLOGY AND SOCIETY</t>
  </si>
  <si>
    <t>climate change; climate change communication; public engagement; science communication; transdisciplinary research</t>
  </si>
  <si>
    <t>SCIENCE COMMUNICATION; INDIGENOUS KNOWLEDGE; ENGAGEMENT; POLITICS; MEDIA; REFLECTIONS; CHALLENGES; CONFLICT; POLICY; TRUST</t>
  </si>
  <si>
    <t>Public engagement on climate change is a vital concern for both science and society. Despite more people engaging with climate change science today, there remains a high-level contestation in the public sphere regarding scientific credibility and identifying information needs, interests, and concerns of the non-technical public. In this paper, we present our response to these challenges by describing the use of a novel ???public-powered??? approach to engaging the public through submitting questions of interest about climate change to climate researchers before a planned engagement activity. Employing thematic content analysis on the submitted questions, we describe how those people we engaged with are curious about understanding climate change science, including mitigating related risks and threats by adopting specific actions. We assert that by inviting the public to submit their questions of interest to researchers before an engagement activity, this step can inform why and transform how actors engage in reflexive dialogue.</t>
  </si>
  <si>
    <t>[Murunga, Michael; Pecl, Gretta T.; Ogier, Emily M.; Macleod, Catriona; Kelly, Rachel; Corney, Stuart; Mossop, David] Univ Tasmania, Inst Marine &amp; Antarctic Studies, Hobart, Tas, Australia; [Murunga, Michael; Pecl, Gretta T.; Ogier, Emily M.; Macleod, Catriona; Kelly, Rachel; Corney, Stuart; van Putten, Ingrid E.; Mossop, David; Cullen-Knox, Coco] Univ Tasmania, Ctr Marine Socioecol, Hobart, Tas, Australia; [Leith, Peat] CSIRO Agr &amp; Food, Castray Esplanade, Battery Point, Australia; [Corney, Stuart] Univ Tasmania, Australian Antarctic Program Partnership, Hobart, Tas, Australia; [van Putten, Ingrid E.] CSIRO Oceans &amp; Atmosphere, Hobart, Tas, Australia; [Bettiol, Silvana] Univ Tasmania, Tasmanian Sch Med, Coll Hlth &amp; Med, Hobart, Tas, Australia; [Fox-Hughes, Paul] Bur Meteorol, Hobart, Tas, Australia; [Sharples, Chris] Univ Tasmania, Sch Technol Environm &amp; Design, Hobart, Tas, Australia; [Nettlefold, Jocelyn] Australia Broadcasting Corp Hobart, Hobart, Tas, Australia</t>
  </si>
  <si>
    <t>University of Tasmania; University of Tasmania; Commonwealth Scientific &amp; Industrial Research Organisation (CSIRO); University of Tasmania; Commonwealth Scientific &amp; Industrial Research Organisation (CSIRO); University of Tasmania; Bureau of Meteorology - Australia; University of Tasmania; Australian Broadcasting Corporation (ABC)</t>
  </si>
  <si>
    <t>Murunga, M (corresponding author), Univ Tasmania, Inst Marine &amp; Antarctic Studies, Hobart, Tas, Australia.;Murunga, M (corresponding author), Univ Tasmania, Ctr Marine Socioecol, Hobart, Tas, Australia.</t>
  </si>
  <si>
    <t>Fox-Hughes, Paul D/G-8731-2013; Pecl, Gretta/D-7267-2011; MacLeod, Catriona K/J-7176-2014; Bettiol, Silvana S/J-7606-2014</t>
  </si>
  <si>
    <t>Pecl, Gretta/0000-0003-0192-4339; Ogier, Emily/0000-0001-6157-5279; Murunga, Michael/0000-0002-4163-4224</t>
  </si>
  <si>
    <t>Tasmanian Government through the Tasmanian Climate Change Office, under an Australian National Science Week 2019 grant [0362668243]; Australian Research Council Future Fellowship; Tasmanian Graduate Research Scholarship</t>
  </si>
  <si>
    <t>Tasmanian Government through the Tasmanian Climate Change Office, under an Australian National Science Week 2019 grant; Australian Research Council Future Fellowship(Australian Research Council); Tasmanian Graduate Research Scholarship</t>
  </si>
  <si>
    <t>This paper is a product of the Curious Climate Tasmania project, a transdisciplinary and collaborative initiative by the Centre for Marine Socioecology (CMS) of the University of Tasmania and partners, including the Australia Broadcasting Corporation (ABC Radio Hobart) , Commonwealth Scientific and Industrial Research Organization (CSIRO) , and the Institute for Marine and Antarctic Studies (IMAS) . More information about Curious Climate Tasmania is available at https://curiousclimate.org.au/. The authors would like to thank ABC staff and management, researchers, andscientists from partner organizations that helped create content for public online engagement and presentations at the live events. We thank the Tasmanians who submitted questions, engaged scientists in the online discussion, and attended public outreach events. We acknowledge the comments and suggestions of the two anonymous reviewers and editors that improved this article. Funding for the Curious Climate initiative was provided to the Centre for Marine Socioecology (CMS) by the Tasmanian Government through the Tasmanian Climate Change Office, under an Australian National Science Week 2019 grant number 0362668243. In-kind support was provided by the many scientific agencies that provided research staff for public presentations, material preparation, and media interviews. GTP was supported by an Australian Research Council Future Fellowship. MM was supported by the Tasmanian Graduate Research Scholarship.</t>
  </si>
  <si>
    <t>RESILIENCE ALLIANCE</t>
  </si>
  <si>
    <t>WOLFVILLE</t>
  </si>
  <si>
    <t>ACADIA UNIV, BIOLOGY DEPT, WOLFVILLE, NS B0P 1X0, CANADA</t>
  </si>
  <si>
    <t>1708-3087</t>
  </si>
  <si>
    <t>ECOL SOC</t>
  </si>
  <si>
    <t>Ecol. Soc.</t>
  </si>
  <si>
    <t>10.5751/ES-13147-270214</t>
  </si>
  <si>
    <t>Ecology; Environmental Studies</t>
  </si>
  <si>
    <t>3C3QF</t>
  </si>
  <si>
    <t>gold, Green Published</t>
  </si>
  <si>
    <t>WOS:000828540400006</t>
  </si>
  <si>
    <t>Kostopoulou, S; Maravelis, AG; Botziolis, C; Zelilidis, A</t>
  </si>
  <si>
    <t>Kostopoulou, Sofia; Maravelis, Angelos G.; Botziolis, Chrysanthos; Zelilidis, Avraam</t>
  </si>
  <si>
    <t>Paleoenvironmental and paleoclimatic conditions during the Eocene/Oligocene transition in the southern Hellenic Thrace Basin (Lemnos Island, North Aegean Sea)</t>
  </si>
  <si>
    <t>GEOLOGICA CARPATHICA</t>
  </si>
  <si>
    <t>planktonic foraminifera; Lemnos Island; southern Hellenic Thrace Basin; Eocene; Oligocene; Eocene-; Oligocene boundary</t>
  </si>
  <si>
    <t>BENTHIC FORAMINIFERAL FAUNA; EOCENE-OLIGOCENE BOUNDARY; CALDERA SECTION SPAIN; CONTINENTAL-MARGIN; PLANKTONIC-FORAMINIFERA; FUENTE-CALDERA; BATHYSIPHON FORAMINIFERIDA; ANTARCTIC GLACIATION; STRATOTYPE SECTION; GLOBAL CLIMATE</t>
  </si>
  <si>
    <t>The late Eocene???early Oligocene paleoenviromental and paleoclimatic conditions in the southern Hellenic Thrace Basin (Lemnos Island, Northeast Aegean Sea) have been determined, based on planktonic and benthic forami??niferal analyses. One hundred thirty??nine mudstone samples were collected from representative outcrops that cover the entire stratigraphic record. The samples correspond to submarine fan (Ifestia, Panagia and Kaspaka sections) and shallow??marine deposits (Kaminia section). The analyses of calcareous nannoplankton and planktonic foraminifera indicate that sedimentation took place during the late Eocene to early Oligocene (Priabonian???Rupelian). The ratio of planktonic to benthic foraminifera, the paleobathymetry and the qualitative analysis of foraminifera support a regional shallowing??upward trend. The presence of Globobulimina suggests that dysoxic conditions prevailed the late Eocene, while the presence of paragloborotaliids, globigerinids and chiloguembelinids in the studied succession could be indicative of a gradual cooling event since the late Eocene. The Eocene/Oligocene boundary is characterized by well??oxygenated bottom waters, and the abundance of Catapsydrax unicavus and Paragloborotalia nana suggests a strong cooling event during the early Oligocene (O1 biozone). This decrease in water temperature is most likely linked to the global cold Oi1 event. The early Oligocene is characterized by oxic bottom??water redox conditions that were inter??mittently interrupted by shorter periods of dysoxic conditions. The occurrence of Bathysiphon indicates the passage of turbidity currents. The recognition of Chiloguembelina cubensis, P. nana and C. unicavus suggests high productivity over the range of the water column, most likely correlated with mixing water during the cold event Oi2. This study decrypted the global paleoenvironmental and paleoclimatic changes that influenced the southern Hellenic Thrace Basin during the Eocene/Oligocene transition.</t>
  </si>
  <si>
    <t>[Kostopoulou, Sofia; Botziolis, Chrysanthos; Zelilidis, Avraam] Univ Patras, Dept Geol, Lab Sedimentol, Rion 26504, Greece; [Maravelis, Angelos G.] Aristotle Univ Thessaloniki, Sch Geol, Thessaloniki 54124, Greece</t>
  </si>
  <si>
    <t>University of Patras; Aristotle University of Thessaloniki</t>
  </si>
  <si>
    <t>Kostopoulou, S (corresponding author), Univ Patras, Dept Geol, Lab Sedimentol, Rion 26504, Greece.</t>
  </si>
  <si>
    <t>kost.sofia@hotmail.com</t>
  </si>
  <si>
    <t>Maravelis, Angelos/AAJ-2380-2021</t>
  </si>
  <si>
    <t>Botziolis, Chrysanthos/0000-0002-9662-0495; Maravelis, Angelos/0000-0002-9694-7500; Zelilidis, Avraam/0000-0003-3337-129X</t>
  </si>
  <si>
    <t>H.F.R.I. (Hellenic Foundation for Research Innovation); GSRT (General Secretarial for Research and Technology) [80591]</t>
  </si>
  <si>
    <t>H.F.R.I. (Hellenic Foundation for Research Innovation); GSRT (General Secretarial for Research and Technology)</t>
  </si>
  <si>
    <t>This work is part of the PhD thesis of Kostopoulou Sofia that was conducted in the Department of Geology and Geo-Environment, National and Kapodistrian University of Athens, Greece. The authors would like to thank Assist. Prof. M.D. Dimiza and Prof. M.V. Triantafyllou for their contribution to this research. This study did not receive any specific grant from funding bodies in the public, commercial, or not-for-profit sectors. This research proceeded with the funding of the H.F.R.I. (Hellenic Foundation for Research &amp; Innovation) and GSRT (General Secretarial for Research and Technology) through the research project Global climate and sea-level changes across the latest Eocene-early Oligocene, as reflected in the sedimentary record of Pindos foreland and Thrace Basin, Greece, 80591. Thank the journal handling editor (Jan Sotak) and the two anonymous reviewers for their helpful comments that improved our manuscript.</t>
  </si>
  <si>
    <t>SLOVAK ACAD SCIENCES GEOLOGICAL INST</t>
  </si>
  <si>
    <t>BRATISLAVA</t>
  </si>
  <si>
    <t>DUBRAVSKA CESTA 9, BRATISLAVA, 840 05, SLOVAKIA</t>
  </si>
  <si>
    <t>1335-0552</t>
  </si>
  <si>
    <t>1336-8052</t>
  </si>
  <si>
    <t>GEOL CARPATH</t>
  </si>
  <si>
    <t>Geol. Carpath.</t>
  </si>
  <si>
    <t>10.31577/GeolCarp.73.3.4</t>
  </si>
  <si>
    <t>3D3UY</t>
  </si>
  <si>
    <t>WOS:000829232000004</t>
  </si>
  <si>
    <t>Chuffart, R; Raspotnik, A; Brodt, L; Convey, P</t>
  </si>
  <si>
    <t>Chuffart, Romain; Raspotnik, Andreas; Brodt, Luiza; Convey, Peter</t>
  </si>
  <si>
    <t>Dealing with insecurities and geopolitics: science diplomacy at the poles</t>
  </si>
  <si>
    <t>[Chuffart, Romain] Univ Durham, Palatine Ctr, Durham Law Sch, Stockton Rd, Durham DH1 3LE, England; [Chuffart, Romain; Raspotnik, Andreas] Arctic Inst, Ctr Circumpolar Secur Studies, POB 21194, Washington, DC 20009 USA; [Raspotnik, Andreas] Wilson Ctr, Ronald Reagan Bldg &amp; Int Trade Ctr, One Woodrow Wilson Plaza,1300 Penn Ave NW, Washington, DC 20004 USA; [Raspotnik, Andreas] Fridtjof Nansen Inst Polhogda, Fridtjof Nansens Vei 17, N-1366 Lysaker, Norway; [Convey, Peter] British Antarctic Survey, NERC, Madingley Rd, Cambridge CB3 0ET, England; [Convey, Peter] Univ Johannesburg, Dept Zool, Auckland Pk, South Africa; [Convey, Peter] Millennium Inst Biodivers Antarctic &amp; Subantarct, Palmeras 3425, Santiago, Chile</t>
  </si>
  <si>
    <t>Durham University; UK Research &amp; Innovation (UKRI); Natural Environment Research Council (NERC); NERC British Antarctic Survey; University of Johannesburg</t>
  </si>
  <si>
    <t>Chuffart, R (corresponding author), Univ Durham, Palatine Ctr, Durham Law Sch, Stockton Rd, Durham DH1 3LE, England.;Chuffart, R (corresponding author), Arctic Inst, Ctr Circumpolar Secur Studies, POB 21194, Washington, DC 20009 USA.</t>
  </si>
  <si>
    <t>Convey, Peter/AAV-5728-2020</t>
  </si>
  <si>
    <t>Convey, Peter/0000-0001-8497-9903</t>
  </si>
  <si>
    <t>10.1017/S095410202200027X</t>
  </si>
  <si>
    <t>3B8FU</t>
  </si>
  <si>
    <t>WOS:000828172500003</t>
  </si>
  <si>
    <t>Langlois, J; Guilhaumon, F; Baletaud, F; Casajus, N; Braga, CD; Fleure, VP; Kulbicki, M; Loiseau, ND; Mouillot, D; Renoult, J; Stahl, A; Smith, RS; Tribot, AS; Mouquet, N</t>
  </si>
  <si>
    <t>Langlois, Juliette; Guilhaumon, Francois; Baletaud, Florian; Casajus, Nicolas; De Almeida Braga, Cedric; Fleure, Valentine P.; Kulbicki, Michel; Loiseau, Nicolas D.; Mouillot, David; Renoult, Julien; Stahl, Alienor; Stuart Smith, Rick; Tribot, Anne-Sophie; Mouquet, Nicolas</t>
  </si>
  <si>
    <t>The aesthetic value of reef fishes is globally mismatched to their conservation priorities</t>
  </si>
  <si>
    <t>PLOS BIOLOGY</t>
  </si>
  <si>
    <t>CORAL-REEF; TAXONOMIC BIAS; NATURES CONTRIBUTIONS; REVEALS; BEAUTY; EVOLUTION; PATTERNS; ECOLOGY; TRAITS</t>
  </si>
  <si>
    <t>Reef fishes are closely connected to many human populations, yet their contributions to society are mostly considered through their economic and ecological values. Cultural and intrinsic values of reef fishes to the public can be critical drivers of conservation investment and success, but remain challenging to quantify. Aesthetic value represents one of the most immediate and direct means by which human societies engage with biodiversity, and can be evaluated from species to ecosystems. Here, we provide the aesthetic value of 2,417 ray-finned reef fish species by combining intensive evaluation of photographs of fishes by humans with predicted values from machine learning. We identified important biases in species' aesthetic value relating to evolutionary history, ecological traits, and International Union for Conservation of Nature (IUCN) threat status. The most beautiful fishes are tightly packed into small parts of both the phylogenetic tree and the ecological trait space. In contrast, the less attractive fishes are the most ecologically and evolutionary distinct species and those recognized as threatened. Our study highlights likely important mismatches between potential public support for conservation and the species most in need of this support. It also provides a pathway for scaling-up our understanding of what are both an important nonmaterial facet of biodiversity and a key component of nature's contribution to people, which could help better anticipate consequences of species loss and assist in developing appropriate communication strategies.</t>
  </si>
  <si>
    <t>[Langlois, Juliette; Guilhaumon, Francois; Baletaud, Florian; Fleure, Valentine P.; Loiseau, Nicolas D.; Mouillot, David; Mouquet, Nicolas] Univ Montpellier, MARBEC, CNRS, Ifremer,Ird, Montpellier, France; [Guilhaumon, Francois] Univ Nouvelle Caledonie, Univ Reunion, UMR ENTROPIE 9220, IRD,IFREMER,CNRS, La Reunion, France; [Casajus, Nicolas; Mouquet, Nicolas] FRB CESAB, Montpellier, France; [De Almeida Braga, Cedric] Orixas, Rennes, France; [Kulbicki, Michel] Univ Perpignan, UMR Entropie, IRD, Perpignan, France; [Mouillot, David] Inst Univ France, 1 Rue Descartes, Paris, France; [Renoult, Julien] Univ Paul Valery Montpellier, Univ Montpellier, CEFE, CNRS,UMR 5175, Montpellier, France; [Stahl, Alienor] Concordia Univ, Dept Biol, Montreal, PQ, Canada; [Stuart Smith, Rick] Univ Tasmania, Inst Marine &amp; Antarctic Studies, Hobart, Tas, Australia; [Tribot, Anne-Sophie] Univ Toulon &amp; Var, Univ Aix Marseille, MIO, CNRS,IRD, Marseille, France; [Tribot, Anne-Sophie] Univ Aix Marseille, UMR TELEMMe, CNRS, Aix En Provence, France</t>
  </si>
  <si>
    <t>Ifremer; Centre National de la Recherche Scientifique (CNRS); Universite de Montpellier; Institut de Recherche pour le Developpement (IRD); Centre National de la Recherche Scientifique (CNRS); Institut de Recherche pour le Developpement (IRD); University of La Reunion; Ifremer; Institut de Recherche pour le Developpement (IRD); Universite Perpignan Via Domitia; Institut Universitaire de France;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Concordia University - Canada; University of Tasmania; Universite de Toulon; Aix-Marseille Universite; Centre National de la Recherche Scientifique (CNRS); Institut de Recherche pour le Developpement (IRD); Centre National de la Recherche Scientifique (CNRS); Aix-Marseille Universite</t>
  </si>
  <si>
    <t>Mouquet, N (corresponding author), Univ Montpellier, MARBEC, CNRS, Ifremer,Ird, Montpellier, France.;Mouquet, N (corresponding author), FRB CESAB, Montpellier, France.</t>
  </si>
  <si>
    <t>nicolas.mouquet@cnrs.fr</t>
  </si>
  <si>
    <t>MOUQUET, Nicolas/AAL-1440-2021; Stuart-Smith, Rick/I-5214-2019; Guilhaumon, francois/GPX-7180-2022; TRIBOT, Anne-Sophie/ABE-4289-2021</t>
  </si>
  <si>
    <t>MOUQUET, Nicolas/0000-0003-1840-6984; Stuart-Smith, Rick/0000-0002-8874-0083; Guilhaumon, francois/0000-0003-4707-8932; TRIBOT, Anne-Sophie/0000-0002-8194-5393; Stahl, Alienor/0000-0002-2297-7379</t>
  </si>
  <si>
    <t>Belmont Forum; BiodivERsA REEF-FUTURES project under the BiodivScen ERA-Net COFUND program; French National Research Agency; LabEx CeMEB; program PEPS CNRS; Australias Integrated Marine Observing System</t>
  </si>
  <si>
    <t>Belmont Forum; BiodivERsA REEF-FUTURES project under the BiodivScen ERA-Net COFUND program; French National Research Agency(Agence Nationale de la Recherche (ANR)); LabEx CeMEB; program PEPS CNRS; Australias Integrated Marine Observing System</t>
  </si>
  <si>
    <t>This research was partially funded through the 2017-2018 Belmont Forum and BiodivERsA REEF-FUTURES project under the BiodivScen ERA-Net COFUND program with the French National Research Agency (DM and NM). This project received additional funding from the LabEx CeMEB and the program PEPS CNRS (NM). RLS data management is supported by Australias Integrated Marine Observing System enabled by the National Collaborative Research Infrastructure Strategy (RSS). The funders had no role in study design, data collection and analysis, decision to publish, or preparation of the manuscript.</t>
  </si>
  <si>
    <t>PUBLIC LIBRARY SCIENCE</t>
  </si>
  <si>
    <t>SAN FRANCISCO</t>
  </si>
  <si>
    <t>1160 BATTERY STREET, STE 100, SAN FRANCISCO, CA 94111 USA</t>
  </si>
  <si>
    <t>1544-9173</t>
  </si>
  <si>
    <t>1545-7885</t>
  </si>
  <si>
    <t>PLOS BIOL</t>
  </si>
  <si>
    <t>PLoS. Biol.</t>
  </si>
  <si>
    <t>e3001640</t>
  </si>
  <si>
    <t>10.1371/journal.pbio.3001640</t>
  </si>
  <si>
    <t>Biochemistry &amp; Molecular Biology; Biology</t>
  </si>
  <si>
    <t>Biochemistry &amp; Molecular Biology; Life Sciences &amp; Biomedicine - Other Topics</t>
  </si>
  <si>
    <t>3B1ON</t>
  </si>
  <si>
    <t>WOS:000827717700002</t>
  </si>
  <si>
    <t>Kim, EJ; Chae, H; Koo, MH; Yu, J; Kim, H; Cho, SM; Hong, KW; Lee, JY; Youn, UJ; Kim, S; Choi, HG; Han, SJ</t>
  </si>
  <si>
    <t>Kim, Eun Jae; Chae, Hyunsik; Koo, Man Hyung; Yu, Jihyeon; Kim, Hyunjoong; Cho, Sung Mi; Hong, Kwang Won; Lee, Joo Young; Youn, Ui Joung; Kim, Sanghee; Choi, Han-Gu; Han, Se Jong</t>
  </si>
  <si>
    <t>Statistical optimization of phytol and polyunsaturated fatty acid production in the Antarctic microalga Micractinium variabile KSF0031</t>
  </si>
  <si>
    <t>ALGAE</t>
  </si>
  <si>
    <t>Antarctic algae; growth medium optimization; Micractinium variabile; phytol; polyunsaturated fatty acids</t>
  </si>
  <si>
    <t>FRESH-WATER MICROALGA; ANTIMICROBIAL ACTIVITY; INFLAMMATION; TEMPERATURE; TOXICITY; REMOVAL; GROWTH</t>
  </si>
  <si>
    <t>Polar microorganisms produce physiologically active substances to adapt to harsh environments, and these substances can be used as biomedical compounds. The green microalga Micractinium variabile KSF0031, which was isolated from Antarctica, produced phytol, a natural antimicrobial agent. Furthermore, several polyunsaturated fatty acids (PUFAs), including omega-3, exhibit antioxidant properties. Here statistical methods (Plackett-Burman design and Box-Behnken design) were used to optimize the culture medium of KSF0031 to improve biomass production, and K2HPO4, MgSO4 center dot 7H(2)O, and ammonium ferric citrate green (AFCg) were selected as significant components of the culture medium. Changes in the concentration of K2HPO4 and MgSO4 center dot 7H(2)O as positive factors and AFCg as a negative factor affected cell growth to a remarkable degree. The biomass production in a 100 L culture using the optimized medium for 24 d at 18 degrees C was improved by 37.5% compared to that obtained using the original BG-11 medium. The quantities of PUFAs and phytol obtained were 13 mg g(-1) dry cell weight (DCW) and 10.98 mg g(-1) DCW, which represent improved yields of 11.70% and 48.78%, respectively. The results of this study could contribute to an improved production of phytol and fatty acids from Antarctic microalgae in the biomedical industry.</t>
  </si>
  <si>
    <t>[Kim, Eun Jae; Chae, Hyunsik; Yu, Jihyeon; Kim, Hyunjoong; Cho, Sung Mi; Youn, Ui Joung; Kim, Sanghee; Choi, Han-Gu; Han, Se Jong] Korea Polar Res Inst, Div Life Sci, Incheon 21990, South Korea; [Koo, Man Hyung] Korea Polar Res Inst, Res Unit Cryogen Novel Mat, Incheon 21990, South Korea; [Kim, Hyunjoong] Yonsei Univ, Inst Life Sci &amp; Biotechnol, Dept Syst Biol, Seoul 03722, South Korea; [Cho, Sung Mi; Youn, Ui Joung; Han, Se Jong] Univ Sci &amp; Technol, Dept Polar Sci, Incheon 21990, South Korea; [Hong, Kwang Won; Lee, Joo Young] Microalgae Ask Us Co Ltd, R&amp;D Dept, Kangnung 25451, South Korea</t>
  </si>
  <si>
    <t>Korea Polar Research Institute (KOPRI); Korea Polar Research Institute (KOPRI); Yonsei University</t>
  </si>
  <si>
    <t>Han, SJ (corresponding author), Korea Polar Res Inst, Div Life Sci, Incheon 21990, South Korea.;Han, SJ (corresponding author), Univ Sci &amp; Technol, Dept Polar Sci, Incheon 21990, South Korea.</t>
  </si>
  <si>
    <t>hansj@kopri.re.kr</t>
  </si>
  <si>
    <t>Yu, Jihyeon/U-4150-2019</t>
  </si>
  <si>
    <t>Yu, Jihyeon/0000-0003-0247-7753</t>
  </si>
  <si>
    <t>Korea Polar Research Institute [PE22140, PE19910]</t>
  </si>
  <si>
    <t>Korea Polar Research Institute(Korea Polar Research Institute of Marine Research Placement (KOPRI))</t>
  </si>
  <si>
    <t>The research was supported by Grants from the Korea Polar Research Institute (PE22140 and PE19910).</t>
  </si>
  <si>
    <t>KOREAN SOC PHYCOLOGY</t>
  </si>
  <si>
    <t>SEOUL</t>
  </si>
  <si>
    <t>B1F, TRUST TOWER, 275-7 YANGJAE-DONG, SEOCHO-KU, SEOUL, 137-739, SOUTH KOREA</t>
  </si>
  <si>
    <t>1226-2617</t>
  </si>
  <si>
    <t>2093-0860</t>
  </si>
  <si>
    <t>ALGAE-SEOUL</t>
  </si>
  <si>
    <t>Algae</t>
  </si>
  <si>
    <t>10.4490/algae.2022.37.4.1</t>
  </si>
  <si>
    <t>Plant Sciences; Marine &amp; Freshwater Biology</t>
  </si>
  <si>
    <t>2X6PP</t>
  </si>
  <si>
    <t>WOS:000825323600007</t>
  </si>
  <si>
    <t>Halici, MG; Möller, E; Timdal, E; Yigit, MK; Bölükbasi, E</t>
  </si>
  <si>
    <t>Halici, Mehmet Gokhan; Moller, Erik; Timdal, Einar; Yigit, Merve Kahraman; Bolukbasi, Ekrem</t>
  </si>
  <si>
    <t>Rhizocarpon ozsoyae sp. nova (Rhizocarpaceae, lichenized Ascomycetes) from James Ross Island (Antarctic Peninsula)</t>
  </si>
  <si>
    <t>HERZOGIA</t>
  </si>
  <si>
    <t>Antarctica; biodiversity; lichenized fungi; Rhizocarpales</t>
  </si>
  <si>
    <t>LECANOROMYCETES ASCOMYCOTA; FUNGI; IDENTIFICATION; PHYLOGENY; ALIGNMENT; EVOLUTION; TAXA</t>
  </si>
  <si>
    <t>The new lichen species Rhizocarpon ozsoyae is described from James Ross Island, located in the north-eastern Antarctic Peninsula region. The nrITS and mtSSU gene regions of the new species are studied and the phylogenetic position of the species is in the Rhizocarpon geographicum group. It differs from the other species of the group by having mostly 1-septate and smaller ascospores, and from nearly all of them by containing norstictic acid.</t>
  </si>
  <si>
    <t>[Halici, Mehmet Gokhan; Yigit, Merve Kahraman] Erciyes Univ, Fac Sci, Dept Biol, TR-38039 Kayseri, Turkey; [Moller, Erik; Timdal, Einar] Univ Oslo, Nat Hist Museum, Oslo, Norway; [Bolukbasi, Ekrem] Amasya Univ, Suluova Vocat Sch, Dept Environm Protect Technol, Amasya, Turkey</t>
  </si>
  <si>
    <t>Erciyes University; University of Oslo; Amasya University; Ministry of National Education - Turkey</t>
  </si>
  <si>
    <t>Halici, MG (corresponding author), Erciyes Univ, Fac Sci, Dept Biol, TR-38039 Kayseri, Turkey.</t>
  </si>
  <si>
    <t>mghalici@gmail.com</t>
  </si>
  <si>
    <t>Kahraman Yiğit, Merve/AAW-5674-2021; BOLUKBASI, Ekrem/U-4066-2018</t>
  </si>
  <si>
    <t>BOLUKBASI, Ekrem/0000-0003-3828-1226</t>
  </si>
  <si>
    <t>Erciyes University; TUBITAK [118Z587]; Turkish Academy of Science (TUBA); Norwegian Barcode of Life (NorBOL)</t>
  </si>
  <si>
    <t>Erciyes University(Erciyes University); TUBITAK(Turkiye Bilimsel ve Teknolojik Arastirma Kurumu (TUBITAK)); Turkish Academy of Science (TUBA)(Turkish Academy of Sciences); Norwegian Barcode of Life (NorBOL)</t>
  </si>
  <si>
    <t>The first author thanks the Erciyes University for the financial support that allowed to perform the field works in James Ross Island, Antarctica and the infrastructure and facilities of J. G. Mendel Station provided during the Czech Antarctic expedition, Jan-Feb 2017. This study was financially supported by the TUBITAK project No. 118Z587. The first author's scientific work is also supported by Turkish Academy of Science (TUBA). We wish to thank the Norwegian Barcode of Life (NorBOL; https://www.norbol.org) for funding the sequences produced by the OLICH project.</t>
  </si>
  <si>
    <t>BLAM E V</t>
  </si>
  <si>
    <t>HALLE</t>
  </si>
  <si>
    <t>BRYOLOGISCH-LICHENOLOGISCHE ARBEITSGEMEINSCHAFT MITTELEUROPA EV, UNIV HALLE-WITTENBERG, NEUWERK 21, HALLE, D-06108, GERMANY</t>
  </si>
  <si>
    <t>0018-0971</t>
  </si>
  <si>
    <t>Herzogia</t>
  </si>
  <si>
    <t>10.13158/heia.35.1.2022.105</t>
  </si>
  <si>
    <t>Plant Sciences</t>
  </si>
  <si>
    <t>2V1AM</t>
  </si>
  <si>
    <t>WOS:000823584700007</t>
  </si>
  <si>
    <t>Guénot, P; Dubecq, C; Colleu, F; Dubourg, O; Lec, C; Bertran, PE</t>
  </si>
  <si>
    <t>Guenot, Pierre; Dubecq, Christophe; Colleu, Frederic; Dubourg, Olivier; Lec, Caroline; Bertran, Pierre-Etienne</t>
  </si>
  <si>
    <t>CASA Medevac Operations Proof of Concept in the Southern Indian Ocean Zone</t>
  </si>
  <si>
    <t>AEROSPACE MEDICINE AND HUMAN PERFORMANCE</t>
  </si>
  <si>
    <t>emergency; French Military Medical Service; medevac; prolonged field care; telemedicine; ultrasound</t>
  </si>
  <si>
    <t>BACKGROUND: Air medical evacuations by tactical aircraft are mandatory in every country, particularly in deployments abroad where hospital resources are limited. In the overseas French departments, it can be particularly useful for military and civilian scientists stationed on the very remote islands of the French Southern and Antarctic Lands. This priority medical support mission uses fixed wing CASA CN235 aircraft and is led by the French Air Force and the French Military Medical Service, in cooperation with the civilian health service. CASE REPORT: The authors present the case of a French soldier with chest trauma on an isolated island who benefited from continuum of care during his air evacuation to Reunion Island. DISCUSSION: This case illustrates that the CASA Medevac concept has become a crucial link in the French medical evacuation chain in remote areas. The complex organization, the human material resources, and, finally, the training program are briefly presented.</t>
  </si>
  <si>
    <t>[Guenot, Pierre; Dubecq, Christophe; Colleu, Frederic; Dubourg, Olivier; Lec, Caroline; Bertran, Pierre-Etienne] French Mil Med Serv, Paris, France</t>
  </si>
  <si>
    <t>Guénot, P (corresponding author), Ecole Val De Grace, Ctr Format Med Aeronaut, Ilot Percy 101 Ave Henri Barbusse, F-92140 Clamart, France.</t>
  </si>
  <si>
    <t>pierre.guenot64@gmail.com</t>
  </si>
  <si>
    <t>AEROSPACE MEDICAL ASSOC</t>
  </si>
  <si>
    <t>ALEXANDRIA</t>
  </si>
  <si>
    <t>320 S HENRY ST, ALEXANDRIA, VA 22314-3579 USA</t>
  </si>
  <si>
    <t>2375-6314</t>
  </si>
  <si>
    <t>2375-6322</t>
  </si>
  <si>
    <t>AEROSP MED HUM PERF</t>
  </si>
  <si>
    <t>Aerosp. Med.Hum. Perform.</t>
  </si>
  <si>
    <t>10.3357/AMHP.6042.2022</t>
  </si>
  <si>
    <t>Biophysics; Public, Environmental &amp; Occupational Health; Medicine, Research &amp; Experimental</t>
  </si>
  <si>
    <t>Biophysics; Public, Environmental &amp; Occupational Health; Research &amp; Experimental Medicine</t>
  </si>
  <si>
    <t>2O2AG</t>
  </si>
  <si>
    <t>WOS:000818866600008</t>
  </si>
  <si>
    <t>Sokolov, SG; Shchenkov, SV; Gordeev, II</t>
  </si>
  <si>
    <t>Sokolov, S. G.; Shchenkov, S., V; Gordeev, I. I.</t>
  </si>
  <si>
    <t>Phylogenetic Assessment of Two Antarctic Representatives of Paralepidapedon Shimazu &amp; Shimura, 1984 (Trematoda: Lepidapedidae)</t>
  </si>
  <si>
    <t>RUSSIAN JOURNAL OF MARINE BIOLOGY</t>
  </si>
  <si>
    <t>Lepocreadioidea; Lepidapedon; Macrourus; caecum; uroproct; parasites</t>
  </si>
  <si>
    <t>LEPOCREADIIDAE DIGENEA; GENUS PARALEPIDAPEDON; SEQUENCE ALIGNMENT; NORTHEAST ATLANTIC; SEA; FISHES; PARASITES; STAFFORD; PLATYHELMINTHES; MACROURIDAE</t>
  </si>
  <si>
    <t>The genus Paralepidapedon Shimazu &amp; Shimura, 1984 unites lepidapedid trematodes with a uroproct, intercaecal and postbifurcal positions of the common genital pore, and an intestinal bifurcation located at a significant distance from the ventral sucker. Species of this genus are divided into two groups according to presence/absence of the membranous sac around the external seminal vesicle and adjacent prostatic cells in adults. We found two trematode species morphologically corresponding to the group of Paralepidapedon spp. with the membranous sac in the gadiform fish Macrourus whitsoni (Regan, 1913) from the Ross Sea (Antarctic). These trematodes were initially assigned to Paralepidapedon sp. 1 and Paralepidapedon sp. 2. Phylogenetic analyses based on 28S rRNA gene partial sequences resolved phylogenetic relationships of these trematodes within the Lepidapedon clade. Paralepidapedon sp. 1 was also grouped with Lepidapedon spp. based on the nd1 gene analysis. These data are unexpected, since blind-ending caeca are typical of Lepidapedon spp. Phylogenetic analyses also confirmed the paraphyly of the genus Neolepidapedon Manter, 1954. Based on our data, we hypothesise that only species without the membranous sac are the members of the genus Paralepidapedon, while species with this structure should be moved to the genus Lepidapedon.</t>
  </si>
  <si>
    <t>[Sokolov, S. G.] Severtsov Inst Ecol &amp; Evolut, Moscow 119071, Russia; [Shchenkov, S., V] St Petersburg State Univ, Dept Invertebrate Zool, St Petersburg 199034, Russia; [Gordeev, I. I.] Russian Fed Res Inst Fisheries &amp; Oceanog, Moscow 107140, Russia; [Gordeev, I. I.] Moscow MV Lomonosov State Univ, Dept Invertebrate Zool, Moscow 119234, Russia</t>
  </si>
  <si>
    <t>Russian Academy of Sciences; Saratov Scientific Center of the Russian Academy of Sciences; Severtsov Institute of Ecology &amp; Evolution; Saint Petersburg State University; Research lnstitute of Fisheries &amp; Oceanography; Lomonosov Moscow State University</t>
  </si>
  <si>
    <t>Gordeev, II (corresponding author), Russian Fed Res Inst Fisheries &amp; Oceanog, Moscow 107140, Russia.;Gordeev, II (corresponding author), Moscow MV Lomonosov State Univ, Dept Invertebrate Zool, Moscow 119234, Russia.</t>
  </si>
  <si>
    <t>gordeev_ilya@bk.ru</t>
  </si>
  <si>
    <t>Gordeev, Ilya/F-2972-2017; Sokolov, Sergey/J-2716-2018</t>
  </si>
  <si>
    <t>Gordeev, Ilya/0000-0002-6650-9120; Shchenkov, Sergei/0000-0002-0579-1660; Sokolov, Sergey/0000-0002-4822-966X</t>
  </si>
  <si>
    <t>A.N. Severtsov Institute of Ecology and Evolution, of Russian Academy of Sciences [FFER-2021-0005]</t>
  </si>
  <si>
    <t>A.N. Severtsov Institute of Ecology and Evolution, of Russian Academy of Sciences</t>
  </si>
  <si>
    <t>The paper is a part of the state-supported studies in the A.N. Severtsov Institute of Ecology and Evolution, of Russian Academy of Sciences (project no. FFER-2021-0005).</t>
  </si>
  <si>
    <t>MAIK NAUKA/INTERPERIODICA/SPRINGER</t>
  </si>
  <si>
    <t>233 SPRING ST, NEW YORK, NY 10013-1578 USA</t>
  </si>
  <si>
    <t>1063-0740</t>
  </si>
  <si>
    <t>1608-3377</t>
  </si>
  <si>
    <t>RUSS J MAR BIOL+</t>
  </si>
  <si>
    <t>Russ. J. Mar. Biol.</t>
  </si>
  <si>
    <t>10.1134/S1063074022030087</t>
  </si>
  <si>
    <t>Marine &amp; Freshwater Biology</t>
  </si>
  <si>
    <t>2Q8CF</t>
  </si>
  <si>
    <t>WOS:000820645200008</t>
  </si>
  <si>
    <t>Mokhov, II; Smirnov, DA</t>
  </si>
  <si>
    <t>Mokhov, Igor I.; Smirnov, Dmitry A.</t>
  </si>
  <si>
    <t>Contributions to surface air temperature trends estimated from climate time series: Medium-term causalities</t>
  </si>
  <si>
    <t>CHAOS</t>
  </si>
  <si>
    <t>ATLANTIC MULTIDECADAL OSCILLATION; PREDICTING CRITICAL TRANSITIONS; PART I; ANTHROPOGENIC FACTORS; GRANGER CAUSALITY; ATTRIBUTION; MODELS; ENSO; SIMULATIONS; VARIABILITY</t>
  </si>
  <si>
    <t>Contributions of various natural and anthropogenic factors to trends of surface air temperatures at different latitudes of the Northern and Southern hemispheres on various temporal horizons are estimated from climate data since the 19th century in empirical autoregressive models. Along with anthropogenic forcing, we assess the impact of several natural climate modes including Atlantic Multidecadal Oscillation, El-Nino/Southern Oscillation, Interdecadal Pacific Oscillation, Pacific Decadal Oscillation, and Antarctic Oscillation. On relatively short intervals of the length of two or three decades, contributions of climate variability modes are considerable and comparable to the contributions of greenhouse gases and even exceed the latter. On longer intervals of about half a century and greater, the contributions of greenhouse gases dominate at all latitudinal belts including polar, middle, and tropical ones.</t>
  </si>
  <si>
    <t>[Mokhov, Igor I.; Smirnov, Dmitry A.] Russian Acad Sci, AM Obukhov Inst Atmospher Phys, 3 Pyzhevsky Per, Moscow 119017, Russia; [Mokhov, Igor I.] Lomonosov Moscow State Univ, Dept Phys, Moscow 119991, Russia; [Smirnov, Dmitry A.] Russian Acad Sci, Kotelnikov Inst Radioengn &amp; Elect, Saratov Branch, 38 Zelyonaya St, Saratov 410019, Russia</t>
  </si>
  <si>
    <t>Russian Academy of Sciences; Obukhov Institute of Atmospheric Physics of Russian Academy of Sciences; Lomonosov Moscow State University; Kotelnikov Institute of Radioengineering &amp; Electronics; Russian Academy of Sciences; Saratov Scientific Center of the Russian Academy of Sciences</t>
  </si>
  <si>
    <t>Smirnov, DA (corresponding author), Russian Acad Sci, AM Obukhov Inst Atmospher Phys, 3 Pyzhevsky Per, Moscow 119017, Russia.;Smirnov, DA (corresponding author), Russian Acad Sci, Kotelnikov Inst Radioengn &amp; Elect, Saratov Branch, 38 Zelyonaya St, Saratov 410019, Russia.</t>
  </si>
  <si>
    <t>smirnovda@yandex.ru</t>
  </si>
  <si>
    <t>Smirnov, Dmitry A./D-6658-2013</t>
  </si>
  <si>
    <t>Smirnov, Dmitry A./0000-0002-4282-9461</t>
  </si>
  <si>
    <t>Ministry of Science and Higher Education of the Russian Federation [075-15-2021-577, 19-17-00240]</t>
  </si>
  <si>
    <t>Ministry of Science and Higher Education of the Russian Federation</t>
  </si>
  <si>
    <t>ACKNOWLEDGMENTS This study was supported by the Ministry of Science and Higher Education of the Russian Federation (Agreement No. 075-15-2021-577 with A.M. Obukhov Institute of Atmospheric Physics RAS) using the results of the analysis of climate variability features at different latitudes obtained within the framework of the Russian Science Foundation Project No. 19-17-00240.</t>
  </si>
  <si>
    <t>AIP Publishing</t>
  </si>
  <si>
    <t>MELVILLE</t>
  </si>
  <si>
    <t>1305 WALT WHITMAN RD, STE 300, MELVILLE, NY 11747-4501 USA</t>
  </si>
  <si>
    <t>1054-1500</t>
  </si>
  <si>
    <t>1089-7682</t>
  </si>
  <si>
    <t>Chaos</t>
  </si>
  <si>
    <t>10.1063/5.0088042</t>
  </si>
  <si>
    <t>Mathematics, Applied; Physics, Mathematical</t>
  </si>
  <si>
    <t>Mathematics; Physics</t>
  </si>
  <si>
    <t>2K1FU</t>
  </si>
  <si>
    <t>WOS:000816090300003</t>
  </si>
  <si>
    <t>Soldevilla, MS; Ternus, K; Cook, A; Hildebrand, JA; Frasier, KE; Martinez, A; Garrison, LP</t>
  </si>
  <si>
    <t>Soldevilla, Melissa S.; Ternus, Katrina; Cook, Ashley; Hildebrand, John A.; Frasier, Kaitlin E.; Martinez, Anthony; Garrison, Lance P.</t>
  </si>
  <si>
    <t>Acoustic localization, validation, and characterization of Rice's whale calls</t>
  </si>
  <si>
    <t>JOURNAL OF THE ACOUSTICAL SOCIETY OF AMERICA</t>
  </si>
  <si>
    <t>LOW-FREQUENCY VOCALIZATIONS; BALAENOPTERA-EDENI; EUBALAENA-GLACIALIS; HUMPBACK WHALE; ANTARCTIC BLUE; BRYDES WHALES; MEGAPTERA-NOVAEANGLIAE; DIRECTIONAL SONOBUOYS; SEASONAL OCCURRENCE; SOUND PRODUCTION</t>
  </si>
  <si>
    <t>The recently named Rice's whale in the Gulf of Mexico is one of the most endangered whales in the world, and improved knowledge of spatiotemporal occurrence patterns is needed to support their recovery and conservation. Passive acoustic monitoring methods for determining spatiotemporal occurrence patterns require identifying the species' call repertoire. Rice's whale call repertoire remains unvalidated though several potential call types have been identified. This study uses sonobuoys and passive acoustic tagging to validate the source of potential call types and to characterize Rice's whale calls. During concurrent visual and acoustic surveys, acoustic-directed approaches were conducted to obtain visual verifications of sources of localized sounds. Of 28 acoustic-directed approaches, 79% led to sightings of balaenopterid whales, of which 10 could be positively identified to species as Rice's whales. Long-moan calls, downsweep sequences, and tonal-sequences are attributed to Rice's whales based on these matches, while anthropogenic sources are ruled out. A potential new call type, the low-frequency downsweep sequence, is characterized from tagged Rice's whale recordings. The validation and characterization of the Rice's whale call repertoire provides foundational information needed to use passive acoustic monitoring for better understanding and conservation of these critically endangered whales.</t>
  </si>
  <si>
    <t>[Soldevilla, Melissa S.; Martinez, Anthony; Garrison, Lance P.] Natl Ocean &amp; Atmospher Adm, Southeast Fisheries Sci Ctr, 75 Virginia Beach Dr, Miami, FL 33143 USA; [Ternus, Katrina; Cook, Ashley] Univ Miami, Cooperat Inst Marine &amp; Atmospher Studies, 4600 Rickenbacker Causeway, Miami, FL 33149 USA; [Hildebrand, John A.; Frasier, Kaitlin E.] Univ Calif San Diego, Scripps Inst Oceanog, La Jolla, CA 92037 USA</t>
  </si>
  <si>
    <t>National Oceanic Atmospheric Admin (NOAA) - USA; University of Miami; University of California System; University of California San Diego; Scripps Institution of Oceanography</t>
  </si>
  <si>
    <t>Soldevilla, MS (corresponding author), Natl Ocean &amp; Atmospher Adm, Southeast Fisheries Sci Ctr, 75 Virginia Beach Dr, Miami, FL 33143 USA.</t>
  </si>
  <si>
    <t>melissa.soldevilla@noaa.gov</t>
  </si>
  <si>
    <t>Hildebrand, John A/ABA-6213-2022</t>
  </si>
  <si>
    <t>Hildebrand, John A/0000-0002-5418-9799; Soldevilla, Melissa/0000-0002-5548-7536</t>
  </si>
  <si>
    <t>NOAA RESTORE Science Program through the Gulf Coast Restoration Trust Fund [NOAA-NOS-NCCOS-2017-2004875]</t>
  </si>
  <si>
    <t>NOAA RESTORE Science Program through the Gulf Coast Restoration Trust Fund(National Oceanic Atmospheric Admin (NOAA) - USA)</t>
  </si>
  <si>
    <t>The 2018 surveys were funded under federal funding opportunity Grant No. NOAA-NOS-NCCOS-2017-2004875 from the NOAA RESTORE Science Program through the Gulf Coast Restoration Trust Fund to the NOAA Southeast Fisheries Science Center (RESTORE Science Program, 2021). The DIFAR sonobuoys were donated by the Navy's Living Marine Resources program (Anurag Kumar and Mandy Shoemaker) and Sonobuoy Liaison Working Group (Todd Mequet, Jeff Leonhard, Ed Rainey, and Theresa Yost). We thank the Gunter crew, and scientists Debra Abercrombie, Mary Applegate, Melody Baran, Kevin Barry, Rebecca Cohen, Laura Dias, Mark Grace, Savannah Labua, Heidi Malizia, Lauren Noble, Vincent Quiquempois, Gina Rappucci, Carol Roden, Errol Ronje, Carrie Sinclair, Nicolas Tucker, Nikki Vollmer, and Jesse Wicker who participated in the GU1505, GU1802, and GU1806 cruises, who made the visual sightings and identification, biopsies, tagging, and acoustic-directed approaches possible. We thank Carmen DeFazio and Kendall Falana for assistance with sonobuoy deliveries. We thank Brian Miller for troubleshooting and modifying the PAMGUARD DIFAR module code to suit our real-time sonobuoy processing needs, Catherine Berchock and Jessica Crance for loaning sonobuoy radios and equipment during the GU1505 cruise, and Amanda Debich for assisting with figures. We thank three anonymous reviewers for thoughtful suggestions that improved this manuscript. The research was authorized under Marine Mammal Research Permits 14450-03 and 14450-05 issued to the Southeast Fisheries Science Center by the NOAA Fisheries Office of Protected Resources, Permits Division. The sonobuoy recordings from the 2018 surveys are archived in the NOAA NCEI (2017) passive acoustic data collection, maintained by Carrie Wall.</t>
  </si>
  <si>
    <t>ACOUSTICAL SOC AMER AMER INST PHYSICS</t>
  </si>
  <si>
    <t>STE 1 NO 1, 2 HUNTINGTON QUADRANGLE, MELVILLE, NY 11747-4502 USA</t>
  </si>
  <si>
    <t>0001-4966</t>
  </si>
  <si>
    <t>1520-8524</t>
  </si>
  <si>
    <t>J ACOUST SOC AM</t>
  </si>
  <si>
    <t>J. Acoust. Soc. Am.</t>
  </si>
  <si>
    <t>10.1121/10.0011677</t>
  </si>
  <si>
    <t>Acoustics; Audiology &amp; Speech-Language Pathology</t>
  </si>
  <si>
    <t>2M5VS</t>
  </si>
  <si>
    <t>WOS:000817767800002</t>
  </si>
  <si>
    <t>Sun, TR; Li, XY; Hu, L; Meng, KL; Han, ZJ; Hu, MK; Li, ZY; Wen, HK; Du, FJ; Yang, SH; Gu, BZ; Yuan, XY; Li, Y; Wang, HH; Liu, L; Zhu, ZX; Huang, XH; Lei, CM; Wang, LF; Wu, XF</t>
  </si>
  <si>
    <t>Sun, Tianrui; Li, Xiaoyan; Hu, Lei; Meng, Kelai; Han, Zijian; Hu, Maokai; Li, Zhengyang; Wen, Haikun; Du, Fujia; Yang, Shihai; Gu, Bozhong; Yuan, Xiangyan; Li, Yun; Wang, Huihui; Liu, Lei; Zhu, Zhenxi; Huang, Xuehai; Lei, Chengming; Wang, Lifan; Wu, Xuefeng</t>
  </si>
  <si>
    <t>Antarctic Survey Telescope 3-3: Overview, System Performance and Preliminary Observations at Yaoan, Yunnan</t>
  </si>
  <si>
    <t>UNIVERSE</t>
  </si>
  <si>
    <t>wide-field survey; transient observations; robotic optical telescope</t>
  </si>
  <si>
    <t>DATA RELEASE; DOME; ASTRONOMY; GALAXY</t>
  </si>
  <si>
    <t>The third Antarctic Survey Telescope array instrument at Dome A in Antarctica, the AST3-3 telescope, has been in commissioning from March 2021. We deployed AST3-3 at the Yaoan astronomical station in Yunnan Province for an automatic time-domain survey and follow-up observations with an optimised observation and protection system. The telescope system of AST3-3 is similar to that of AST3-1 and AST3-2, except that it is equipped with a 14 K x 10 K QHY411 CMOS camera. AST3-3 has a field of view of 1.65 degrees x 1.23 degrees and is currently using the g band filter. During commissioning at Yaoan, AST3-3 aims to conduct an extragalactic transient survey, coupled with prompt follow-ups of opportunity targets. In this paper, we present the architecture of the AST3-3 automatic observation system. We demonstrate the data processing of observations by representatives SN 2022eyw and GRB 210420B.</t>
  </si>
  <si>
    <t>[Sun, Tianrui; Hu, Lei; Meng, Kelai; Hu, Maokai; Wang, Huihui; Liu, Lei; Zhu, Zhenxi; Huang, Xuehai; Lei, Chengming; Wu, Xuefeng] Chinese Acad Sci, Purple Mt Observ, Nanjing 210023, Peoples R China; [Sun, Tianrui; Wu, Xuefeng] Univ Sci &amp; Technol China, Sch Astron &amp; Space Sci, Hefei 230026, Peoples R China; [Li, Xiaoyan; Han, Zijian; Li, Zhengyang; Wen, Haikun; Du, Fujia; Yang, Shihai; Gu, Bozhong; Yuan, Xiangyan; Li, Yun] Chinese Acad Sci, Natl Astron Observat, Nanjing Inst Astron Opt &amp; Technol, Nanjing 210042, Peoples R China; [Wang, Lifan] Texas A&amp;M Univ, George P &amp; Cynthia Woods Mitchell Inst Fundamenta, Dept Phys &amp; Astron, 4242 TAMU, College Stn, TX 77843 USA</t>
  </si>
  <si>
    <t>Chinese Academy of Sciences; Nanjing Institute of Astronomical Optics &amp; Technology, NAOC, CAS; Purple Mountain Observatory, CAS; Chinese Academy of Sciences; University of Science &amp; Technology of China, CAS; Chinese Academy of Sciences; Nanjing Institute of Astronomical Optics &amp; Technology, NAOC, CAS; National Astronomical Observatory, CAS; Texas A&amp;M University System; Texas A&amp;M University College Station</t>
  </si>
  <si>
    <t>Wu, XF (corresponding author), Chinese Acad Sci, Purple Mt Observ, Nanjing 210023, Peoples R China.;Wu, XF (corresponding author), Univ Sci &amp; Technol China, Sch Astron &amp; Space Sci, Hefei 230026, Peoples R China.</t>
  </si>
  <si>
    <t>trsun@pmo.ac.cn; xyli@niaot.ac.cn; hulei@pmo.ac.cn; mkl@pmo.ac.cn; zjhan@niaot.ac.cn; kaihukaihu123@pmo.ac.cn; zyli@niaot.ac.cn; hkwen@niaot.ac.cn; fjdu@niaot.ac.cn; shyang@niaot.ac.cn; bzhgu@niaot.ac.cn; xyyuan@niaot.ac.cn; yli@niaot.ac.cn; wanghh@pmo.ac.cn; lliu@pmo.ac.cn; zxzhu@pmo.ac.cn; xhhuang@pmo.ac.cn; cmlei@pmo.ac.cn; lifan@tamu.edu; xfwu@pmo.ac.cn</t>
  </si>
  <si>
    <t>wang, hui/HSG-6135-2023; Yang, Shihai/J-1593-2012; wang, hao/HSE-7975-2023; wang, hui/GRS-4730-2022; wang, huimin/HDM-8421-2022; Wang, Hui/HMU-9512-2023; WANG, HUIYUAN/IXX-2427-2023; wang, jian/HRB-9588-2023; lei, liu/HTR-5486-2023; Wu, Xuefeng/G-5316-2015</t>
  </si>
  <si>
    <t>Wu, Xuefeng/0000-0002-6299-1263; hu, lei/0000-0001-7201-1938; SUN, TIANRUI/0000-0003-1166-3814; Han, Zijian/0000-0002-4614-1365; Hu, Maokai/0000-0003-3031-6105; Li, Zhengyang/0000-0003-3495-5692; Li, Yun/0000-0003-4631-5553</t>
  </si>
  <si>
    <t>National Natural Science Foundation of China [11725314, 12041306, 11903019, 12173062]; Major Science and Technology Project of Qinghai Province [2019-ZJ-A10]; Operation, Maintenance and Upgrading Fund for Astronomical Telescopes and Facility Instruments; China Scholarship Council (CSC) [202006340174]; STFC [ST/T00147X/1] Funding Source: UKRI</t>
  </si>
  <si>
    <t>National Natural Science Foundation of China(National Natural Science Foundation of China (NSFC)); Major Science and Technology Project of Qinghai Province; Operation, Maintenance and Upgrading Fund for Astronomical Telescopes and Facility Instruments; China Scholarship Council (CSC)(China Scholarship Council); STFC(UK Research &amp; Innovation (UKRI)Science &amp; Technology Facilities Council (STFC))</t>
  </si>
  <si>
    <t>This work is partially supported by the National Natural Science Foundation of China (Grant Nos. 11725314, 12041306, 11903019, 12173062), the Major Science and Technology Project of Qinghai Province (2019-ZJ-A10). The research is also partly supported by the Operation, Maintenance and Upgrading Fund for Astronomical Telescopes and Facility Instruments, budgeted by the Ministry of Finance of China (MOF) and administrated by the Chinese Academy of Sciences (CAS). Tianrui Sun thanks to the China Scholarship Council (CSC) for funding his PhD scholarship (202006340174).</t>
  </si>
  <si>
    <t>MDPI</t>
  </si>
  <si>
    <t>BASEL</t>
  </si>
  <si>
    <t>ST ALBAN-ANLAGE 66, CH-4052 BASEL, SWITZERLAND</t>
  </si>
  <si>
    <t>2218-1997</t>
  </si>
  <si>
    <t>UNIVERSE-BASEL</t>
  </si>
  <si>
    <t>Universe</t>
  </si>
  <si>
    <t>10.3390/universe8060303</t>
  </si>
  <si>
    <t>Astronomy &amp; Astrophysics; Physics, Particles &amp; Fields</t>
  </si>
  <si>
    <t>Astronomy &amp; Astrophysics; Physics</t>
  </si>
  <si>
    <t>2N2XA</t>
  </si>
  <si>
    <t>WOS:000818247300001</t>
  </si>
  <si>
    <t>Heinemann, G; Drüe, C; Makshtas, A</t>
  </si>
  <si>
    <t>Heinemann, Gunther; Druee, Clemens; Makshtas, Alexander</t>
  </si>
  <si>
    <t>A Three-Year Climatology of the Wind Field Structure at Cape Baranova (Severnaya Zemlya, Siberia) from SODAR Observations and High-Resolution Regional Climate Model Simulations during YOPP</t>
  </si>
  <si>
    <t>ATMOSPHERE</t>
  </si>
  <si>
    <t>low-level jets; SODAR; atmospheric boundary layer; topographic flow; atmospheric modeling; Laptev Sea</t>
  </si>
  <si>
    <t>LOW-LEVEL JETS; ICE PRODUCTION; NARES STRAIT; GAP FLOWS; SEA; TOPOGRAPHY; PART</t>
  </si>
  <si>
    <t>Measurements of the atmospheric boundary layer (ABL) structure were performed for three years (October 2017-August 2020) at the Russian observatory Ice Base Cape Baranova (79.280 degrees N, 101.620 degrees E) using SODAR (Sound Detection And Ranging). These measurements were part of the YOPP (Year of Polar Prediction) project Boundary layer measurements in the high Arctic (CATS_BL) within the scope of a joint German-Russian project. In addition to SODAR-derived vertical profiles of wind speed and direction, a suite of complementary measurements at the observatory was available. ABL measurements were used for verification of the regional climate model COSMO-CLM (CCLM) with a 5 km resolution for 2017-2020. The CCLM was run with nesting in ERA5 data in a forecast mode for the measurement period. SODAR measurements were mostly limited to wind speeds &lt;12 m/s since the signal was often lost for higher winds. The SODAR data showed a topographical channeling effect for the wind field in the lowest 100 m and some low-level jets (LLJs). The verification of the CCLM with near-surface data of the observatory showed good agreement for the wind and a negative bias for the 2 m temperature. The comparison with SODAR data showed a positive bias for the wind speed of about 1 m/s below 100 m, which increased to 1.5 m/s for higher levels. In contrast to the SODAR data, the CCLM data showed the frequent presence of LLJs associated with the topographic channeling in Shokalsky Strait. Although SODAR wind profiles are limited in range and have a lot of gaps, they represent a valuable data set for model verification. However, a full picture of the ABL structure and the climatology of channeling events could be obtained only with the model data. The climatological evaluation showed that the wind field at Cape Baranova was not only influenced by direct topographic channeling under conditions of southerly winds through the Shokalsky Strait but also by channeling through a mountain gap for westerly winds. LLJs were detected in 37% of all profiles and most LLJs were associated with channeling, particularly LLJs with a jet speed &gt;= 15 m/s (which were 29% of all LLJs). The analysis of the simulated 10 m wind field showed that the 99%-tile of the wind speed reached 18 m/s and clearly showed a dipole structure of channeled wind at both exits of Shokalsky Strait. The climatology of channeling events showed that this dipole structure was caused by the frequent occurrence of channeling at both exits. Channeling events lasting at least 12 h occurred on about 62 days per year at both exits of Shokalsky Strait.</t>
  </si>
  <si>
    <t>[Heinemann, Gunther; Druee, Clemens] Univ Trier, Dept Environm Meteorol, D-54286 Trier, Germany; [Makshtas, Alexander] Arctic &amp; Antarctic Res Inst AARI, Air Sea Interact Dept, St Petersburg 199397, Russia</t>
  </si>
  <si>
    <t>Universitat Trier; Arctic &amp; Antarctic Research Institute</t>
  </si>
  <si>
    <t>Heinemann, G (corresponding author), Univ Trier, Dept Environm Meteorol, D-54286 Trier, Germany.</t>
  </si>
  <si>
    <t>heinemann@uni-trier.de; druee@uni-trier.de; maksh@aari.ru</t>
  </si>
  <si>
    <t>; Makshtas, Alexander/K-7538-2016</t>
  </si>
  <si>
    <t>Drue, Clemens/0000-0002-8240-9031; Heinemann, Gunther/0000-0002-4831-9016; Makshtas, Alexander/0000-0002-9690-9133</t>
  </si>
  <si>
    <t>Federal Ministry of Education and Research (BMBF) [03F0831C]; Russian Ministry of Education and Science [RFMEFI61619X0108]; University of Trier; German Research Foundation (DFG)</t>
  </si>
  <si>
    <t>Federal Ministry of Education and Research (BMBF)(Federal Ministry of Education &amp; Research (BMBF)); Russian Ministry of Education and Science(Ministry of Education and Science, Russian Federation); University of Trier; German Research Foundation (DFG)(German Research Foundation (DFG))</t>
  </si>
  <si>
    <t>This research was funded by the Federal Ministry of Education and Research (BMBF) under grant 03F0831C in the frame of German-Russian cooperation WTZ RUS: Changing Arctic Transpolar System (CATS) and the Russian Ministry of Education and Science (project RFMEFI61619X0108). The publication was funded by the Open Access Fund of the University of Trier and the German Research Foundation (DFG) within the Open Access Publishing funding program.</t>
  </si>
  <si>
    <t>2073-4433</t>
  </si>
  <si>
    <t>ATMOSPHERE-BASEL</t>
  </si>
  <si>
    <t>Atmosphere</t>
  </si>
  <si>
    <t>10.3390/atmos13060957</t>
  </si>
  <si>
    <t>Environmental Sciences; Meteorology &amp; Atmospheric Sciences</t>
  </si>
  <si>
    <t>2N2DX</t>
  </si>
  <si>
    <t>WOS:000818197600001</t>
  </si>
  <si>
    <t>Smirnova, M; Tafintseva, V; Kohler, A; Miamin, U; Shapaval, V</t>
  </si>
  <si>
    <t>Smirnova, Margarita; Tafintseva, Valeria; Kohler, Achim; Miamin, Uladzislau; Shapaval, Volha</t>
  </si>
  <si>
    <t>Temperature- and Nutrients-Induced Phenotypic Changes of Antarctic Green Snow Bacteria Probed by High-Throughput FTIR Spectroscopy</t>
  </si>
  <si>
    <t>BIOLOGY-BASEL</t>
  </si>
  <si>
    <t>green snow bacteria; cellular chemical profile; FTIR spectroscopy; multivariate data analysis</t>
  </si>
  <si>
    <t>TRANSFORM INFRARED-SPECTROSCOPY; ALICYCLOBACILLUS STRAINS; POLYPHASIC TAXONOMY; GEN. NOV.; SEA-ICE; IDENTIFICATION; COLD; ARTHROBACTER; ENZYMES</t>
  </si>
  <si>
    <t>Simple Summary Green snow microorganisms play an important role in biogeochemical cycle and carbon sink processes and they can be a source of biotechnologically interesting cell factories. A wide temperature tolerance is a unique property of bacteria isolated from cold environments, which has received great attention in the last years. The present paper examines the growth and chemical profile flexibility for green snow bacteria exposed to different temperature and nutrient fluctuations. By applying high-throughput chemical phenotyping with FTIR spectroscopy we discovered chemical changes possessed by green snow bacteria when grown at high/low temperature and rich/minimal media. Temperature fluctuations and nutrient composition are the main parameters influencing green snow microbiome. In this study we investigated the influence of temperature and nutrient conditions on the growth and cellular chemical profile of bacteria isolated from green snow. Chemical profiling of the green snow bacteria was done by high-throughput FTIR spectroscopy combined with multivariate data analysis. We showed that temperature and nutrients fluctuations strongly affect growth ability and chemical profile of the green snow bacteria. The size of colonies for green snow bacteria grown at higher (25 degrees C) and lower (4 degrees C and 10 degrees C) than optimal temperature (18 degrees C) was smaller. All isolates grew on rich medium, and only 19 isolates were able to grow on synthetic minimal media. Lipid and mixed spectral regions showed to be phylogeny related. FTIR fingerprinting indicates that lipids are often affected by the temperature fluctuations. Growth on different media resulted in the change of the whole chemical profile, where lipids showed to be more affected than proteins and polysaccharides. Correlation analysis showed that nutrient composition is clearly strongly influencing chemical changes in the cells, followed by temperature.</t>
  </si>
  <si>
    <t>[Smirnova, Margarita; Tafintseva, Valeria; Kohler, Achim; Shapaval, Volha] Norwegian Univ Life Sci, Fac Sci &amp; Technol, N-1432 As, Norway; [Miamin, Uladzislau] Belarusian State Univ, Fac Biol, Minsk 220030, BELARUS</t>
  </si>
  <si>
    <t>Norwegian University of Life Sciences; Belarusian State University</t>
  </si>
  <si>
    <t>Smirnova, M (corresponding author), Norwegian Univ Life Sci, Fac Sci &amp; Technol, N-1432 As, Norway.</t>
  </si>
  <si>
    <t>margarita.smirnova@nmbu.no; valeria.tafintseva@mnbu.no; achim.kohler@nmbu.no; vladmiamin@mail.ru; volha.shapaval@mnbu.no</t>
  </si>
  <si>
    <t>Tafintseva, Valeria/N-8677-2014</t>
  </si>
  <si>
    <t>Tafintseva, Valeria/0000-0001-6015-0893; Shapaval, Volha/0000-0003-2674-1328; Smirnova, Margarita/0000-0001-8644-8217</t>
  </si>
  <si>
    <t>Norwegian Agency for International Cooperation and Quality Enhancement in High Education [CPEA-LT-2016/10126, CPEA-STA2019/10025]</t>
  </si>
  <si>
    <t>Norwegian Agency for International Cooperation and Quality Enhancement in High Education</t>
  </si>
  <si>
    <t>This research was funded by the Norwegian Agency for International Cooperation and Quality Enhancement in High Education, grant numbers CPEA-LT-2016/10126, CPEA-STA2019/10025.</t>
  </si>
  <si>
    <t>2079-7737</t>
  </si>
  <si>
    <t>Biology-Basel</t>
  </si>
  <si>
    <t>10.3390/biology11060890</t>
  </si>
  <si>
    <t>Biology</t>
  </si>
  <si>
    <t>Life Sciences &amp; Biomedicine - Other Topics</t>
  </si>
  <si>
    <t>2K4ZA</t>
  </si>
  <si>
    <t>WOS:000816344700001</t>
  </si>
  <si>
    <t>Ganse, B; Cucchiarini, M; Madry, H</t>
  </si>
  <si>
    <t>Ganse, Bergita; Cucchiarini, Magali; Madry, Henning</t>
  </si>
  <si>
    <t>Joint Cartilage in Long-Duration Spaceflight</t>
  </si>
  <si>
    <t>BIOMEDICINES</t>
  </si>
  <si>
    <t>astronaut; cosmonaut; taikonaut; immobilization; unloading; weightlessness; microgravity; musculoskeletal system; osteoarthritis; bed rest</t>
  </si>
  <si>
    <t>MATRIX PROTEIN COMP; BED REST; SIMULATED MICROGRAVITY; MUSCLE SIZE; RADIATION; GRAVITY; BONE; ATROPHY; HEALTH; KNEES</t>
  </si>
  <si>
    <t>This review summarizes the current literature available on joint cartilage alterations in long-duration spaceflight. Evidence from spaceflight participants is currently limited to serum biomarker data in only a few astronauts. Findings from analogue model research, such as bed rest studies, as well as data from animal and cell research in real microgravity indicate that unloading and radiation exposure are associated with joint degeneration in terms of cartilage thinning and changes in cartilage composition. It is currently unknown how much the individual cartilage regions in the different joints of the human body will be affected on long-term missions beyond the Low Earth Orbit. Given the fact that, apart from total joint replacement or joint resurfacing, currently no treatment exists for late-stage osteoarthritis, countermeasures might be needed to avoid cartilage damage during long-duration missions. To plan countermeasures, it is important to know if and how joint cartilage and the adjacent structures, such as the subchondral bone, are affected by long-term unloading, reloading, and radiation. The use of countermeasures that put either load and shear, or other stimuli on the joints, shields them from radiation or helps by supporting cartilage physiology, or by removing oxidative stress possibly help to avoid OA in later life following long-duration space missions. There is a high demand for research on the efficacy of such countermeasures to judge their suitability for their implementation in long-duration missions.</t>
  </si>
  <si>
    <t>[Ganse, Bergita] Univ Saarland, Werner Siemens Fdn Endowed Chair Innovat Implant, Clin &amp; Inst Surg, D-66421 Homburg, Germany; [Ganse, Bergita] Univ Saarland, Med Ctr, Dept Trauma Hand &amp; Reconstruct Surg, D-66421 Homburg, Germany; [Ganse, Bergita] Univ Saarland, Inst Surg, Med Ctr, D-66421 Homburg, Germany; [Cucchiarini, Magali; Madry, Henning] Univ Saarland, Med Ctr, Ctr Expt Orthopaed, D-66421 Homburg, Germany</t>
  </si>
  <si>
    <t>Saarland University; Saarland University; Saarland University; Saarland University</t>
  </si>
  <si>
    <t>Ganse, B (corresponding author), Univ Saarland, Werner Siemens Fdn Endowed Chair Innovat Implant, Clin &amp; Inst Surg, D-66421 Homburg, Germany.;Ganse, B (corresponding author), Univ Saarland, Med Ctr, Dept Trauma Hand &amp; Reconstruct Surg, D-66421 Homburg, Germany.;Ganse, B (corresponding author), Univ Saarland, Inst Surg, Med Ctr, D-66421 Homburg, Germany.</t>
  </si>
  <si>
    <t>bergita.ganse@uks.eu; magali.madry@uks.eu; henning.madry@uks.eu</t>
  </si>
  <si>
    <t>Madry, Henning/0000-0002-8612-4842; Ganse, Bergita/0000-0002-9512-2910; Cucchiarini, Magali/0000-0003-0323-8922</t>
  </si>
  <si>
    <t>European Space Agency project `Muscle and cartilage in Antarctic over-winterers [MACIA] [ESA-HRE-RS-LE-0495]</t>
  </si>
  <si>
    <t>European Space Agency project `Muscle and cartilage in Antarctic over-winterers [MACIA]</t>
  </si>
  <si>
    <t>This research was conducted in the frame of the European Space Agency project `Muscle and cartilage in Antarctic over-winterers [MACIA]' (reference code ESA-HRE-RS-LE-0495).</t>
  </si>
  <si>
    <t>2227-9059</t>
  </si>
  <si>
    <t>Biomedicines</t>
  </si>
  <si>
    <t>10.3390/biomedicines10061356</t>
  </si>
  <si>
    <t>Biochemistry &amp; Molecular Biology; Medicine, Research &amp; Experimental; Pharmacology &amp; Pharmacy</t>
  </si>
  <si>
    <t>Biochemistry &amp; Molecular Biology; Research &amp; Experimental Medicine; Pharmacology &amp; Pharmacy</t>
  </si>
  <si>
    <t>2N6CA</t>
  </si>
  <si>
    <t>WOS:000818463200001</t>
  </si>
  <si>
    <t>Brooks, CM; Ainley, DG</t>
  </si>
  <si>
    <t>Brooks, Cassandra M.; Ainley, David G.</t>
  </si>
  <si>
    <t>A Summary of United States Research and Monitoring in Support of the Ross Sea Region Marine Protected Area</t>
  </si>
  <si>
    <t>DIVERSITY-BASEL</t>
  </si>
  <si>
    <t>Antarctica; Southern Ocean; marine conservation; marine reserve; research and monitoring; CCAMLR</t>
  </si>
  <si>
    <t>MCMURDO SOUND; SOUTHERN-OCEAN; ICE; COLONY; VARIABILITY; POPULATIONS; PENGUINS; IMPACTS; BLOOM; FISH</t>
  </si>
  <si>
    <t>Due to the remarkable ecological value of the Ross Sea, the Commission for the Conservation of Antarctic Marine Living Resources (CCAMLR) adopted a large-scale Ross Sea region marine protected area (RSRMPA) in 2016. Since then, many CCAMLR Members have conducted research and monitoring in the region. In 2021, the U.S. Ross Sea science community convened a workshop to collate, synthesize, and coordinate U.S. research and monitoring in the RSRMPA. Here we present workshop results, including an extensive synthesis of the peer-reviewed literature related to the region during the period 2010-early 2021. From the synthesis, several things stand out. First, the quantity and breadth of U.S. Ross Sea research compares to a National Science Foundation Long Term Ecological Research project, especially involving McMurdo Sound. These studies are foundational in assessing effectiveness of the RSRMPA. Second, climate change and fishing remain the two factors most critical to changing ecosystem structure and function in the region. Third, studies that integrate ecological processes with physical oceanographic change continue to be needed, especially in a directed and coordinated research program, in order to effectively separate climate from fishing to explain trends among designated indicator species.</t>
  </si>
  <si>
    <t>[Brooks, Cassandra M.] Univ Colorado, Dept Environm Studies, Boulder, CO 80303 USA; [Ainley, David G.] HT Harvey &amp; Associates Ecol Consultants, Los Gatos, CA 95032 USA</t>
  </si>
  <si>
    <t>University of Colorado System; University of Colorado Boulder</t>
  </si>
  <si>
    <t>Brooks, CM (corresponding author), Univ Colorado, Dept Environm Studies, Boulder, CO 80303 USA.</t>
  </si>
  <si>
    <t>cassandra.brooks@colorado.edu; dainley@penguinscience.com</t>
  </si>
  <si>
    <t>Brooks, Cassandra/0000-0002-1397-0394</t>
  </si>
  <si>
    <t>Pew Charitable Trusts</t>
  </si>
  <si>
    <t>This workshop was supported in part by the Pew Charitable Trusts.</t>
  </si>
  <si>
    <t>1424-2818</t>
  </si>
  <si>
    <t>Diversity-Basel</t>
  </si>
  <si>
    <t>10.3390/d14060447</t>
  </si>
  <si>
    <t>2M3FH</t>
  </si>
  <si>
    <t>WOS:000817589200001</t>
  </si>
  <si>
    <t>Guzzi, A; Alvaro, MC; Danis, B; Moreau, C; Schiaparelli, S</t>
  </si>
  <si>
    <t>Guzzi, Alice; Alvaro, Maria Chiara; Danis, Bruno; Moreau, Camille; Schiaparelli, Stefano</t>
  </si>
  <si>
    <t>Not All That Glitters Is Gold: Barcoding Effort Reveals Taxonomic Incongruences in Iconic Ross Sea Sea Stars</t>
  </si>
  <si>
    <t>Southern Ocean; COI; morphology; Odontaster; Asteroidea</t>
  </si>
  <si>
    <t>TERRA-NOVA BAY; ODONTASTER-VALIDUS KOEHLER; OXIDASE SUBUNIT-I; DISTRIBUTIONAL RECORDS; SPECIES DELIMITATION; INCLUDING XYLOPLAX; MCMURDO SOUND; ASTEROIDEA; PHYLOGENY; GENUS</t>
  </si>
  <si>
    <t>The Southern Ocean is one of the most exposed regions to climate-related changes on our planet. Better understanding of the current biodiversity and past speciation events, as well as implementation of conservation actions and accurate identification of organisms to species level in this unique environment, is fundamental. In this study, two species of sea stars, Odontaster roseus Janosik &amp; Halanych, 2010 and Odontaster pearsei Janosik &amp; Halanych, 2010, are reported for the first time from the Terra Nova Bay area (TNB, Ross Sea, Antarctica) by using a combination of molecular (DNA barcoding) and morphological (coloration and skeletal features) analyses. Molecular results agree with external morphological characters of the two identified species, making occurrence in the area unequivocal. The two species were recently described from the Antarctic Peninsula, and went unnoticed for a long time in TNB, possibly having been confused with O. meridionalis (E.A. Smith, 1876), with which they share a bright yellow coloration. This latter species seems to be absent in the Ross Sea. Thus, the past literature referring to O. meridionalis in the Ross Sea should be treated with caution as these yellow morphs could be one of the two recently described species or even orange-yellow morphs of the red-colored congeneric O. validus Koehler, 1906. This work highlights the paucity of knowledge even in purportedly well-studied areas and in iconic Antarctic organisms.</t>
  </si>
  <si>
    <t>[Guzzi, Alice] Univ Siena, Dept Phys Sci Earth &amp; Environm DSFTA, I-53100 Siena, Italy; [Guzzi, Alice; Alvaro, Maria Chiara; Schiaparelli, Stefano] Univ Genoa, Sect Genoa, Italian Natl Antarctic Museum MNA, Viale Benedetto XV 5, I-16132 Genoa, Italy; [Danis, Bruno; Moreau, Camille] Univ Libre Bruxelles ULB, Marine Biol Lab, B-1050 Brussels, Belgium; [Schiaparelli, Stefano] Univ Genoa, Dept Earth Environm &amp; Life Sci DISTAV, Corso Europa 26, I-16132 Genoa, Italy</t>
  </si>
  <si>
    <t>University of Siena; University of Genoa; Universite Libre de Bruxelles; University of Genoa</t>
  </si>
  <si>
    <t>Guzzi, A (corresponding author), Univ Siena, Dept Phys Sci Earth &amp; Environm DSFTA, I-53100 Siena, Italy.;Guzzi, A (corresponding author), Univ Genoa, Sect Genoa, Italian Natl Antarctic Museum MNA, Viale Benedetto XV 5, I-16132 Genoa, Italy.</t>
  </si>
  <si>
    <t>aliceguzzi@libero.it; chiara.alvaro@yahoo.it; bruno.danis@ulb.be; mr.moreau.camille@gmail.com; stefano.schiaparelli@unige.it</t>
  </si>
  <si>
    <t>Guzzi, Alice/0000-0001-8066-9158; Danis, Bruno/0000-0002-9037-7623; Moreau, Camille/0000-0002-0981-7442; Schiaparelli, Stefano/0000-0002-0137-3605</t>
  </si>
  <si>
    <t>project BAMBi (Barcoding of Antarctic Marine Diversity) [PNRA 2010/A1.10]; TNB-CODE (Terra Nova Bay barCODing and mEtabarcoding of Antarctic organisms from marine and limno-terrestrial environments) [PNRA 16_00120]; Italian National Antarctic Scientific Commission (CSNA); Italian National Antarctic Museum (MNA)</t>
  </si>
  <si>
    <t>project BAMBi (Barcoding of Antarctic Marine Diversity); TNB-CODE (Terra Nova Bay barCODing and mEtabarcoding of Antarctic organisms from marine and limno-terrestrial environments); Italian National Antarctic Scientific Commission (CSNA); Italian National Antarctic Museum (MNA)</t>
  </si>
  <si>
    <t>This research was funded by the project BAMBi (Barcoding of Antarctic Marine Diversity; PNRA 2010/A1.10; PI Stefano Schiaparelli) and TNB-CODE (Terra Nova Bay barCODing and mEtabarcoding of Antarctic organisms from marine and limno-terrestrial environments; PNRA 16_00120; PI Stefano Schiaparelli). The Italian National Antarctic Museum (MNA)-Genoa section played an essential cooperation role with the projects funded for biological specimen repository and outreach activity. Authors are grateful to the Italian National Antarctic Scientific Commission (CSNA) for the endorsement of this initiative and to the Italian National Antarctic Museum (MNA) for the financial support.</t>
  </si>
  <si>
    <t>10.3390/d14060457</t>
  </si>
  <si>
    <t>2M3OC</t>
  </si>
  <si>
    <t>WOS:000817612100001</t>
  </si>
  <si>
    <t>Alcamán-Arias, ME; Cifuentes-Anticevic, J; Castillo-Inaipil, W; Farías, L; Sanhueza, C; Fernández-Gómez, B; Verdugo, J; Abarzua, L; Ridley, C; Tamayo-Leiva, J; Díez, B</t>
  </si>
  <si>
    <t>Alcaman-Arias, Maria E.; Cifuentes-Anticevic, Jeronimo; Castillo-Inaipil, Wilson; Farias, Laura; Sanhueza, Cynthia; Fernandez-Gomez, Beatriz; Verdugo, Josefa; Abarzua, Leslie; Ridley, Christina; Tamayo-Leiva, Javier; Diez, Beatriz</t>
  </si>
  <si>
    <t>Dark Diazotrophy during the Late Summer in Surface Waters of Chile Bay, West Antarctic Peninsula</t>
  </si>
  <si>
    <t>MICROORGANISMS</t>
  </si>
  <si>
    <t>nitrogen fixation; heterotrophic diazotrophy; WAP/new production; diazotrophy</t>
  </si>
  <si>
    <t>HETEROTROPHIC NITROGEN-FIXATION; N-2 FIXATION; DINITROGEN-FIXATION; DEFICIENT WATERS; NIFH GENES; MARINE; DIVERSITY; OCEAN; METHANOTROPH; TRICHODESMIUM</t>
  </si>
  <si>
    <t>Although crucial for the addition of new nitrogen in marine ecosystems, dinitrogen (N-2) fixation remains an understudied process, especially under dark conditions and in polar coastal areas, such as the West Antarctic Peninsula (WAP). New measurements of light and dark N-2 fixation rates in parallel with carbon (C) fixation rates, as well as analysis of the genetic marker nifH for diazotrophic organisms, were conducted during the late summer in the coastal waters of Chile Bay, South Shetland Islands, WAP. During six late summers (February 2013 to 2019), Chile Bay was characterized by high NO3- concentrations (similar to 20 mu M) and an NH4+ content that remained stable near 0.5 mu M. The N:P ratio was approximately 14.1, thus close to that of the Redfield ratio (16:1). The presence of Cluster I and Cluster III nifH gene sequences closely related to Alpha-, Delta- and, to a lesser extent, Gammaproteobacteria, suggests that chemosynthetic and heterotrophic bacteria are primarily responsible for N-2 fixation in the bay. Photosynthetic carbon assimilation ranged from 51.18 to 1471 nmol C L-1 d(-1), while dark chemosynthesis ranged from 9.24 to 805 nmol C L-1 d(-1). N2 fixation rates were higher under dark conditions (up to 45.40 nmol N L-1 d(-1)) than under light conditions (up to 7.70 nmol N L-1 d(-1)), possibly contributing more than 37% to new nitrogen-based production (&gt;2.5 g N m(-2) y(-1)). Of all the environmental factors measured, only PO43--exhibited a significant correlation with C and N-2 rates, being negatively correlated (p &lt; 0.05) with dark chemosynthesis and N-2 fixation under the light condition, revealing the importance of the N:P ratio for these processes in Chile Bay. This significant contribution of N-2 fixation expands the ubiquity and biological potential of these marine chemosynthetic diazotrophs. As such, this process should be considered along with the entire N cycle when further reviewing highly productive Antarctic coastal waters and the diazotrophic potential of the global marine ecosystem.</t>
  </si>
  <si>
    <t>[Alcaman-Arias, Maria E.; Farias, Laura; Abarzua, Leslie] Univ Concepcion, Dept Oceanog, Concepcion 4030000, Chile; [Alcaman-Arias, Maria E.; Farias, Laura; Ridley, Christina; Tamayo-Leiva, Javier; Diez, Beatriz] Univ Chile, Ctr Climate &amp; Resilience Res CR 2, Blanco Encalada 2002, Santiago 8320000, Chile; [Alcaman-Arias, Maria E.] Univ Espiritu Santo, Escuela Med, Guayaquil 0901952, Ecuador; [Cifuentes-Anticevic, Jeronimo; Castillo-Inaipil, Wilson; Sanhueza, Cynthia; Fernandez-Gomez, Beatriz; Ridley, Christina; Tamayo-Leiva, Javier; Diez, Beatriz] Pontificia Univ Catolica Chile, Dept Genet Mol &amp; Microbiol, Santiago 8331150, Chile; [Fernandez-Gomez, Beatriz] Univ Las Palmas de Gran Canaria ULPGC, Inst Oceanog &amp; Cambio Global IOCAG, Las Palmas Gran Canaria 35001, Spain; [Verdugo, Josefa] Helmholtz Ctr Polar &amp; Marine Res, Alfred Wegener Inst, D-27570 Bremerhaven, Germany; [Tamayo-Leiva, Javier; Diez, Beatriz] Univ Chile, Ctr Genome Regulat CRG, Blanco Encalada 2085, Santiago 8320000, Chile</t>
  </si>
  <si>
    <t>Universidad de Concepcion; Universidad de Chile; Universidad de Especialidades Espiritu Santo; Pontificia Universidad Catolica de Chile; Universidad de Las Palmas de Gran Canaria; Helmholtz Association; Alfred Wegener Institute, Helmholtz Centre for Polar &amp; Marine Research; Universidad de Chile</t>
  </si>
  <si>
    <t>Díez, B (corresponding author), Univ Chile, Ctr Climate &amp; Resilience Res CR 2, Blanco Encalada 2002, Santiago 8320000, Chile.;Díez, B (corresponding author), Pontificia Univ Catolica Chile, Dept Genet Mol &amp; Microbiol, Santiago 8331150, Chile.;Díez, B (corresponding author), Univ Chile, Ctr Genome Regulat CRG, Blanco Encalada 2085, Santiago 8320000, Chile.</t>
  </si>
  <si>
    <t>mealcaman@uc.cl; jeronimo.cifuentes@ug.uchile.cl; wilson.castillo@ug.uchile.cl; laura.farias@udec.cl; ctsanhueza@gmail.com; beatriz.fernandez@ulpgc.es; maria.josefa.verdugo@awi.de; leslie.abarzua.ortiz@gmail.com; christina.m.ridley@gmail.com; javierignacio.tamayo@gmail.com; bdiez@bio.puc.cl</t>
  </si>
  <si>
    <t>Fernández-Gómez, Beatriz/HKO-2776-2023; Díez, Beatriz/AAG-2244-2021; Verdugo, Josefa/HKE-6338-2023; Fernandez Gomez, Beatriz/E-8715-2019</t>
  </si>
  <si>
    <t>Díez, Beatriz/0000-0002-9371-8083; Tamayo Leiva, Javier Ignacio/0000-0003-2610-6957; Fernandez Gomez, Beatriz/0000-0002-0886-2460; Alcaman-Arias, Maria Estrella/0000-0003-2464-9480; Verdugo, Josefa/0000-0003-0121-1582; Ridley, Christina M/0000-0003-4632-8055; Cifuentes-Anticevic, Jeronimo/0000-0002-8099-4994</t>
  </si>
  <si>
    <t>Agencia Nacional de Investigacion y Desarrollo de Chile [ANID/FONDAP/15110009, ANID/FONDAP/15200002, ANID/DPI/20140044, ANID/FONDECYT/INACH 3170807]; Instituto Antartico Chileno [INACH RT_15-10, INACH RT_04-19]</t>
  </si>
  <si>
    <t>Agencia Nacional de Investigacion y Desarrollo de Chile; Instituto Antartico Chileno</t>
  </si>
  <si>
    <t>y This research was funded by Agencia Nacional de Investigacion y Desarrollo de Chile (ANID/FONDAP/15110009; ANID/FONDAP/15200002; ANID/DPI/20140044; ANID/FONDECYT/INACH 3170807) and Instituto Antartico Chileno (INACH RT_15-10 and INACH RT_04-19).</t>
  </si>
  <si>
    <t>2076-2607</t>
  </si>
  <si>
    <t>Microorganisms</t>
  </si>
  <si>
    <t>10.3390/microorganisms10061140</t>
  </si>
  <si>
    <t>2N3SJ</t>
  </si>
  <si>
    <t>WOS:000818302800001</t>
  </si>
  <si>
    <t>Karasova, D; Faldynova, M; Matiasovicova, J; Sebkova, A; Crhanova, M; Kubasova, T; Seidlerova, Z; Prikrylova, H; Volf, J; Zeman, M; Babak, V; Juricova, H; Rajova, J; Vlasatikova, L; Rysavka, P; Rychlik, I</t>
  </si>
  <si>
    <t>Karasova, Daniela; Faldynova, Marcela; Matiasovicova, Jitka; Sebkova, Alena; Crhanova, Magdalena; Kubasova, Tereza; Seidlerova, Zuzana; Prikrylova, Hana; Volf, Jiri; Zeman, Michal; Babak, Vladimir; Juricova, Helena; Rajova, Jana; Vlasatikova, Lenka; Rysavka, Petr; Rychlik, Ivan</t>
  </si>
  <si>
    <t>Host Species Adaptation of Obligate Gut Anaerobes Is Dependent on Their Environmental Survival</t>
  </si>
  <si>
    <t>chicken; pig; human; penguin; gut microbiota; host adaptation; endospore; environment; spread</t>
  </si>
  <si>
    <t>MICROBIOTA; TRANSMISSION; REVEALS; DONOR</t>
  </si>
  <si>
    <t>The gut microbiota of warm-blooded vertebrates consists of bacterial species belonging to two main phyla; Firmicutes and Bacteroidetes. However, does it mean that the same bacterial species are found in humans and chickens? Here we show that the ability to survive in an aerobic environment is central for host species adaptation. Known bacterial species commonly found in humans, pigs, chickens and Antarctic gentoo penguins are those capable of extended survival under aerobic conditions, i.e., either spore-forming, aerotolerant or facultatively anaerobic bacteria. Such bacteria are ubiquitously distributed in the environment, which acts as the source of infection with similar probability in humans, pigs, chickens, penguins and likely any other warm-blooded omnivorous hosts. On the other hand, gut anaerobes with no specific adaptation for survival in an aerobic environment exhibit host adaptation. This is associated with their vertical transmission from mothers to offspring and long-term colonisation after administration of a single dose. This knowledge influences the design of next-generation probiotics. The origin of aerotolerant or spore-forming probiotic strains may not be that important. On the other hand, if Bacteroidetes and other host-adapted species are used as future probiotics, host preference should be considered.</t>
  </si>
  <si>
    <t>[Karasova, Daniela; Faldynova, Marcela; Matiasovicova, Jitka; Sebkova, Alena; Crhanova, Magdalena; Kubasova, Tereza; Seidlerova, Zuzana; Prikrylova, Hana; Volf, Jiri; Zeman, Michal; Babak, Vladimir; Juricova, Helena; Rajova, Jana; Vlasatikova, Lenka; Rychlik, Ivan] Vet Res Inst, Brno 62100, Czech Republic; [Zeman, Michal] Masaryk Univ, Fac Sci, Dept Expt Biol, Czech Collect Microorganisms, Brno 62500, Czech Republic; [Rysavka, Petr] Medi Pharma Vis Ltd, Brno 61200, Czech Republic</t>
  </si>
  <si>
    <t>Czech Veterinary Research Institute; Masaryk University Brno</t>
  </si>
  <si>
    <t>Rychlik, I (corresponding author), Vet Res Inst, Brno 62100, Czech Republic.</t>
  </si>
  <si>
    <t>karasova@vri.cz; faldynova@vri.cz; matiasovicova@vri.cz; asebkova@vri.cz; crhanova@vri.cz; kubasova@vri.cz; seidlerova@vri.cz; prikrylova@vri.cz; volf@vri.cz; zeman@vri.cz; babak@vri.cz; juricova@vri.cz; rajova@vri.cz; vlasatikova@vri.cz; rysavka.petr@seznam.cz; rychlik@vri.cz</t>
  </si>
  <si>
    <t>, Ivan/GPS-9674-2022</t>
  </si>
  <si>
    <t>, Ivan/0000-0001-7995-6483; Karasova, Daniela/0000-0003-3044-2187; Zeman, Michal/0000-0002-0714-9831; Crhanova, Magdalena/0000-0001-9537-8548; Babak, Vladimir/0000-0002-0826-1075</t>
  </si>
  <si>
    <t>Czech Ministry of Agriculture [RVO0518]; Ministry of Education, Youth and Sports of the Czech Republic [CZ.02.1.01/0.0/0.0/16_025/0007404, LM2015078]</t>
  </si>
  <si>
    <t>Czech Ministry of Agriculture(Ministry of Agriculture, Czech Republic); Ministry of Education, Youth and Sports of the Czech Republic(Ministry of Education, Youth &amp; Sports - Czech Republic)</t>
  </si>
  <si>
    <t>This work has been supported by project RVO0518 of the Czech Ministry of Agriculture, and projects CZ.02.1.01/0.0/0.0/16_025/0007404 and LM2015078 the Ministry of Education, Youth and Sports of the Czech Republic.</t>
  </si>
  <si>
    <t>10.3390/microorganisms10061085</t>
  </si>
  <si>
    <t>2M5GK</t>
  </si>
  <si>
    <t>WOS:000817727300001</t>
  </si>
  <si>
    <t>Dziembowski, M; Bialik, RJ</t>
  </si>
  <si>
    <t>Dziembowski, Michal; Bialik, Robert Jozef</t>
  </si>
  <si>
    <t>The Remotely and Directly Obtained Results of Glaciological Studies on King George Island: A Review</t>
  </si>
  <si>
    <t>REMOTE SENSING</t>
  </si>
  <si>
    <t>glacier; icefield; snow; cryosphere; mass balance; modelling; South Shetland Islands; King George Island; field measurements; ground-penetrating radar</t>
  </si>
  <si>
    <t>SOUTH-SHETLAND ISLANDS; SURFACE-ENERGY BALANCE; ICE CAP; ANTARCTIC PENINSULA; MASS-BALANCE; GLACIER RETREAT; CLIMATIC VARIATIONS; VELOCITY; RADAR; GEOMETRY</t>
  </si>
  <si>
    <t>Climate warming has become indisputable, and it is now crucial to increase our understanding of both the mechanisms and consequences of climate change. The Antarctic region is subjected to substantial changes, the trends of which have been recognized for several decades. In the South Shetland Islands, the most visible effect of climate change is progressive deglaciation. The following review focuses on past glaciological studies conducted on King George Island (KGI). The results of collected cryosphere element observations are discussed herein in a comprehensive manner. Our analysis showed that there is a lack of temporal as well as spatial continuity for studies on the basic mass balance parameters on the entire KGI ice dome and only Bellingshausen Dome has a relatively long history of data collection. The methodologies of past work, which have improved over time, are also discussed. When studying the glacier front fluctuations, the authors most frequently use a 1956 aerial photography as reference ice coverage. This was the case for seven papers, while other sources are seldomly mentioned. In other papers as many as 41 other sources were used, and therefore comparison to photos taken up to 60 years later can give misleading trends, as small glaciers may have both advanced and retreated in that time. In the case of glacial velocities there is also an apparent lack of consistency, as different glaciers were indicated as the fastest on KGI. Only Lange, Anna, Crystal, Eldred, and eastern part of Usher glaciers were determined by more than one author as the fastest. Additionally, there are gaps in the KGI Ground Penetrating Radar (GPR) survey area, which includes three ice domes: the Warszawa Icefield, the Krakow Icefield, and eastern part of King George Island. Ideas for further work on the topic are also suggested, allowing for easier access to data and thus contributing to a better understanding of glacier development mechanisms.</t>
  </si>
  <si>
    <t>[Dziembowski, Michal; Bialik, Robert Jozef] Polish Acad Sci, Inst Biochem &amp; Biophys, PL-02106 Warsaw, Poland</t>
  </si>
  <si>
    <t>Polish Academy of Sciences; Institute of Biochemistry &amp; Biophysics - Polish Academy of Sciences</t>
  </si>
  <si>
    <t>Bialik, RJ (corresponding author), Polish Acad Sci, Inst Biochem &amp; Biophys, PL-02106 Warsaw, Poland.</t>
  </si>
  <si>
    <t>michal.dziembowski@ibb.waw.pl; rbialik@ibb.waw.pl</t>
  </si>
  <si>
    <t>Dziembowski, Michal/0000-0002-7880-3300; Bialik, Robert/0000-0002-0254-6352</t>
  </si>
  <si>
    <t>National Science Centre, Poland [2017/25/B/ST10/02092]; Ministry of Science and Higher Education of Poland [6812/IA/SP/2018]</t>
  </si>
  <si>
    <t>National Science Centre, Poland(National Science Centre, Poland); Ministry of Science and Higher Education of Poland(Ministry of Science and Higher Education, Poland)</t>
  </si>
  <si>
    <t>The National Science Centre, Poland, grant no. 2017/25/B/ST10/02092 `Quantitative Assessment of Sediment Transport from Glaciers of South Shetland Islands on The Basis of Selected Remote Sensing Methods' supported this work. This research also received funding from the Ministry of Science and Higher Education of Poland, grant no. 6812/IA/SP/2018.</t>
  </si>
  <si>
    <t>2072-4292</t>
  </si>
  <si>
    <t>REMOTE SENS-BASEL</t>
  </si>
  <si>
    <t>Remote Sens.</t>
  </si>
  <si>
    <t>10.3390/rs14122736</t>
  </si>
  <si>
    <t>Environmental Sciences; Geosciences, Multidisciplinary; Remote Sensing; Imaging Science &amp; Photographic Technology</t>
  </si>
  <si>
    <t>Environmental Sciences &amp; Ecology; Geology; Remote Sensing; Imaging Science &amp; Photographic Technology</t>
  </si>
  <si>
    <t>2N4XE</t>
  </si>
  <si>
    <t>gold, Green Accepted</t>
  </si>
  <si>
    <t>WOS:000818383000001</t>
  </si>
  <si>
    <t>González-Pérez, A; Alvarez-Esteban, R; Penas, A; del Río, S</t>
  </si>
  <si>
    <t>Gonzalez-Perez, Alejandro; Alvarez-Esteban, Ramon; Penas, Angel; del Rio, Sara</t>
  </si>
  <si>
    <t>Analysis of Recent Mean Temperature Trends and Relationships with Teleconnection Patterns in California (US)</t>
  </si>
  <si>
    <t>APPLIED SCIENCES-BASEL</t>
  </si>
  <si>
    <t>California; global warming; teleconnection patterns; temperature trends</t>
  </si>
  <si>
    <t>CLIMATE-CHANGE; PRECIPITATION EXTREMES; ATMOSPHERIC RIVERS; MANN-KENDALL; NORTH; VARIABILITY; OSCILLATION; DROUGHT; IMPACTS; MODULATION</t>
  </si>
  <si>
    <t>The global mean surface temperature has risen since the late 19th century. However, temperatures do not increase uniformly in space or time and few studies have focused on that peculiarity in the State of California. The aim of this research is to deepen our knowledge of the evolution of mean temperatures in the State of California on monthly, seasonal and annual time scales. The period under study comprises 40 years (from 1980 to 2019) and data from 170 meteorological stations were analysed. Statistical techniques, including Sen's slope and Mann-Kendall, were applied to each of the stations to establish the sign and slopes of trends and their statistical significance. The spatial distribution of monthly, seasonal and annual trends was analysed using the Empirical Bayesian Kriging (EBK) geostatistical technique. The trend analysis was also carried out for the State as a whole. This research also studies the relationships between mean temperatures and nine teleconnection patterns with influence on the Californian climate. To find out these links, a correlation analysis was performed using the partial non-parametric Spearman Test at a 95% confidence level. The study reveals a positive trend of +0.01 degrees C year(-1) for the whole state and that Southern California is getting warmer than Northern California for the study period. On a seasonal scale, the local temperature increased significantly both in autumn and summer (+0.06 degrees C and +0.035 degrees C year(-1) respectively) from 1980 to 2019. On a monthly scale, the largest increases are found in November at +0.04 degrees C year(-1). Temperatures in February, March, April and May are highly correlated with most of the teleconnection patterns studied in the State of California. West Pacific Oscillation (WPO) teleconnection pattern has shown the highest negative correlation. However, The Pacific Decadal Oscillation (PDO) has a positive correlation with mean temperatures in coastal areas such as Los Angeles, San Francisco and Monterey. Moreover, Antarctic Oscillation (AAO) and Arctic Oscillation patterns (AO) are unlikely to show great influence on average temperature trends in California.</t>
  </si>
  <si>
    <t>[Gonzalez-Perez, Alejandro] Univ Leon, Fac Biol &amp; Environm Sci, Dept Biodivers &amp; Environm Management, Bot Area, Campus Vegazana S-N, Leon 24071, Spain; [Alvarez-Esteban, Ramon] Univ Leon, Fac Econ &amp; Business, Dept Econ &amp; Stat, Stat &amp; Operat Res Area, Campus Vegazana S-N, Leon 24071, Spain; [Penas, Angel; del Rio, Sara] Univ Leon, Fac Biol &amp; Environm Sci, Mt Livestock Inst CSIC UNILEON, Dept Biodivers &amp; Environm Management,Bot Area, Campus Vegazana S-N, Leon 24071, Spain</t>
  </si>
  <si>
    <t>Universidad de Leon; Universidad de Leon; Universidad de Leon</t>
  </si>
  <si>
    <t>González-Pérez, A (corresponding author), Univ Leon, Fac Biol &amp; Environm Sci, Dept Biodivers &amp; Environm Management, Bot Area, Campus Vegazana S-N, Leon 24071, Spain.</t>
  </si>
  <si>
    <t>agonp@unileon.es; ramon.alvarez@unileon.es; apenm@unileon.es; sriog@unileon.es</t>
  </si>
  <si>
    <t>del Río, Sara/B-4023-2011; Alvarez-Esteban, Ramón/GYV-2505-2022</t>
  </si>
  <si>
    <t>del Río, Sara/0000-0002-0733-2150; Alvarez-Esteban, Ramón/0000-0002-4751-2797; Gonzalez Perez, Alejandro/0000-0001-6431-4226</t>
  </si>
  <si>
    <t>European Regional Development Fund (ERDF); Junta de Castilla y Leon (JCyL); BDNS [487971]</t>
  </si>
  <si>
    <t>European Regional Development Fund (ERDF)(European Union (EU)); Junta de Castilla y Leon (JCyL)(Junta de Castilla y Leon); BDNS</t>
  </si>
  <si>
    <t>This work was supported by the European Regional Development Fund (ERDF) and the Junta de Castilla y Leon (JCyL). The grant was awarded to the first author and included in a Fellowship Scheme for a Doctoral Training Program: Orden de 12 de diciembre de 2019 de la Consejeria de Educacion (extracto publicado en el B.O.C. y L. n.degrees 245, de 23 de diciembre). BDNS (Ident.): 487971.</t>
  </si>
  <si>
    <t>2076-3417</t>
  </si>
  <si>
    <t>APPL SCI-BASEL</t>
  </si>
  <si>
    <t>Appl. Sci.-Basel</t>
  </si>
  <si>
    <t>10.3390/app12125831</t>
  </si>
  <si>
    <t>Chemistry, Multidisciplinary; Engineering, Multidisciplinary; Materials Science, Multidisciplinary; Physics, Applied</t>
  </si>
  <si>
    <t>Chemistry; Engineering; Materials Science; Physics</t>
  </si>
  <si>
    <t>2K3HY</t>
  </si>
  <si>
    <t>WOS:000816232600001</t>
  </si>
  <si>
    <t>Granata, A; Weldrick, CK; Bergamasco, A; Saggiomo, M; Grillo, M; Bergamasco, A; Swadling, KM; Guglielmo, L</t>
  </si>
  <si>
    <t>Granata, Antonia; Weldrick, Christine K.; Bergamasco, Andrea; Saggiomo, Maria; Grillo, Marco; Bergamasco, Alessandro; Swadling, Kerrie M.; Guglielmo, Letterio</t>
  </si>
  <si>
    <t>Diversity in Zooplankton and Sympagic Biota during a Period of Rapid Sea Ice Change in Terra Nova Bay, Ross Sea, Antarctica</t>
  </si>
  <si>
    <t>diatoms; copepods; spring sea ice; multinet; Southern Ocean</t>
  </si>
  <si>
    <t>PARTICULATE ORGANIC-MATTER; WESTERN WEDDELL SEA; LIFE-CYCLE STRATEGY; DRESCHERIELLA-GLACIALIS; PACK-ICE; PHYTOPLANKTON ASSEMBLAGES; PARALABIDOCERA-ANTARCTICA; STEPHOS-LONGIPES; PLATELET LAYERS; PARTICLE-FLUX</t>
  </si>
  <si>
    <t>Sea ice is a major driver of biological activity in the Southern Ocean. Its cycle of growth and decay determines life history traits; food web interactions; and populations of many small, ice-associated organisms. The regional ocean modelling system (ROMS) for sea ice in the western Ross Sea has highlighted two modes of sea ice duration: fast-melting years when water temperature warms quickly in early spring and sea ice melts out in mid-November, and slow-melting years when water temperature remains below 0 degrees C and sea ice persists through most of December. Ice-associated and pelagic biota in Terra Nova Bay, Ross Sea, were studied intensively over a 3-week period in November 1997 as part of the PIPEX (Pack-Ice Plankton Experiment) campaign. The sea ice environment in November 1997 exhibited features of a slow-melting year, and the ice cover measured 0.65 m in late November. Phytoplankton abundance and diversity increased in the second half of November, concomitant with warming air and water temperatures, melting sea ice and progressive deepening of a still weak pycnocline. Water column phytoplankton was dominated by planktonic species, both in abundance and diversity, although there was also some input from benthic species. Pelagic zooplankton were typical of a nearshore Antarctic system, with the cyclopoid copepod Oithona similis representing at least 90% of total abundance. There was an increase in numbers coinciding with the period of ice thinning. Conversely, ice-associated species such as the calanoid copepods Stephos longipes and Paralabidocera antarctica decreased over time and were found in low numbers once the water temperatures increased. Stratified sampling under the sea ice, to 20 m, revealed that P. antarctica was mainly found in close association with the under-ice surface, while S. longipes, O. similis, and the calanoid copepod Metridia gerlachei were dispersed more evenly.</t>
  </si>
  <si>
    <t>[Granata, Antonia] Univ Messina, Dept Chem Biol Pharmaceut &amp; Environm Sci ChiBioFa, I-98166 Messina, Italy; [Weldrick, Christine K.; Swadling, Kerrie M.] Univ Tasmania, Australian Antarctic Program Partnership, Hobart, Tas 7001, Australia; [Bergamasco, Andrea; Bergamasco, Alessandro] CNR, ISMAR, Natl Res Council, Inst Marine Sci,Sect Venice, I-30122 Venice, Italy; [Saggiomo, Maria; Guglielmo, Letterio] Staz Zool Anton Dohrn, I-80121 Naples, Italy; [Grillo, Marco] Univ Siena, Dept Phys Sci Earth &amp; Environm DSFTA, I-53100 Siena, Italy; [Grillo, Marco] Univ Genoa, Italian Natl Antarctic Museum, MNA, Sect Genoa, I-16132 Genoa, Italy; [Swadling, Kerrie M.] Univ Tasmania, Inst Marine &amp; Antarctic Studies, Hobart, Tas 7001, Australia</t>
  </si>
  <si>
    <t>University of Messina; University of Tasmania; Consiglio Nazionale delle Ricerche (CNR); Istituto di Scienze Marine (ISMAR-CNR); Stazione Zoologica Anton Dohrn di Napoli; University of Siena; University of Genoa; University of Tasmania</t>
  </si>
  <si>
    <t>Bergamasco, A (corresponding author), CNR, ISMAR, Natl Res Council, Inst Marine Sci,Sect Venice, I-30122 Venice, Italy.</t>
  </si>
  <si>
    <t>antonia.granata@unime.it; christine.weldrick@utas.edu.au; andrea.bergamasco.cnr@gmail.com; maria.saggiomo@szn.it; grillomarco94@gmail.com; alessandro.bergamasco@ve.ismar.cnr.it; k.swadling@utas.edu.au; letterio.guglielmo@szn.it</t>
  </si>
  <si>
    <t>Bergamasco, Alessandro/ABB-5648-2021; Weldrick, Christine/N-2617-2017</t>
  </si>
  <si>
    <t>Bergamasco, Alessandro/0000-0003-3138-8418; Weldrick, Christine/0000-0003-1099-438X; GRANATA, Antonia/0000-0001-7016-6418; Saggiomo, Maria/0000-0001-5794-0050; Grillo, Marco/0000-0002-3188-9012</t>
  </si>
  <si>
    <t>Italian National Programme for Antarctic Research (PNRA)</t>
  </si>
  <si>
    <t>This study was funded by the Italian National Programme for Antarctic Research (PNRA) and has been carried out by the Project 2.b.3 Ecology and Biogeochemistry of the Southern Ocean Matter and Energy Fluxes in the Cryosystems (led by Prof. L. Guglielmo) in the framework of the PIPEX and PIED activities.</t>
  </si>
  <si>
    <t>10.3390/d14060425</t>
  </si>
  <si>
    <t>2M1GZ</t>
  </si>
  <si>
    <t>WOS:000817458400001</t>
  </si>
  <si>
    <t>Olmastroni, S; Ferretti, F; Burrini, L; Ademollo, N; Fattorini, N</t>
  </si>
  <si>
    <t>Olmastroni, Silvia; Ferretti, Francesco; Burrini, Lucia; Ademollo, Nicoletta; Fattorini, Niccolo</t>
  </si>
  <si>
    <t>Breeding Ecology of Adelie Penguins in Mid Victoria Land, Ross Sea Antarctica</t>
  </si>
  <si>
    <t>Adelie penguin; Antarctic species; breeding ecology; hatching success; breeding success; colony habitat; marine protected area; nest quality; seabirds; skua</t>
  </si>
  <si>
    <t>EDMONSON-POINT; CLIMATE-CHANGE; SUCCESS; ICE; VARIABILITY; POPULATIONS; COLONY; PATTERNS; SURVIVAL; SEABIRDS</t>
  </si>
  <si>
    <t>Identifying the factors influencing seabird breeding output is critical for their conservation because breeding performance in turn influences population dynamics. This is particularly important in sensitive environments, where ecological disturbances can lead to changes in population trends of extremely specialized species in a relatively short time. Here, we have reported on the breeding output of the Adelie penguin Pygoscelis adeliae in three colonies of the Mid Victoria Land, Ross Sea (Antarctica), in 2017/2018-2018/2019 to provide scientific information for the Ross Sea Marine Protected Area research and management plan. Breeding chronology, breeding success and chick growth did not differ between study colonies and were in line with data reported for other penguin colonies across Antarctica. Penguin breeding success was higher in central than in peripheral nests and decreased with an increasing number of neighboring nesting skuas; conversely, at-nest weather conditions experienced by chicks did not seem to play a role. Our findings suggest that the quality of the nesting environment seems more important than the general condition of the colony in determining breeding output. Therefore, along with marine habitat characteristics for the planning of management and conservation of seabirds, the importance of the terrestrial environment must be also duly considered.</t>
  </si>
  <si>
    <t>[Olmastroni, Silvia] Museo Nazl Antartide F Ippolito, Via Laterino 8, I-53100 Siena, Italy; [Olmastroni, Silvia] Univ Siena, Dept Phys Earth &amp; Environm Sci, Via PA Mattioli 4, I-53100 Siena, Italy; [Ferretti, Francesco; Burrini, Lucia; Fattorini, Niccolo] Univ Siena, Dept Life Sci, Via PA Mattioli 4, I-53100 Siena, Italy; [Ademollo, Nicoletta] Natl Res Council ISP CNR, Inst Polar Sci, Str Prov 35d,Km 0-7, I-00010 Rome, Italy</t>
  </si>
  <si>
    <t>University of Siena; University of Siena; Consiglio Nazionale delle Ricerche (CNR); Istituto di Scienze Polari (ISP-CNR)</t>
  </si>
  <si>
    <t>Olmastroni, S (corresponding author), Museo Nazl Antartide F Ippolito, Via Laterino 8, I-53100 Siena, Italy.;Olmastroni, S (corresponding author), Univ Siena, Dept Phys Earth &amp; Environm Sci, Via PA Mattioli 4, I-53100 Siena, Italy.</t>
  </si>
  <si>
    <t>silvia.olmastroni@unisi.it; francesco.ferretti@unisi.it; lucia.burrini@unisi.it; nicoletta.ademollo@cnr.it; niccolo.fattorini@gmail.com</t>
  </si>
  <si>
    <t>Fattorini, Niccolò/AAJ-9976-2020; OLMASTRONI, Silvia/G-6267-2018</t>
  </si>
  <si>
    <t>Fattorini, Niccolò/0000-0001-8022-7464; Ademollo, nicoletta/0000-0002-1875-6530; Ferretti, Francesco/0000-0002-0414-1615; OLMASTRONI, Silvia/0000-0002-9319-9914</t>
  </si>
  <si>
    <t>Ministry of University and Research (MUR); National Research Council Italy (CNR) through Programma Nazionale di Ricerche in Antartide (PNRA) [PNRA2016_0004 PenguinERA]; ENEA PNRA; Italian National Antarctic Museum (MNA)</t>
  </si>
  <si>
    <t>Ministry of University and Research (MUR)(Ministry of Education, Universities and Research (MIUR)); National Research Council Italy (CNR) through Programma Nazionale di Ricerche in Antartide (PNRA); ENEA PNRA; Italian National Antarctic Museum (MNA)</t>
  </si>
  <si>
    <t>This research was funded by Ministry of University and Research (MUR) and National Research Council Italy (CNR) through Programma Nazionale di Ricerche in Antartide (PNRA) with project #PNRA2016_0004 PenguinERA. The logistic support was funded by ENEA PNRA. Authors are grateful to the Italian National Antarctic Scientific Commission (CSNA) and the PNRA for the endorsement of the Special Issue initiative and to the Italian National Antarctic Museum (MNA) for the financial support.</t>
  </si>
  <si>
    <t>10.3390/d14060429</t>
  </si>
  <si>
    <t>2K5CB</t>
  </si>
  <si>
    <t>WOS:000816352600001</t>
  </si>
  <si>
    <t>Androsiuk, P; Paukszto, L; Jastrzebski, JP; Milarska, SE; Okorski, A; Pszczólkowska, A</t>
  </si>
  <si>
    <t>Androsiuk, Piotr; Paukszto, Lukasz; Jastrzebski, Jan Pawel; Milarska, Sylwia Eryka; Okorski, Adam; Pszczolkowska, Agnieszka</t>
  </si>
  <si>
    <t>Molecular Diversity and Phylogeny Reconstruction of Genus Colobanthus (Caryophyllaceae) Based on Mitochondrial Gene Sequences</t>
  </si>
  <si>
    <t>GENES</t>
  </si>
  <si>
    <t>mitogenome; nucleotide substitutions; RNA editing; phylogeny; NGS</t>
  </si>
  <si>
    <t>CHLOROPLAST GENES; ANTARCTIC PEARLWORT; PLANT; RNA; GENOME; EVOLUTION; DNA; PERFORMANCE; INFERENCE; MRBAYES</t>
  </si>
  <si>
    <t>Mitochondrial genomes have become an interesting object of evolutionary and systematic study both for animals and plants, including angiosperms. Although the framework of the angiosperm phylogeny was built on the information derived from chloroplast and nuclear genes, mitochondrial sequences also revealed their usefulness in solving the phylogenetic issues at different levels of plant systematics. Here, we report for the first time the complete sequences of 26 protein-coding genes of eight Colobanthus species (Caryophyllaceae). Of these, 23 of them represented core mitochondrial genes, which are directly associated with the primary function of that organelle, and the remaining three genes represented a facultative set of mitochondrial genes. Comparative analysis of the identified genes revealed a generally high degree of sequence conservation. The Ka/Ks ratio was &lt;1 for most of the genes, which indicated purifying selection. Only for rps12 was Ka/Ks &gt; 1 in all studied species, suggesting positive selection. We identified 146-165 potential RNA editing sites in genes of the studied species, which is lower than in most angiosperms. The reconstructed phylogeny based on mitochondrial genes was consistent with the taxonomic position of the studied species, showing the separate character of the family Caryophyllaceae and close relationships between all studied Colobanthus species, with C. lycopodioides sharing less similarity.</t>
  </si>
  <si>
    <t>[Androsiuk, Piotr; Jastrzebski, Jan Pawel; Milarska, Sylwia Eryka] Univ Warmia &amp; Mazury, Fac Biol &amp; Biotechnol, Dept Plant Physiol Genet &amp; Biotechnol, Ul M Oczapowskiego IA, PL-10719 Olsztyn, Poland; [Paukszto, Lukasz] Univ Warmia &amp; Mazury, Fac Biol &amp; Biotechnol, Dept Bot &amp; Nat Protect, Ul Prawochenskiego 17, PL-10720 Olsztyn, Poland; [Okorski, Adam; Pszczolkowska, Agnieszka] Univ Warmia &amp; Mazury, Fac Agr &amp; Forestry, Dept Entomol Phytopathol &amp; Mol Diagnost, Ul Prawochenskiego 17, PL-10720 Olsztyn, Poland</t>
  </si>
  <si>
    <t>University of Warmia &amp; Mazury; University of Warmia &amp; Mazury; University of Warmia &amp; Mazury</t>
  </si>
  <si>
    <t>Androsiuk, P (corresponding author), Univ Warmia &amp; Mazury, Fac Biol &amp; Biotechnol, Dept Plant Physiol Genet &amp; Biotechnol, Ul M Oczapowskiego IA, PL-10719 Olsztyn, Poland.</t>
  </si>
  <si>
    <t>piotr.androsiuk@uwm.edu.pl; pauk24@gmail.com; bioinformatyka@gmail.com; sylwia.milarska@uwm.edu.pl; adam.okorski@uwm.edu.pl; agnieszka.pszczolkowska@uwm.edu.pl</t>
  </si>
  <si>
    <t>Androsiuk, Piotr/M-6175-2019; Paukszto, Lukasz/AAV-8585-2021; Okorski, Adam/U-3911-2019; Pszczółkowska, Agnieszka/N-5312-2018; Jastrzebski, Jan Pawel/C-3714-2015</t>
  </si>
  <si>
    <t>Androsiuk, Piotr/0000-0002-1851-3192; Paukszto, Lukasz/0000-0002-3618-1064; Okorski, Adam/0000-0002-9545-4771; Milarska, Sylwia/0000-0001-7523-3974; Jastrzebski, Jan Pawel/0000-0001-8699-7742</t>
  </si>
  <si>
    <t>University ofWarmia and Mazury in Olsztyn [30.610.009-110, 12.610.004-300]; program entitled Regional Initiative of Excellence for the years 2019-2022 [010/RID/2018/19]</t>
  </si>
  <si>
    <t>University ofWarmia and Mazury in Olsztyn; program entitled Regional Initiative of Excellence for the years 2019-2022</t>
  </si>
  <si>
    <t>The results presented in this paper were obtained as part of a comprehensive study financed by the University of Warmia and Mazury in Olsztyn (Grant No. 30.610.009-110 and 12.610.004-300). Project financially supported by the Minister of Education and Science under the program entitled Regional Initiative of Excellence for the years 2019-2022, Project No. 010/RID/2018/19, amount of funding 12,000,000 PLN.</t>
  </si>
  <si>
    <t>2073-4425</t>
  </si>
  <si>
    <t>GENES-BASEL</t>
  </si>
  <si>
    <t>Genes</t>
  </si>
  <si>
    <t>10.3390/genes13061060</t>
  </si>
  <si>
    <t>Genetics &amp; Heredity</t>
  </si>
  <si>
    <t>2K6JH</t>
  </si>
  <si>
    <t>WOS:000816439100001</t>
  </si>
  <si>
    <t>Gao, H; Cai, WJ; Jin, MB; Dong, CM; Timmerman, AHV</t>
  </si>
  <si>
    <t>Gao, Hui; Cai, Wei-Jun; Jin, Meibing; Dong, Changming; Timmerman, Amanda H., V</t>
  </si>
  <si>
    <t>Ocean Ventilation Controls the Contrasting Anthropogenic CO2 Uptake Rates Between the Western and Eastern South Atlantic Ocean Basins</t>
  </si>
  <si>
    <t>GLOBAL BIOGEOCHEMICAL CYCLES</t>
  </si>
  <si>
    <t>South Atlantic Ocean; anthropogenic CO2 change; ocean ventilation; subduction</t>
  </si>
  <si>
    <t>MERIDIONAL OVERTURNING CIRCULATION; DEEP-WATER CIRCULATION; ANTARCTIC BOTTOM WATER; CARBON-DIOXIDE; INCREASE; MASSES; ACIDIFICATION; DISTRIBUTIONS; SINK; VARIABILITY</t>
  </si>
  <si>
    <t>The South Atlantic Ocean is an important region for anthropogenic CO2 (C-anth) uptake and storage in the world ocean, yet is less studied. Here, after an extensive sensitivity test and method comparison, we applied an extended multiple linear regression method with six characteristic water masses to estimate C-anth change or increase (Delta C-anth) between 1980s and 2010s in the South Atlantic Ocean using two meridional transects (A16S and A13.5) and one zonal transect (A10). Over a period of about 25 years, the basin-wide Delta C-anth was 3.86 +/- 0.14 Pg C decade(-1). The two basins flanking the Mid-Atlantic Ridge had different meridional patterns of Delta C-anth, yielding an average depth-integrated Delta C-anth in the top 2000 m of 0.91 +/- 0.25 mol m(-2) yr(-1) along A16S on the west and 0.57 +/- 0.22 mol m(-2) yr(-1) along A13.5 on the east. The west-east basin Delta C-anth contrasts were most prominent in the tropical region (0-20 degrees S) in the Surface Water (SW), approximately from equator to 35 degrees S in the Subantarctic Mode Water (Subantarctic Mode Water (SAMW)), and all latitudes in the Antarctic Intermediate Water (AAIW). Less Delta C-anth in the eastern basin than the western basin was caused by weaker ventilation driven by SAMW and AAIW formation and subduction and stronger Antarctic Bottom Water (AABW) formation in the former than the latter. In addition to the spatial heterogeneity, C-anth increase rates accelerated from the 1990s to the 2000s, consistent with the overall increase in air-sea CO2 exchange in the South Atlantic Ocean.</t>
  </si>
  <si>
    <t>[Gao, Hui; Jin, Meibing; Dong, Changming] Nanjing Univ Informat Sci &amp; Technol, Sch Marine Sci, Nanjing, Peoples R China; [Gao, Hui; Cai, Wei-Jun; Timmerman, Amanda H., V] Univ Delaware, Sch Marine Sci &amp; Policy, Newark, DE 19716 USA; [Jin, Meibing] Int Arctic Res Ctr, Fairbanks, AK USA</t>
  </si>
  <si>
    <t>Nanjing University of Information Science &amp; Technology; University of Delaware</t>
  </si>
  <si>
    <t>Cai, WJ (corresponding author), Univ Delaware, Sch Marine Sci &amp; Policy, Newark, DE 19716 USA.</t>
  </si>
  <si>
    <t>wcai@udel.edu</t>
  </si>
  <si>
    <t>Cai, Wei-Jun/C-1361-2013</t>
  </si>
  <si>
    <t>Timmerman, Amanda/0000-0001-5245-0159; Cai, Wei-Jun/0000-0003-3606-8325</t>
  </si>
  <si>
    <t>China Scholarship Council (CSC); University of Delaware internal fund; NSF [OCE- 2123768]</t>
  </si>
  <si>
    <t>China Scholarship Council (CSC)(China Scholarship Council); University of Delaware internal fund; NSF(National Science Foundation (NSF))</t>
  </si>
  <si>
    <t>We particularly want to thank Dr. Rik Wanninkhof for his kind supports and valuable comments and suggestions, which helped to improve the manuscript. H.G. is grateful to the China Scholarship Council (CSC) and a University of Delaware internal fund for supporting her visit of the University of Delaware Cai Ocean CO2 laboratory, during which this paper was accomplished. W.-J.C. acknowledges financial support from the NSF (OCE- 2123768).</t>
  </si>
  <si>
    <t>AMER GEOPHYSICAL UNION</t>
  </si>
  <si>
    <t>WASHINGTON</t>
  </si>
  <si>
    <t>2000 FLORIDA AVE NW, WASHINGTON, DC 20009 USA</t>
  </si>
  <si>
    <t>0886-6236</t>
  </si>
  <si>
    <t>1944-9224</t>
  </si>
  <si>
    <t>GLOBAL BIOGEOCHEM CY</t>
  </si>
  <si>
    <t>Glob. Biogeochem. Cycle</t>
  </si>
  <si>
    <t>e2021GB007265</t>
  </si>
  <si>
    <t>10.1029/2021GB007265</t>
  </si>
  <si>
    <t>1W2EO</t>
  </si>
  <si>
    <t>WOS:000806591000001</t>
  </si>
  <si>
    <t>Xu, D; Yi, L; Yuan, HF; Chen, WW</t>
  </si>
  <si>
    <t>Xu, Dong; Yi, Liang; Yuan, Haifan; Chen, Weiwei</t>
  </si>
  <si>
    <t>Geochronological Evidence Inferring Carbonate Compensation Depth Shoaling in the Philippine Sea after the Mid-Brunhes Event</t>
  </si>
  <si>
    <t>JOURNAL OF MARINE SCIENCE AND ENGINEERING</t>
  </si>
  <si>
    <t>carbonate compensation depth; Philippine Sea; marine productivity; aeolian dust; Mid-Brunhes Event; deep-sea sediments; middle Pleistocene; western Pacific</t>
  </si>
  <si>
    <t>CENTRAL EQUATORIAL PACIFIC; DIOXIDE CONCENTRATION; ANTARCTIC GLACIATION; CACO3 PRESERVATION; OCEAN; MIDPLEISTOCENE; SEDIMENTS; CIRCULATION; TRANSITION; MIGRATION</t>
  </si>
  <si>
    <t>Carbonate compensation depth (CCD) is an important factor in the global deep ocean and in global carbon cycling; however, its variabilities have not been well documented in previous studies. In this study, we investigate two deep-sea cores collected from the Philippine Sea in terms of geochronology and geochemical properties over the past similar to 900 kyr. The principle results are as follows: (1) Two magnetozones are determined from the sediment's magnetic records, which can be correlated with the Brunhes and Matuyama chrons in the geomagnetic polarity timescale. (2) The age models can be refined by tuning the Ba and Sm intensities of the two studied cores to the global ice volume, and the estimated sediment accumulation rate is 4 mm/kyr. (3) Chalky mud and the bulk carbon delta C-13 record vary abruptly at similar to 430 ka and imply 200 m shoaling of the CCD. Based on these results, a close link is inferred between marine productivity, aeolian dust, and CCD changes, which can be correlated with a major change that occurred during the Mid-Brunhes Event. Therefore, we propose that the sedimentary processes in the Philippine Sea are evidence of global climate change, providing a unique window to observe interactions between various environmental systems.</t>
  </si>
  <si>
    <t>[Xu, Dong] Minist Nat Resources, Key Lab Submarine Geosci, Hangzhou 310012, Peoples R China; [Xu, Dong] Minist Nat Resources, Inst Oceanog 2, Hangzhou 310012, Peoples R China; [Yi, Liang; Chen, Weiwei] Tongji Univ, State Key Lab Marine Geol, Shanghai 200092, Peoples R China; [Yuan, Haifan] China Geol Survey, Key Lab Muddy Coastal Geoenvironm, Tianjin Ctr, Tianjin 300170, Peoples R China</t>
  </si>
  <si>
    <t>Ministry of Natural Resources of the People's Republic of China; Ministry of Natural Resources of the People's Republic of China; Tongji University; China Geological Survey; Tianjin Center, China Geological Survey</t>
  </si>
  <si>
    <t>Yi, L (corresponding author), Tongji Univ, State Key Lab Marine Geol, Shanghai 200092, Peoples R China.</t>
  </si>
  <si>
    <t>xudongsio@126.com; yiliang@tongji.edu.cn; feima1986@163.com; sww@tongji.edu.cn</t>
  </si>
  <si>
    <t>xu, dongfeng/HNC-2015-2023; Yi, Liang/AAM-9737-2020</t>
  </si>
  <si>
    <t>Yi, Liang/0000-0003-3377-8591; Xu, Dong/0000-0001-7247-3374</t>
  </si>
  <si>
    <t>National Key R&amp;D Program of China [2018YFE0202401]; National Programme on Global Change and Air-Sea Interaction [GASI-04HYDZ-02]; National Natural Science Foundation of China [42177422]</t>
  </si>
  <si>
    <t>National Key R&amp;D Program of China; National Programme on Global Change and Air-Sea Interaction; National Natural Science Foundation of China(National Natural Science Foundation of China (NSFC))</t>
  </si>
  <si>
    <t>This research was funded by National Key R&amp;D Program of China, grant number 2018YFE0202401; National Programme on Global Change and Air-Sea Interaction, grant number GASI-04HYDZ-02; and National Natural Science Foundation of China, grant number 42177422.</t>
  </si>
  <si>
    <t>2077-1312</t>
  </si>
  <si>
    <t>J MAR SCI ENG</t>
  </si>
  <si>
    <t>J. Mar. Sci. Eng.</t>
  </si>
  <si>
    <t>10.3390/jmse10060745</t>
  </si>
  <si>
    <t>Engineering, Marine; Engineering, Ocean; Oceanography</t>
  </si>
  <si>
    <t>Engineering; Oceanography</t>
  </si>
  <si>
    <t>2L9KO</t>
  </si>
  <si>
    <t>WOS:000817332500001</t>
  </si>
  <si>
    <t>Jayasinghe, SA; Kennedy, F; McMinn, A; Martin, A</t>
  </si>
  <si>
    <t>Jayasinghe, Sahan A.; Kennedy, Fraser; McMinn, Andrew; Martin, Andrew</t>
  </si>
  <si>
    <t>Bacterial Utilisation of Aliphatic Organics: Is the Dwarf Planet Ceres Habitable?</t>
  </si>
  <si>
    <t>LIFE-BASEL</t>
  </si>
  <si>
    <t>Ceres; astrobiology; Colwellia hornerae; aliphatic hydrocarbons</t>
  </si>
  <si>
    <t>HYDROCARBON-DEGRADING BACTERIA; CATALYZED FORMATION; ALKANE OXIDATION; N-ALKANES; OIL; METABOLISM; SURFACE; GROWTH; BIODEGRADATION; DEGRADATION</t>
  </si>
  <si>
    <t>The regolith environment and associated organic material on Ceres is analogous to environments that existed on Earth 3-4 billion years ago. This has implications not only for abiogenesis and the theory of transpermia, but it provides context for developing a framework to contrast the limits of Earth's biosphere with extraterrestrial environments of interest. In this study, substrate utilisation by the ice-associated bacterium Colwellia hornerae was examined with respect to three aliphatic organic hydrocarbons that may be present on Ceres: dodecane, isobutyronitrile, and dioctyl-sulphide. Following inoculation into a phyllosilicate regolith spiked with a hydrocarbon (1% or 20% organic concentration wt%), cell density, electron transport activity, oxygen consumption, and the production of ATP, NADPH, and protein in C. hornerae was monitored for a period of 32 days. Microbial growth kinetics were correlated with changes in bioavailable carbon, nitrogen, and sulphur. We provide compelling evidence that C. hornerae can survive and grow by utilising isobutyronitrile and, in particular, dodecane. Cellular growth, electron transport activity, and oxygen consumption increased significantly in dodecane at 20 wt% compared to only minor growth at 1 wt%. Importantly, the reduction in total carbon, nitrogen, and sulphur observed at 20 wt% is attributed to biotic, rather than abiotic, processes. This study illustrates that short-term bacterial incubation studies using exotic substrates provide a useful indicator of habitability. We suggest that replicating the regolith environment of Ceres warrants further study and that this dwarf planet could be a valid target for future exploratory missions.</t>
  </si>
  <si>
    <t>[Jayasinghe, Sahan A.; Kennedy, Fraser; McMinn, Andrew] Univ Tasmania, Inst Marine &amp; Antarctic Studies, Hobart, Tas 7004, Australia; [Martin, Andrew] Victoria Univ Wellington, Sch Biol Sci, Wellington 6012, New Zealand</t>
  </si>
  <si>
    <t>University of Tasmania; Victoria University Wellington</t>
  </si>
  <si>
    <t>McMinn, A (corresponding author), Univ Tasmania, Inst Marine &amp; Antarctic Studies, Hobart, Tas 7004, Australia.;Martin, A (corresponding author), Victoria Univ Wellington, Sch Biol Sci, Wellington 6012, New Zealand.</t>
  </si>
  <si>
    <t>sahan.jayasinghe@utas.edu.au; f.c.kennedy@utas.edu.au; andrew.martin@vuw.ac.nz; andrew.mcminn@utas.edu.au</t>
  </si>
  <si>
    <t>Jayasinghe, Sahan/0000-0002-0073-5301; Kennedy, Fraser/0000-0003-1796-0764</t>
  </si>
  <si>
    <t>Australian Research Council's Special Research Initiative for Antarctic Gateway Partnership [SR140300001]; Australian Government Research Training Programme</t>
  </si>
  <si>
    <t>Australian Research Council's Special Research Initiative for Antarctic Gateway Partnership(Australian Research Council); Australian Government Research Training Programme(Australian Government)</t>
  </si>
  <si>
    <t>This research was supported under Australian Research Council's Special Research Initiative for Antarctic Gateway Partnership (Project ID SR140300001). S.A.J. was supported by a Ph.D. Scholarship under the Australian Government Research Training Programme.</t>
  </si>
  <si>
    <t>2075-1729</t>
  </si>
  <si>
    <t>Life-Basel</t>
  </si>
  <si>
    <t>10.3390/life12060821</t>
  </si>
  <si>
    <t>Biology; Microbiology</t>
  </si>
  <si>
    <t>Life Sciences &amp; Biomedicine - Other Topics; Microbiology</t>
  </si>
  <si>
    <t>2K7LH</t>
  </si>
  <si>
    <t>WOS:000816512300001</t>
  </si>
  <si>
    <t>Zhou, GQ; Zhou, X; Chen, JL; Jia, GS; Zhu, Q</t>
  </si>
  <si>
    <t>Zhou, Guoqing; Zhou, Xiang; Chen, Jinlong; Jia, Guoshuai; Zhu, Qiang</t>
  </si>
  <si>
    <t>LiDAR Echo Gaussian Decomposition Algorithm for FPGA Implementation</t>
  </si>
  <si>
    <t>SENSORS</t>
  </si>
  <si>
    <t>LiDAR; echo processing algorithm; Gaussian decomposition; FPGA</t>
  </si>
  <si>
    <t>WAVE-FORM LIDAR; RETRIEVAL; HEIGHT</t>
  </si>
  <si>
    <t>As the existing processing algorithms for LiDAR echo decomposition are time-consuming, this paper proposes an FPGA-based improved Gaussian full-waveform decomposition method. The proposed FPGA architecture consists of three modules: (i) a pre-processing module, which is used to pipeline data reading and Gaussian filtering, (ii) the inflection point coordinate solution module, applied to the second-order differential operation and to calculate inflection point coordinates, and (iii) the Gaussian component parameter solution and echo component positioning module, which is utilized to calculate the Gaussian component and echo time parameters. Finally, two LiDAR datasets, covering the Congo and Antarctic regions, are used to verify the accuracy and speed of the proposed method. The experimental results show that (i) the accuracy of the FPGA-based processing is equivalent to that of PC-based processing, and (ii) the processing speed of the FPGA-based processing is 292 times faster than that of PC-based processing.</t>
  </si>
  <si>
    <t>[Zhou, Guoqing; Zhou, Xiang] Tianjin Univ, Sch Microelect, Tianjin 300072, Peoples R China; [Zhou, Guoqing; Zhou, Xiang] Tianjin Univ, Ctr Remote Sensing, Tianjin 300072, Peoples R China; [Zhou, Guoqing; Zhu, Qiang] Guilin Univ Technol, Guangxi Key Lab Spatial Informat &amp; Geomat, Guilin 541004, Peoples R China; [Zhou, Guoqing; Zhou, Xiang; Chen, Jinlong; Jia, Guoshuai] Guilin Univ Technol, Coll Mech &amp; Control Engn, Guilin 541004, Peoples R China; [Zhu, Qiang] Guilin Univ Technol, Coll Earth Sci, Guilin 541004, Peoples R China</t>
  </si>
  <si>
    <t>Tianjin University; Tianjin University; Guilin University of Technology; Guilin University of Technology; Guilin University of Technology</t>
  </si>
  <si>
    <t>Zhou, GQ (corresponding author), Tianjin Univ, Sch Microelect, Tianjin 300072, Peoples R China.;Zhou, GQ (corresponding author), Tianjin Univ, Ctr Remote Sensing, Tianjin 300072, Peoples R China.;Zhou, GQ (corresponding author), Guilin Univ Technol, Guangxi Key Lab Spatial Informat &amp; Geomat, Guilin 541004, Peoples R China.;Zhou, GQ (corresponding author), Guilin Univ Technol, Coll Mech &amp; Control Engn, Guilin 541004, Peoples R China.</t>
  </si>
  <si>
    <t>gzhou@glut.edu.cn; zqx0711@tju.edu.cn; 20200801035g@cqu.edu.cn; 610912389@glut.edu.cn; 6614041@glut.edu.cn</t>
  </si>
  <si>
    <t>Zhou, Guoqing/JYP-4413-2024</t>
  </si>
  <si>
    <t>Zhou, Guoqing/0000-0001-8295-0496</t>
  </si>
  <si>
    <t>National Natural Science of China [41961065]; Guangxi Innovative Development Grand Program [Guike AD19254002, GuikeAA18118038]; Guangxi Natural Science Foundation for Innovation Research Team [2019GXNSFGA245001]; Guilin Research and Development Plan Program [201902102]; BaGuiScholars Program of Guangxi</t>
  </si>
  <si>
    <t>National Natural Science of China(National Natural Science Foundation of China (NSFC)); Guangxi Innovative Development Grand Program; Guangxi Natural Science Foundation for Innovation Research Team; Guilin Research and Development Plan Program; BaGuiScholars Program of Guangxi</t>
  </si>
  <si>
    <t>This work was supported in part by the National Natural Science of China under Grants 41961065, in part by the Guangxi Innovative Development Grand Program under Grants Guike AD19254002 and GuikeAA18118038, in part by the Guangxi Natural Science Foundation for Innovation Research Teamunder Grant 2019GXNSFGA245001, in part by the Guilin Research and Development Plan Program under Grant 201902102, and in part by the BaGuiScholars Programof Guangxi.</t>
  </si>
  <si>
    <t>1424-8220</t>
  </si>
  <si>
    <t>SENSORS-BASEL</t>
  </si>
  <si>
    <t>Sensors</t>
  </si>
  <si>
    <t>10.3390/s22124628</t>
  </si>
  <si>
    <t>Chemistry, Analytical; Engineering, Electrical &amp; Electronic; Instruments &amp; Instrumentation</t>
  </si>
  <si>
    <t>Chemistry; Engineering; Instruments &amp; Instrumentation</t>
  </si>
  <si>
    <t>2K5YS</t>
  </si>
  <si>
    <t>WOS:000816411600001</t>
  </si>
  <si>
    <t>Cianfarra, P; Locatelli, M; Capponi, G; Crispini, L; Rossi, C; Salvini, F; Federico, L</t>
  </si>
  <si>
    <t>Cianfarra, P.; Locatelli, M.; Capponi, G.; Crispini, L.; Rossi, C.; Salvini, F.; Federico, L.</t>
  </si>
  <si>
    <t>Multiple Reactivations of the Rennick Graben Fault System (Northern Victoria Land, Antarctica): New Evidence From Paleostress Analysis</t>
  </si>
  <si>
    <t>TECTONICS</t>
  </si>
  <si>
    <t>north Victoria land; Antarctica; fractures intensity H; S; multiple paleostress; structural inheritance; Meso-Cenozoic tectonics; Rennick Graben</t>
  </si>
  <si>
    <t>CENTRAL TRANSANTARCTIC MOUNTAINS; WILKES SUBGLACIAL BASIN; LARGE IGNEOUS PROVINCE; ROSS SEA REGION; FISSION-TRACK; LANTERMAN RANGE; TECTONIC EVOLUTION; BEACON SUPERGROUP; EAST ANTARCTICA; PACIFIC MARGIN</t>
  </si>
  <si>
    <t>The dense fault network that separates the tectonic units of northern Victoria Land to the E from the East Antarctic Craton to the W represents a regionally sized, NNW-SSE trending deformation zone that is also known as the Rennick Graben Fault system (RGF). This long-lived deformation zone is characterized by great structural complexity, with the superposition and polyphasic reactivation of regional faults; it is known to have been active since the Cambrian-Ordovician, when it formed as a suture zone between different terranes, up to the recent. Its complete framework and geodynamic evolution are still debated and have only been partially investigated. In this research, we explore the Meso-Cenozoic tectonic framework of the RGF by investigating the paleostress fields that characterized the last geodynamic events in the area and their associated brittle deformation. We analyzed faults and fractures data collected at 89 sites during several PNRA ItaliAntartide expeditions and combined fault-slip data inversion with the azimuthal orientation of faults and the spatial distribution of fracture intensities across the RGF. The results from this multi methodological approach confirm the existence of two geotectonic provinces (Bowers Mountains province to the E and Usarp Mountains to the W) characterized by different spatial distributions of brittle deformation, which are significantly more intense in the Bower Mountains domain. Here, the repeated reactivation of the RGF led to the superposition of two recent (Meso-Cenozoic) major tectonic events, with prevalent strike-slip kinematics and characterized by fault reactivation with right-lateral movement overprinting the previous left-lateral event.</t>
  </si>
  <si>
    <t>[Cianfarra, P.; Locatelli, M.; Capponi, G.; Crispini, L.; Federico, L.] Genoa Univ, Dept Earth Sci Environm &amp; Life DISTAV, Genoa, Italy; [Rossi, C.] INAF OAPD, Astron Observ Padova, Padua, Italy; [Salvini, F.] Roma Tre Univ, Sci Dept, Rome, Italy</t>
  </si>
  <si>
    <t>University of Genoa; University of Padua; Roma Tre University</t>
  </si>
  <si>
    <t>Locatelli, M (corresponding author), Genoa Univ, Dept Earth Sci Environm &amp; Life DISTAV, Genoa, Italy.</t>
  </si>
  <si>
    <t>michele.locatelli@edu.unige.it</t>
  </si>
  <si>
    <t>Rossi, Costanza/ABN-5463-2022; Crispini, Laura/N-1580-2019</t>
  </si>
  <si>
    <t>Rossi, Costanza/0000-0002-5120-8894; Crispini, Laura/0000-0001-5770-8569; CIANFARRA, Paola/0000-0001-9396-4519; CAPPONI, Giovanni/0000-0002-9237-3212; Locatelli, Michele/0000-0002-8753-1693; FEDERICO, LAURA/0000-0002-1994-973X</t>
  </si>
  <si>
    <t>Italian National Antarctic Research Program PNRA [PNRA2016_00056 G-IDEA, PNRA19_00051_BOOST]; Helicopter NZ Ltd; HSI Heli Support International Ltd; PNRA [PNRA2018_00338 LARK]</t>
  </si>
  <si>
    <t>Italian National Antarctic Research Program PNRA(Ministry of Education, Universities and Research (MIUR)); Helicopter NZ Ltd; HSI Heli Support International Ltd; PNRA</t>
  </si>
  <si>
    <t>The Authors acknowledge the logistical and financial support provided by the Italian National Antarctic Research Program PNRA (PNRA2016_00056 G-IDEA project and PNRA19_00051_BOOST project). Fieldwork in Antarctica was excellently supported by pilots of the Helicopter NZ Ltd and HSI Heli Support International Ltd and ENEA logistics. M. Locatelli benefitted of a grant funded by the PNRA (PNRA2018_00338 LARK project). The authors also thank F. Mazzarini and an anonymous reviewer for their thorough reviews and T. Schildgen for the editorial handling of this manuscript.</t>
  </si>
  <si>
    <t>0278-7407</t>
  </si>
  <si>
    <t>1944-9194</t>
  </si>
  <si>
    <t>Tectonics</t>
  </si>
  <si>
    <t>e2021TC007124</t>
  </si>
  <si>
    <t>10.1029/2021TC007124</t>
  </si>
  <si>
    <t>Geochemistry &amp; Geophysics</t>
  </si>
  <si>
    <t>2L7CJ</t>
  </si>
  <si>
    <t>WOS:000817175000001</t>
  </si>
  <si>
    <t>Cheng, ZY; Shi, CJ; Gao, XJ; Wang, XF; Kan, GF</t>
  </si>
  <si>
    <t>Cheng, Ziyi; Shi, Cuijuan; Gao, Xiujun; Wang, Xiaofei; Kan, Guangfeng</t>
  </si>
  <si>
    <t>Biochemical and Metabolomic Responses of Antarctic Bacterium Planococcus sp. O5 Induced by Copper Ion</t>
  </si>
  <si>
    <t>TOXICS</t>
  </si>
  <si>
    <t>Antarctic strain; copper stress; adaption responses; metabolomics</t>
  </si>
  <si>
    <t>PSEUDOMONAS-FLUORESCENS; GLUTATHIONE-REDUCTASE; OXIDATIVE STRESS; METALS; BIOREMEDIATION; TOLERANCE; CADMIUM; MECHANISMS; RESISTANCE; PROTECTS</t>
  </si>
  <si>
    <t>Heavy metal pollution in the Antarctic has gone beyond our imagination. Copper toxicity is a selective pressure on Planococcus sp. O5. We observed relatively broad tolerance in the polar bacterium. The heavy metal resistance pattern is Pb2+ &gt; Cu2+ &gt; Cd2+ &gt; Hg2+ &gt; Zn2+. In the study, we combined biochemical and metabolomics approaches to investigate the Cu2+ adaptation mechanisms of the Antarctic bacterium. Biochemical analysis revealed that copper treatment elevated the activity of antioxidants and enzymes, maintaining the bacterial redox state balance and normal cell division and growth. Metabolomics analysis demonstrated that fatty acids, amino acids, and carbohydrates played dominant roles in copper stress adaptation. The findings suggested that the adaptive mechanisms of strain O5 to copper stress included protein synthesis and repair, accumulation of organic permeable substances, up-regulation of energy metabolism, and the formation of fatty acids.</t>
  </si>
  <si>
    <t>[Cheng, Ziyi; Shi, Cuijuan; Gao, Xiujun; Wang, Xiaofei; Kan, Guangfeng] Harbin Inst Technol, Sch Marine Sci &amp; Technol, Weihai 264209, Peoples R China</t>
  </si>
  <si>
    <t>Harbin Institute of Technology</t>
  </si>
  <si>
    <t>Kan, GF (corresponding author), Harbin Inst Technol, Sch Marine Sci &amp; Technol, Weihai 264209, Peoples R China.</t>
  </si>
  <si>
    <t>cheng1909901937@outlook.com; cjshi@hitedu.cn; sxlinlu@163.com; wangxiaofei_hit@163.com; gfkan@hitedu.cn</t>
  </si>
  <si>
    <t>Shandong Provincial Natural Science Foundation, China [ZR2021MC180]; Natural Scientific Research Innovation Foundation in Harbin Institute of Technology [2019KYCXJJYB17]</t>
  </si>
  <si>
    <t>Shandong Provincial Natural Science Foundation, China(Natural Science Foundation of Shandong Province); Natural Scientific Research Innovation Foundation in Harbin Institute of Technology(Harbin Institute of Technology)</t>
  </si>
  <si>
    <t>This work was supported by Shandong Provincial Natural Science Foundation, China [ZR2021MC180], and Natural Scientific Research Innovation Foundation in Harbin Institute of Technology [2019KYCXJJYB17].</t>
  </si>
  <si>
    <t>2305-6304</t>
  </si>
  <si>
    <t>Toxics</t>
  </si>
  <si>
    <t>10.3390/toxics10060302</t>
  </si>
  <si>
    <t>Environmental Sciences; Toxicology</t>
  </si>
  <si>
    <t>Environmental Sciences &amp; Ecology; Toxicology</t>
  </si>
  <si>
    <t>2K5VS</t>
  </si>
  <si>
    <t>Green Published, gold, Green Submitted</t>
  </si>
  <si>
    <t>WOS:000816403800001</t>
  </si>
  <si>
    <t>Deo, A; Chand, SS; McIntosh, RD; Prakash, B; Holbrook, NJ; Magee, A; Haruhiru, A; Malsale, P</t>
  </si>
  <si>
    <t>Deo, Anil; Chand, Savin S.; McIntosh, R. Duncan; Prakash, Bipen; Holbrook, Neil J.; Magee, Andrew; Haruhiru, Alick; Malsale, Philip</t>
  </si>
  <si>
    <t>Severe tropical cyclones over southwest Pacific Islands: economic impacts and implications for disaster risk management</t>
  </si>
  <si>
    <t>CLIMATIC CHANGE</t>
  </si>
  <si>
    <t>Tropical cyclones; Economic loss; Disaster risk management; Pacific Island Countries</t>
  </si>
  <si>
    <t>EL-NINO; FREQUENCY; PERSPECTIVE; ADAPTATION; SLOWDOWN; DAMAGES; EVENTS</t>
  </si>
  <si>
    <t>Tropical cyclones (TCs) are amongst the costliest natural hazards for southwest Pacific (SWP) Island nations. Extreme winds coupled with heavy rainfall and related coastal hazards, such as large waves and high seas, can have devastating consequences for life and property. Effects of anthropogenic climate change are likely to make TCs even more destructive in the SWP (as that observed particularly over Fiji) and elsewhere around the globe, yet TCs may occur less often. However, the underpinning science of quantifying future TC projections amid multiple uncertainties can be complex. The challenge for scientists is how to turn such technical knowledge framed around uncertainties into tangible products to inform decision-making in the disaster risk management (DRM) and disaster risk reduction (DRR) sector. Drawing on experiences from past TC events as analogies to what may happen in a warming climate can be useful. The role of science-based climate services tailored to the needs of the DRM and DRR sector is critical in this context. In the first part of this paper, we examine cases of historically severe TCs in the SWP and quantify their socio-economic impacts. The second part of this paper discusses a decision-support framework developed in collaboration with a number of agencies in the SWP, featuring science-based climate services that inform different stages of planning in national-level risk management strategies.</t>
  </si>
  <si>
    <t>[Deo, Anil; Chand, Savin S.] Federat Univ Australia, Sch Engn Informat Technol &amp; Phys Sci, Mt Helen Campus, Ballarat, Vic, Australia; [McIntosh, R. Duncan; Malsale, Philip] Pacific Reg Environm Programme, Apia, Samoa; [McIntosh, R. Duncan] Univ Newcastle, Sch Environm &amp; Life Sci, Callaghan, NSW, Australia; [Prakash, Bipen] Fiji Meteorol Serv, Nadi, Fiji; [Holbrook, Neil J.] Univ Tasmania, Inst Marine &amp; Antarctic Studies, Hobart, Tas, Australia; [Holbrook, Neil J.] Univ Tasmania, ARC Ctr Excellence Climate Extremes, Hobart, Tas, Australia; [Magee, Andrew] Univ Newcastle, Ctr Water Climate &amp; Land, Callaghan, NSW, Australia; [Haruhiru, Alick] Solomon Isl Meteorol Serv, Honiara, Solomon Islands</t>
  </si>
  <si>
    <t>Federation University Australia; University of Newcastle; University of Tasmania; University of Tasmania; University of Newcastle</t>
  </si>
  <si>
    <t>Deo, A (corresponding author), Federat Univ Australia, Sch Engn Informat Technol &amp; Phys Sci, Mt Helen Campus, Ballarat, Vic, Australia.</t>
  </si>
  <si>
    <t>de0_anil@yahoo.co.nz</t>
  </si>
  <si>
    <t>; Holbrook, Neil/M-7544-2013</t>
  </si>
  <si>
    <t>Chand, Savin/0000-0002-5706-2558; Deo, Anil/0000-0003-3207-3733; Holbrook, Neil/0000-0002-3523-6254</t>
  </si>
  <si>
    <t>NextGen 1.5 project, Australian Government's Department of Foreign Affairs and Trade initiative; Earth Systems and Climate Change Hub of the Australian Government's National Environmental Science Program (NESP); CAUL</t>
  </si>
  <si>
    <t>Open Access funding enabled and organized by CAUL and its Member Institutions This work is supported through the funding from the NextGen 1.5 project, which is an Australian Government's Department of Foreign Affairs and Trade initiative. It is also supported through funding from the Earth Systems and Climate Change Hub of the Australian Government's National Environmental Science Program (NESP).</t>
  </si>
  <si>
    <t>0165-0009</t>
  </si>
  <si>
    <t>1573-1480</t>
  </si>
  <si>
    <t>Clim. Change</t>
  </si>
  <si>
    <t>3-4</t>
  </si>
  <si>
    <t>10.1007/s10584-022-03391-2</t>
  </si>
  <si>
    <t>2I6BJ</t>
  </si>
  <si>
    <t>WOS:000815061300001</t>
  </si>
  <si>
    <t>De Felice, A; Biagiotti, I; Canduci, G; Costantini, I; Malavolti, S; Giuliani, G; Leonori, I</t>
  </si>
  <si>
    <t>De Felice, Andrea; Biagiotti, Ilaria; Canduci, Giovanni; Costantini, Ilaria; Malavolti, Sara; Giuliani, Giordano; Leonori, Iole</t>
  </si>
  <si>
    <t>Is It the Same Every Summer for the Euphausiids of the Ross Sea?</t>
  </si>
  <si>
    <t>krill; marine acoustics; biomass; spatial distribution; environmental data</t>
  </si>
  <si>
    <t>ANTARCTIC KRILL; SOUND-SCATTERING; SUPERBA DANA; ICE; CRYSTALLOROPHIAS; DISTRIBUTIONS; VARIABILITY; NORMALITY; ABUNDANCE; MODEL</t>
  </si>
  <si>
    <t>The pelagic ecosystem in the Ross Sea has one central component that is very important for energy exchanges between upper and lower trophic levels: the Middle Trophic Level. Krill species are the most important and abundant organisms within this level. Several acoustic surveys were conducted in the western Ross Sea over the past 25 years, revealing that Euphausia superba is by far the most abundant species of krill in the Ross Sea during austral summer, and that its core distribution is concentrated in the northern part, bordering the Southern Ocean. Euphausia crsytallorophias, the second most abundant krill species, is more concentrated in the central Ross Sea, generally near the coast. Data on krill biomass were collected in December and January from 1994 to 2016 and analyzed together with key environmental parameters by means of two-way ANOVA in order to explain species behavior and identify possible environmental drivers. Temperature and dissolved oxygen influenced the biomass of both species of krill, while other environmental parameters only affected one species. In conclusion, the biomass of both species has varied over the years, possibly due to a complex synergy of environmental drivers.</t>
  </si>
  <si>
    <t>[De Felice, Andrea; Biagiotti, Ilaria; Canduci, Giovanni; Costantini, Ilaria; Malavolti, Sara; Giuliani, Giordano; Leonori, Iole] Natl Res Council CNR, IRBIM Inst Marine Biol Resources &amp; Biotechnol, Largo Fiera Pesca 1, I-60125 Ancona, Italy</t>
  </si>
  <si>
    <t>Consiglio Nazionale delle Ricerche (CNR); Istituto per le Risorse Biologiche Biotecnologie Marine (IRBIM-CNR)</t>
  </si>
  <si>
    <t>De Felice, A (corresponding author), Natl Res Council CNR, IRBIM Inst Marine Biol Resources &amp; Biotechnol, Largo Fiera Pesca 1, I-60125 Ancona, Italy.</t>
  </si>
  <si>
    <t>andrea.defelice@cnr.it; ilaria.biagiotti@cnr.it; giovanni.canduci@cnr.it; ilaria.costantini@cnr.it; sara.malavolti@irbim.cnr.it; giordano.giuliani@cnr.it; iole.leonori@cnr.it</t>
  </si>
  <si>
    <t>Leonori, Iole/AAD-7901-2020; , Andrea/L-9465-2014; Biagiotti, Ilaria/C-8893-2014; /P-7511-2018</t>
  </si>
  <si>
    <t>Leonori, Iole/0000-0001-7673-1684; , Andrea/0000-0002-0051-2052; Biagiotti, Ilaria/0000-0002-5395-6896; /0000-0003-1991-1309</t>
  </si>
  <si>
    <t>Italian National Antarctic Museum (MNA); Italian National Antarctic Research Program (PNRA) [2018-B1N1.01, PNRA18_00276-B1]</t>
  </si>
  <si>
    <t>Italian National Antarctic Museum (MNA); Italian National Antarctic Research Program (PNRA)(Ministry of Education, Universities and Research (MIUR))</t>
  </si>
  <si>
    <t>Authors are grateful to the Italian National Antarctic Scientific Commission (CSNA) and the Italian National Antarctic program (PNRA) for the endorsement of the Special Issue initiative and to the Italian National Antarctic Museum (MNA) for the financial support. Italian National Antarctic Research Program (PNRA): 2018-B1N1.01 (ROSSKRILL); Italian National Antarctic Research Program (PNRA): PNRA18_00276-B1 (ROSSKRILL).</t>
  </si>
  <si>
    <t>10.3390/d14060433</t>
  </si>
  <si>
    <t>2J9MZ</t>
  </si>
  <si>
    <t>WOS:000815972900001</t>
  </si>
  <si>
    <t>Sjöberg, LE; Abrehdary, M</t>
  </si>
  <si>
    <t>Sjoberg, L. E.; Abrehdary, M.</t>
  </si>
  <si>
    <t>MOHV21: a least squares combination of five global Moho depth models</t>
  </si>
  <si>
    <t>JOURNAL OF GEODESY</t>
  </si>
  <si>
    <t>Correlation; Crustal depth; Moho depth; Uncertainty; Standard error</t>
  </si>
  <si>
    <t>CRUSTAL THICKNESS; VELOCITY STRUCTURE; SEISMIC STRUCTURE; UPPERMOST MANTLE; INVERSION; AMERICA; AFRICA; GOCE</t>
  </si>
  <si>
    <t>The purpose of this study is to determine MOHV21, a Moho depth model based on an optimal combination of five global seismic and gravimetric-isostatic models of Moho depth by a weighted least squares approach at a resolution of 1 degrees x 1 degrees. For proper weighting among the data, the study starts with determining (mostly missing) standard errors and correlations among the models. The standard errors among the input models range from 1.0 (in Brazil) to 6.8 km (in Peru) and from 0.1 (in Huna Bay) to 6.0 km (in East Pacific Ridge) for Moho depth on land and ocean, respectively. The correlations among the five models range between - 0.99 and + 0.90. The Moho depths for MOHV21 at land regions vary between 14.5 (at the Horn of Africa) and 75 km (in the Himalayas) and between 6.6 (in the Greenland Sea) and 51.8 (in the Gulf of Bothnia) for land and ocean regions, respectively (However, note that, the Gulf of Bothnia belongs to continental crust, while the oceanic crust is generally within 20 km). The standard errors are generally within a few km but reaches 6.8 km (9%) in the highest mountains. The shallow Moho depths along mid-ocean ridges are well exposed in the model. Notable regional Moho highs are visualized in the Tarim basin in NW China of 59 +/- 6.5 km and in Central Finland of 57 +/- 4.7 km. A comparison of MOHV21 with a mosaic of regional models shows large differences reaching +/- 25 km in Africa, Antarctic, and parts of S. America, while the differences are relatively modest in those parts of oceans that are available in the regional models.</t>
  </si>
  <si>
    <t>[Sjoberg, L. E.; Abrehdary, M.] Univ West HV, Div Math Comp &amp; Surveying Engn, S-46186 Trollhattan, Sweden; [Sjoberg, L. E.] Royal Inst Technol KTH, Div Geodesy &amp; Satellite Positioning, S-10044 Stockholm, Sweden</t>
  </si>
  <si>
    <t>Royal Institute of Technology</t>
  </si>
  <si>
    <t>Sjöberg, LE (corresponding author), Univ West HV, Div Math Comp &amp; Surveying Engn, S-46186 Trollhattan, Sweden.;Sjöberg, LE (corresponding author), Royal Inst Technol KTH, Div Geodesy &amp; Satellite Positioning, S-10044 Stockholm, Sweden.</t>
  </si>
  <si>
    <t>lars.sjoberg@hv.se</t>
  </si>
  <si>
    <t>Sjoberg, Lars E./0000-0001-7810-8829</t>
  </si>
  <si>
    <t>Swedish National Space Agency (SNSA) [187/18]</t>
  </si>
  <si>
    <t>Swedish National Space Agency (SNSA)(Swedish National Space Agency (SNSA))</t>
  </si>
  <si>
    <t>This study was supported by Project No. 187/18 of the Swedish National Space Agency (SNSA).</t>
  </si>
  <si>
    <t>0949-7714</t>
  </si>
  <si>
    <t>1432-1394</t>
  </si>
  <si>
    <t>J GEODESY</t>
  </si>
  <si>
    <t>J. Geodesy</t>
  </si>
  <si>
    <t>10.1007/s00190-022-01631-y</t>
  </si>
  <si>
    <t>Geochemistry &amp; Geophysics; Remote Sensing</t>
  </si>
  <si>
    <t>2I6LG</t>
  </si>
  <si>
    <t>WOS:000815087200001</t>
  </si>
  <si>
    <t>Jordan, TM; Martín, C; Brisbourne, AM; Schroeder, DM; Smith, AM</t>
  </si>
  <si>
    <t>Jordan, T. M.; Martin, C.; Brisbourne, A. M.; Schroeder, D. M.; Smith, A. M.</t>
  </si>
  <si>
    <t>Radar Characterization of Ice Crystal Orientation Fabric and Anisotropic Viscosity Within an Antarctic Ice Stream</t>
  </si>
  <si>
    <t>JOURNAL OF GEOPHYSICAL RESEARCH-EARTH SURFACE</t>
  </si>
  <si>
    <t>radar sounding; ice fabric; anisotropic ice; viscosity; polarimetry; ice streams</t>
  </si>
  <si>
    <t>WEST ANTARCTICA; STRAIN RATES; SHEET FLOW; POLAR ICE; SHEAR; CORE; EVOLUTION; GRIP</t>
  </si>
  <si>
    <t>We use polarimetric radar sounding to investigate ice crystal orientation fabric and its impact on ice viscosity within the near surface of Rutford Ice Stream, West Antarctica. The technique retrieves lateral and depth variations in the horizontal components of ice fabric but no direct information on the vertical fabric component. In the shallowest ice (depths 40-100 m), the fabric is consistent with flow-induced development and correlates with the surface compression direction. Notably, toward the ice-stream margin, the horizontal compression angle and azimuthal fabric orientation tend toward 45 degrees relative to ice flow which is consistent with the early stages of flow-induced fabric under simple shear. The fabric orientation in deeper ice (depths 100-300 m) is, in places, significantly misaligned with shallower ice and the surface compression direction due to sharp depth transitions in orientation. We then use a rheological model to bound effective anisotropic viscosities (directional hardness) of ice that are consistent with the radar measurements. Toward the shear margin, we show that the shallow-ice fabric does not appreciably soften the ice to lateral shear although this may happen in deeper ice. In the center of the ice stream, we show that lateral and depth variations in the fabric alignment relative to ice flow result in corresponding changes in uniaxial ice viscosities relative to ice flow. Our results indicate that spatial variability in the fabric translates to variability in viscosity that widely used isotropic ice-flow models are unable to consider.</t>
  </si>
  <si>
    <t>[Jordan, T. M.] Plymouth Marine Lab, Plymouth, Devon, England; [Jordan, T. M.] Univ Bristol, Sch Geog Sci, Bristol, Avon, England; [Jordan, T. M.; Schroeder, D. M.] Stanford Univ, Dept Geophys, Stanford, CA 94305 USA; [Martin, C.; Brisbourne, A. M.; Smith, A. M.] British Antarctic Survey, Cambridge, England; [Schroeder, D. M.] Stanford Univ, Dept Elect Engn, Stanford, CA 94305 USA</t>
  </si>
  <si>
    <t>Plymouth Marine Laboratory; University of Bristol; Stanford University; UK Research &amp; Innovation (UKRI); Natural Environment Research Council (NERC); NERC British Antarctic Survey; Stanford University</t>
  </si>
  <si>
    <t>Jordan, TM (corresponding author), Plymouth Marine Lab, Plymouth, Devon, England.;Jordan, TM (corresponding author), Univ Bristol, Sch Geog Sci, Bristol, Avon, England.;Jordan, TM (corresponding author), Stanford Univ, Dept Geophys, Stanford, CA 94305 USA.;Martín, C (corresponding author), British Antarctic Survey, Cambridge, England.</t>
  </si>
  <si>
    <t>tjor@pml.ac.uk; cama@bas.ac.uk</t>
  </si>
  <si>
    <t>Brisbourne, Alex/E-6198-2013</t>
  </si>
  <si>
    <t>Brisbourne, Alex/0000-0002-9887-7120; SMITH, ANDREW/0000-0001-8577-482X; Schroeder, Dustin/0000-0003-1916-3929; Jordan, Thomas/0000-0002-2096-8858</t>
  </si>
  <si>
    <t>NERC AFI [NE/G014159/1, NE/G013187/1]; EU [747336-BRISRES-H2020-MSCA-IF-2016]; NSF CAREER Award [1745137]; NERC [NE/G013187/1, NE/G014159/1] Funding Source: UKRI; Directorate For Geosciences; Office of Polar Programs (OPP) [1745137] Funding Source: National Science Foundation</t>
  </si>
  <si>
    <t>NERC AFI(UK Research &amp; Innovation (UKRI)Natural Environment Research Council (NERC)); EU(European Union (EU)); NSF CAREER Award(National Science Foundation (NSF)NSF - Office of the Director (OD)); NERC(UK Research &amp; Innovation (UKRI)Natural Environment Research Council (NERC)); Directorate For Geosciences; Office of Polar Programs (OPP)(National Science Foundation (NSF)NSF - Directorate for Geosciences (GEO))</t>
  </si>
  <si>
    <t>Radar data were collected as part of the BEAMISH Project (NERC AFI award numbers NE/G014159/1 and NE/G013187/1). We are grateful to Rebecca Schlegel and Anne Flink for assistance with data acquisition. We would like to thank two anonymous reviewers for their insightful and constructive reviews and TJ Young, University of Cambridge, for his helpful comments. TMJ would like to acknowledge support from EU Horizons 020 Grant 747336-BRISRES-H2020-MSCA-IF-2016. DMS was supported, in part, by NSF CAREER Award 1745137.</t>
  </si>
  <si>
    <t>2169-9003</t>
  </si>
  <si>
    <t>2169-9011</t>
  </si>
  <si>
    <t>J GEOPHYS RES-EARTH</t>
  </si>
  <si>
    <t>J. Geophys. Res.-Earth Surf.</t>
  </si>
  <si>
    <t>e2022JF006673</t>
  </si>
  <si>
    <t>10.1029/2022JF006673</t>
  </si>
  <si>
    <t>2H6RZ</t>
  </si>
  <si>
    <t>WOS:000814420800001</t>
  </si>
  <si>
    <t>Cheremnykh, OK; Cheremnykh, SO; Vlasov, DI</t>
  </si>
  <si>
    <t>Cheremnykh, O. K.; Cheremnykh, S. O.; Vlasov, D., I</t>
  </si>
  <si>
    <t>The Influence of the Earth's Atmosphere Rotation on the Spectrum of Acoustic-Gravity Waves</t>
  </si>
  <si>
    <t>KINEMATICS AND PHYSICS OF CELESTIAL BODIES</t>
  </si>
  <si>
    <t>acoustic-gravity waves; acoustic waves; gravity waves; evanescent waves; atmosphere rotation; diagnostic diagram</t>
  </si>
  <si>
    <t>PLANETARY-WAVES; PROPAGATION; MAGNETOSPHERE; OSCILLATIONS; MOMENTUM; MODES</t>
  </si>
  <si>
    <t>It was shown in a recent study [11] that taking into account the rotation of the Earth's atmosphere leads to the appearance of a new region of evanescent waves with a continuous frequency spectrum on the diagnostic diagram of acoustic-gravity waves. The region is located below the lower limit of gravity waves, which is equal to 2 Omega for all wavelengths, where Omega is the angular frequency of the atmospheric rotation. This result was obtained for high-latitude regions of the atmosphere in which one can be limited to considering only the vertical component of the Earth's rotation frequency. This paper shows that taking into account both components of the vector (Omega)over-right-arrow of the atmospheric rotation frequency (Omega)over-right-arrow -horizontal, Omega cos phi, where phi is the local latitude, and vertical, Omega sin phi-the dominant role in the acoustic-gravity wave propagation is played by the vertical component. It is shown that the horizontal component leads to a negligible modification of the boundaries of the regions of acoustic and gravity waves on the diagnostic diagram. It is also shown that the vertical component of the frequency affects most strongly the lower limit of gravity waves, which depends on the latitude of the observation site for all wavelengths and is equal to 2 Omega sin phi.</t>
  </si>
  <si>
    <t>[Cheremnykh, O. K.] Natl Acad Sci Ukraine, Space Res Inst, UA-03187 Kiev, Ukraine; State Space Agcy Ukraine, UA-03187 Kiev, Ukraine</t>
  </si>
  <si>
    <t>National Academy of Sciences Ukraine; State Space Agency of Ukraine; Space Research Institute of NAS of Ukraine &amp; SSA of Ukraine; State Space Agency of Ukraine</t>
  </si>
  <si>
    <t>Cheremnykh, OK (corresponding author), Natl Acad Sci Ukraine, Space Res Inst, UA-03187 Kiev, Ukraine.</t>
  </si>
  <si>
    <t>oleg.cheremnykh@gmail.com; ikdchereremnykh@gmail.com; dima.i.vlasov@gmail.com</t>
  </si>
  <si>
    <t>National Research Foundation of Ukraine [2020.02/0015]; Scientific Program of the National Antarctic Center of the Ministry of Education and Science of Ukraine; Volkswagen Foundation (VWStiftung) [97 742]; National Academy of Sciences of Ukraine</t>
  </si>
  <si>
    <t>National Research Foundation of Ukraine; Scientific Program of the National Antarctic Center of the Ministry of Education and Science of Ukraine; Volkswagen Foundation (VWStiftung); National Academy of Sciences of Ukraine</t>
  </si>
  <si>
    <t>The study was funded by the National Research Foundation of Ukraine, project no. 2020.02/0015 Theoretical and Experimental Studies of Global Disturbances of Natural and Manmade Origin in the Earth-Atmosphere-Ionosphere System and the Scientific Program of the National Antarctic Center of the Ministry of Education and Science of Ukraine as well as with the partial support of the Targeted Comprehensive Program of the National Academy of Sciences of Ukraine for Scientific Space Research in 2018-2022. Also authors would like to thank the Volkswagen Foundation (VWStiftung) for partial support (grant 97 742).</t>
  </si>
  <si>
    <t>0884-5913</t>
  </si>
  <si>
    <t>1934-8401</t>
  </si>
  <si>
    <t>KINEMAT PHYS CELEST+</t>
  </si>
  <si>
    <t>Kinemat. Phys. Celest. Bodies</t>
  </si>
  <si>
    <t>10.3103/S0884591322030023</t>
  </si>
  <si>
    <t>Astronomy &amp; Astrophysics</t>
  </si>
  <si>
    <t>2J2LO</t>
  </si>
  <si>
    <t>WOS:000815495500001</t>
  </si>
  <si>
    <t>Doytchinov, VV; Dimov, SG</t>
  </si>
  <si>
    <t>Doytchinov, Vesselin V.; Dimov, Svetoslav G.</t>
  </si>
  <si>
    <t>Microbial Community Composition of the Antarctic Ecosystems: Review of the Bacteria, Fungi, and Archaea Identified through an NGS-Based Metagenomics Approach</t>
  </si>
  <si>
    <t>Antarctica; environmental genetics; metagenomics; microbiology; next-generation sequencing (NGS); high-throughput sequencing (HTS); bacteria; archaea; fungi</t>
  </si>
  <si>
    <t>16S RIBOSOMAL-RNA; MCMURDO DRY VALLEYS; KING GEORGE ISLAND; MARINE BACTERIAL; MELTWATER PONDS; EUKARYOTIC DIVERSITY; RHIZOSPHERE SOIL; MAT COMMUNITIES; POLAR; ICE</t>
  </si>
  <si>
    <t>Antarctica represents a unique environment, both due to the extreme meteorological and geological conditions that govern it and the relative isolation from human influences that have kept its environment largely undisturbed. However, recent trends in climate change dictate an unavoidable change in the global biodiversity as a whole, and pristine environments, such as Antarctica, allow us to study and monitor more closely the effects of the human impact. Additionally, due to its inaccessibility, Antarctica contains a plethora of yet uncultured and unidentified microorganisms with great potential for useful biological activities and production of metabolites, such as novel antibiotics, proteins, pigments, etc. In recent years, amplicon-based next-generation sequencing (NGS) has allowed for a fast and thorough examination of microbial communities to accelerate the efforts of unknown species identification. For these reasons, in this review, we present an overview of the archaea, bacteria, and fungi present on the Antarctic continent and the surrounding area (maritime Antarctica, sub-Antarctica, Southern Sea, etc.) that have recently been identified using amplicon-based NGS methods.</t>
  </si>
  <si>
    <t>[Doytchinov, Vesselin V.; Dimov, Svetoslav G.] Sofia Univ St Kliment Ohridski, Fac Biol, Sofia 1164, Bulgaria</t>
  </si>
  <si>
    <t>University of Sofia</t>
  </si>
  <si>
    <t>Dimov, SG (corresponding author), Sofia Univ St Kliment Ohridski, Fac Biol, Sofia 1164, Bulgaria.</t>
  </si>
  <si>
    <t>v.doichinov@uni-sofia.bg; svetoslav@biofac.uni-sofia.bg</t>
  </si>
  <si>
    <t>Dimov, Svetoslav/0000-0002-2564-2427; Doytchinov, Vesselin/0000-0001-9779-2478</t>
  </si>
  <si>
    <t>National Center for Polar Studies-Sofia University `St. Kliment Ohridski' [70-25-72]</t>
  </si>
  <si>
    <t>National Center for Polar Studies-Sofia University `St. Kliment Ohridski'</t>
  </si>
  <si>
    <t>This research was funded and the APC were covered by the National Center for Polar Studies-Sofia University `St. Kliment Ohridski', grant number 70-25-72 from 3 August 2021.</t>
  </si>
  <si>
    <t>10.3390/life12060916</t>
  </si>
  <si>
    <t>2J8DR</t>
  </si>
  <si>
    <t>WOS:000815881000001</t>
  </si>
  <si>
    <t>Alimenti, C; Candelori, A; Jiang, YH; Luporini, P; Vallesi, A</t>
  </si>
  <si>
    <t>Alimenti, Claudio; Candelori, Annalisa; Jiang, Yaohan; Luporini, Pierangelo; Vallesi, Adriana</t>
  </si>
  <si>
    <t>Primary Structure and Coding Genes of Two Pheromones from the Antarctic Psychrophilic Ciliate, Euplotes focardii</t>
  </si>
  <si>
    <t>protein pheromones; macronuclear gene structures; polar microbiology; water-borne chemical signals</t>
  </si>
  <si>
    <t>PROTOZOAN CILIATE; SIGNAL PROTEINS; MOLECULAR-STRUCTURES; COLD-ADAPTATION; NMR STRUCTURE; MATING TYPES; RAIKOVI; ER-1; IDENTIFICATION; SEQUENCE</t>
  </si>
  <si>
    <t>In ciliates, diffusible cell type-specific pheromones regulate cell growth and mating phenomena acting competitively in both autocrine and heterologous fashion. In Euplotes species, these signaling molecules are represented by species-specific families of structurally homologous small, disulfide-rich proteins, each specified by one of a series of multiple alleles that are inherited without relationships of dominance at the mat-genetic locus of the germinal micronuclear genome, and expressed as individual gene-sized molecules in the somatic macronuclear genome. Here we report the 85-amino acid sequences and the full-length macronuclear nucleotide coding sequences of two pheromones, designated Ef-1 and Ef-2, isolated from the supernatant of a wild-type strain of a psychrophilic species of Euplotes, E. focardii, endemic to Antarctic coastal waters. An overall comparison of the determined E. focardii pheromone and pheromone-gene structures with their homologs from congeneric species provides an initial picture of how an evolutionary increase in the complexity of these structures accompanies Euplotes speciation.</t>
  </si>
  <si>
    <t>[Alimenti, Claudio; Candelori, Annalisa; Jiang, Yaohan; Luporini, Pierangelo; Vallesi, Adriana] Univ Camerino, Sch Biosci &amp; Vet Med, Lab Eukaryot Microbiol &amp; Anim Biol, I-62032 Camerino, MC, Italy</t>
  </si>
  <si>
    <t>University of Camerino</t>
  </si>
  <si>
    <t>Vallesi, A (corresponding author), Univ Camerino, Sch Biosci &amp; Vet Med, Lab Eukaryot Microbiol &amp; Anim Biol, I-62032 Camerino, MC, Italy.</t>
  </si>
  <si>
    <t>claudio.alimenti@unicam.it; annalisa.candelori@unicam.it; yaohan.jiang@unicam.it; piero.luporini@unicam.it; adriana.vallesi@unicam.it</t>
  </si>
  <si>
    <t>Vallesi, Adriana/I-9933-2016; JIANG, YAOHAN/JMP-5527-2023</t>
  </si>
  <si>
    <t>Vallesi, Adriana/0000-0002-4127-090X; JIANG, YAOHAN/0009-0000-6803-4248</t>
  </si>
  <si>
    <t>Programma Nazionale di Ricerca in Antartide of the Italian Ministry of Research [PNRA18_00077]</t>
  </si>
  <si>
    <t>Programma Nazionale di Ricerca in Antartide of the Italian Ministry of Research</t>
  </si>
  <si>
    <t>This research was funded by Programma Nazionale di Ricerca in Antartide of the Italian Ministry of Research, grant number PNRA18_00077.</t>
  </si>
  <si>
    <t>10.3390/microorganisms10061089</t>
  </si>
  <si>
    <t>2J8VG</t>
  </si>
  <si>
    <t>WOS:000815926800001</t>
  </si>
  <si>
    <t>Schroeter, BJE; Bindoff, NL; Reid, P; Alexander, SP</t>
  </si>
  <si>
    <t>Schroeter, Benjamin J. E.; Bindoff, Nathaniel L.; Reid, Phil; Alexander, Simon P.</t>
  </si>
  <si>
    <t>An Intercomparison of Antarctic NWP during the Austral Summer Special Observing Period for the Year of Polar Prediction</t>
  </si>
  <si>
    <t>WEATHER AND FORECASTING</t>
  </si>
  <si>
    <t>Forecast verification; skill; Forecasting; Operational forecasting; Model comparison; Model evaluation; performance; Numerical weather prediction; forecasting</t>
  </si>
  <si>
    <t>SEA-ICE; SURFACE; TEMPERATURE; MODEL; CLIMATOLOGY; ERA5</t>
  </si>
  <si>
    <t>The special observing periods (SOPs) of the Year of Polar Prediction present an opportunity to assess the skill of numerical weather prediction (NWP) models operating over the Antarctic, many of which assimilated additional observations during an SOP to produce some of the most observationally informed model output to date for the Antarctic region and permitting closer examination of model performance under various configurations and parameterizations. This intercomparison evaluates six NWP models spanning global and limited domains, coupled and uncoupled, operating in the Antarctic during the austral summer SOP between 16 November 2018 and 15 February 2019. Model performance varies regionally between each model and parameter; however, the majority of models were found to be warm biased over the continent with respect to ERA5 at analysis, some with biases growing to 3.5 K over land after 48 h. Temperature biases over sea ice were found to be strongly correlated between analysis and 48 h in uncoupled models, but that this correlation can be reduced through coupling to a sea ice model. Surface pressure and 500-hPa geopotential height forecasts and biases were found to be strongly correlated over open ocean in all models, and wind speed forecasts were found to be generally more skillful at higher resolutions with the exception of fast modeled winds over sloping terrain in PolarWRF. Surface sensible and latent heat flux forecasts and biases produced diverse correlations, varying by model, parameter, and gridcell classification. Of the models evaluated, those which couple atmosphere, sea ice, and ocean typically exhibited stronger skill. Significance StatementWe evaluated the performance of six numerical weather prediction models operating over the Antarctic during the Year of Polar Prediction austral summer special observing period (16 November 2018-15 February 2019). Our analysis found that several models were as much as 3.5 K warmer than the reference analysis (ERA5) at 48 h over land and were strongly correlated over sea ice in uncoupled models; however, this correlation is reduced through coupling to a sea ice model. Surface pressure biases are communicated to the midtroposphere over the ocean at larger spatial scales, while higher resolution showed an increase in positive wind biases at longer forecasts. Surface turbulent heat fluxes produced complex correlations with other forecast parameters, which should be quantified in future studies. Coupled models that included an ocean/sea ice component typically performed better; providing evidence that the inclusion of such components leads to improved model performance, even at short time scales such as these.</t>
  </si>
  <si>
    <t>[Schroeter, Benjamin J. E.; Bindoff, Nathaniel L.; Reid, Phil] Univ Tasmania, Inst Marine &amp; Antarctic Studies, Hobart, Tas, Australia; [Schroeter, Benjamin J. E.] Univ New South Wales, Australian Res Council Ctr Excellence Climate Syst, Sydney, NSW, Australia; [Bindoff, Nathaniel L.] Univ New South Wales, Australian Res Council Ctr Excellence Climate Extr, Sydney, NSW, Australia; [Bindoff, Nathaniel L.; Reid, Phil; Alexander, Simon P.] Univ Tasmania, Inst Marine &amp; Antarctic Studies, Australian Antarctic Program Partnership, Hobart, Tas, Australia; [Bindoff, Nathaniel L.; Reid, Phil] Australian Govt Bur Meteorol, Hobart, Tas, Australia; [Alexander, Simon P.] Australian Antarctic Div, Kingston, Tas, Australia; [Schroeter, Benjamin J. E.] CSIRO Oceans &amp; Atmosphere, Hobart, Tas, Australia</t>
  </si>
  <si>
    <t>University of Tasmania; University of New South Wales Sydney; University of New South Wales Sydney; University of Tasmania; Bureau of Meteorology - Australia; Australian Antarctic Division; Commonwealth Scientific &amp; Industrial Research Organisation (CSIRO)</t>
  </si>
  <si>
    <t>Schroeter, BJE (corresponding author), Univ Tasmania, Inst Marine &amp; Antarctic Studies, Hobart, Tas, Australia.;Schroeter, BJE (corresponding author), Univ New South Wales, Australian Res Council Ctr Excellence Climate Syst, Sydney, NSW, Australia.;Schroeter, BJE (corresponding author), CSIRO Oceans &amp; Atmosphere, Hobart, Tas, Australia.</t>
  </si>
  <si>
    <t>benjamin.schroeter@utas.edu.au</t>
  </si>
  <si>
    <t>; Schroeter, Benjamin/L-6874-2016</t>
  </si>
  <si>
    <t>Alexander, Simon/0000-0001-6823-8857; Schroeter, Benjamin/0000-0002-0252-8090</t>
  </si>
  <si>
    <t>National Collaborative Research Infrastructure Strategy; Australian Government as part of the Antarctic Science Collaboration Initiative [ASCI000002]; Meteo-France [CNRM-UMR3589]</t>
  </si>
  <si>
    <t>National Collaborative Research Infrastructure Strategy(Australian GovernmentDepartment of Industry, Innovation and Science); Australian Government as part of the Antarctic Science Collaboration Initiative(Australian Government); Meteo-France</t>
  </si>
  <si>
    <t>The authors wish to thank Sandrine Edouard from ECCC and Eric Bazile from Meteo-France (CNRM-UMR3589) for their assistance in acquiring model output and documentation for GDPS and ARPEGE-SH, as well as Kirstin Werner, David Bromwich, and the generous members of the YOPP community for making their data available for analysis. The authors would also like to thank the three anonymous reviewers for their thorough critique of this study. This research was undertaken with the assistance of resources and services from the National Computational Infrastructure (NCI), which is supported by the Australian Government, and by the NeCTAR Research Cloud; a collaborative Australian research platform supported by the National Collaborative Research Infrastructure Strategy. This is a contribution to the Year of Polar Prediction (YOPP), a flagship activity of the Polar Prediction Project (PPP), initiated by the World Weather Research Programme (WWRP) of the World Meteorological Organisation (WMO). We acknowledge the WMO WWRP for its role in coordinating this international research activity. This project received funding from the Australian Government as part of the Antarctic Science Collaboration Initiative (ASCI000002).</t>
  </si>
  <si>
    <t>0882-8156</t>
  </si>
  <si>
    <t>1520-0434</t>
  </si>
  <si>
    <t>WEATHER FORECAST</t>
  </si>
  <si>
    <t>Weather Forecast.</t>
  </si>
  <si>
    <t>10.1175/WAF-D-21-0088.1</t>
  </si>
  <si>
    <t>2I5JA</t>
  </si>
  <si>
    <t>WOS:000815013100003</t>
  </si>
  <si>
    <t>Steiner, Z; Landing, WM; Bohlin, MS; Greaves, M; Prakash, S; Vinayachandran, PN; Achterberg, EP</t>
  </si>
  <si>
    <t>Steiner, Zvi; Landing, William M.; Bohlin, Madeleine S.; Greaves, Mervyn; Prakash, Satya; Vinayachandran, P. N.; Achterberg, Eric P.</t>
  </si>
  <si>
    <t>Variability in the Concentration of Lithium in the Indo-Pacific Ocean</t>
  </si>
  <si>
    <t>dust; GEOTRACES; North Pacific; Indian Ocean; lithium; Li; Na</t>
  </si>
  <si>
    <t>LI ISOTOPE FRACTIONATION; ATLANTIC-OCEAN; DISSOLVED ALUMINUM; MASS-BALANCE; PORE WATERS; SEA-WATER; SEAWATER; IRON; MANGANESE; GEOCHEMISTRY</t>
  </si>
  <si>
    <t>Lithium has limited biological activity and can readily replace aluminium, magnesium and iron ions in aluminosilicates, making it a proxy for the inorganic silicate cycle and its potential link to the carbon cycle. Data from the North Pacific Ocean, tropical Indian Ocean, Southern Ocean and Red Sea suggest that salinity normalized dissolved lithium concentrations vary by up to 2%-3% in the Indo-Pacific Ocean. The highest lithium concentrations were measured in surface waters of remote North Pacific and Indian Ocean stations that receive relatively high fluxes of dust. The lowest dissolved lithium concentrations were measured just below the surface mixed layer of the stations with highest surface water concentrations, consistent with removal into freshly forming aluminium rich phases and manganese oxides. In the North Pacific, water from depths &gt;2,000 m is slightly depleted in lithium compared to the initial composition of Antarctic Bottom Water, likely due to uptake of lithium by authigenically forming aluminosilicates. The results of this study suggest that the residence time of lithium in the ocean may be significantly shorter than calculated from riverine and hydrothermal fluxes.</t>
  </si>
  <si>
    <t>[Steiner, Zvi; Achterberg, Eric P.] GEOMAR Helmholtz Ctr Ocean Res Kiel, Kiel, Germany; [Landing, William M.] Florida State Univ, Dept Earth Ocean &amp; Atmospher Sci, Tallahassee, FL 32306 USA; [Bohlin, Madeleine S.] Uppsala Univ, Dept Earth Sci, Uppsala, Sweden; [Bohlin, Madeleine S.; Greaves, Mervyn] Univ Cambridge, Dept Earth Sci, Cambridge, England; [Prakash, Satya] Indian Natl Ctr Ocean Informat Serv, Hyderabad, India; [Vinayachandran, P. N.] Indian Inst Sci, Ctr Atmospher &amp; Ocean Sci, Bangalore, Karnataka, India</t>
  </si>
  <si>
    <t>Helmholtz Association; GEOMAR Helmholtz Center for Ocean Research Kiel; State University System of Florida; Florida State University; Uppsala University; University of Cambridge; Ministry of Earth Sciences (MoES) - India; Indian National Centre for Ocean Information Services (INCOIS); Indian Institute of Science (IISC) - Bangalore</t>
  </si>
  <si>
    <t>Steiner, Z (corresponding author), GEOMAR Helmholtz Ctr Ocean Res Kiel, Kiel, Germany.</t>
  </si>
  <si>
    <t>zsteiner@geomar.de</t>
  </si>
  <si>
    <t>Steiner, Zvi/J-1260-2019; Achterberg, Eric P/C-5820-2009; Landing, William/KBA-8522-2024; Prakash, Satya/HNS-9397-2023</t>
  </si>
  <si>
    <t>Steiner, Zvi/0000-0002-9584-4956; Landing, William/0000-0002-7514-3247; Bohlin, Madeleine/0000-0002-2101-9005; Greaves, Mervyn/0000-0001-8014-8627</t>
  </si>
  <si>
    <t>DFG [458035111]; NSF Ocean Acidification Grant [OCE1220600]; Indian National Centre for Ocean Information Services (INCOIS), Ministry of Earth Sciences, India; NSF-OCE [0223378, 0649639]; National Science Foundation [DMR-1157490]; Projekt DEAL; State of Florida; Division Of Ocean Sciences; Directorate For Geosciences [0223378] Funding Source: National Science Foundation; Division Of Ocean Sciences; Directorate For Geosciences [0649639] Funding Source: National Science Foundation</t>
  </si>
  <si>
    <t>DFG(German Research Foundation (DFG)); NSF Ocean Acidification Grant; Indian National Centre for Ocean Information Services (INCOIS), Ministry of Earth Sciences, India; NSF-OCE(National Science Foundation (NSF)NSF - Directorate for Geosciences (GEO)); National Science Foundation(National Science Foundation (NSF)); Projekt DEAL; State of Florida; Division Of Ocean Sciences; Directorate For Geosciences(National Science Foundation (NSF)NSF - Directorate for Geosciences (GEO)); Division Of Ocean Sciences; Directorate For Geosciences(National Science Foundation (NSF)NSF - Directorate for Geosciences (GEO))</t>
  </si>
  <si>
    <t>This work was funded by DFG Grant No. 458035111. We thank Alexandra Turchyn for reading and commenting on several versions of this manuscript, and for funding part of the analyses, and David Wilson and anonymous reviewers for comments and suggestions that significantly improved the manuscript. We thank William Berelson and Jess Adkins for inviting Zvi Steiner to participate in cruise CDisK-IV on board RV Kilo Moana, funded by NSF Ocean Acidification Grant No. OCE1220600, and Amit Sarkar for collecting samples during cruise SOE09 onboard SA Agulhas, conducted by the National Centre for Polar and Ocean Research (NCPOR), Ministry of Earth Sciences, India. We also thank Jacob Silverman and Eyal Harpaz for providing surface water samples from the Red Sea. The cruise on board the ORV Sagar Nidhi was funded by the Indian National Centre for Ocean Information Services (INCOIS), Ministry of Earth Sciences, India, as the first cruise of the second International Indian Ocean Expedition (IIOE-2). We thank Regina Surberg for support with the ICP-OES. Aerosol collection and analysis for the CLIVAR P02 and P16 expeditions was supported by grants from NSF-OCE (0223378 and 0649639). A portion of this work was performed at the National High Magnetic Field Laboratory, which is supported by the National Science Foundation Cooperative Agreement No. DMR-1157490 and the State of Florida. Open Access funding enabled and organized by Projekt DEAL.</t>
  </si>
  <si>
    <t>e2021GB007184</t>
  </si>
  <si>
    <t>10.1029/2021GB007184</t>
  </si>
  <si>
    <t>2H9AO</t>
  </si>
  <si>
    <t>Green Published, Green Accepted, hybrid</t>
  </si>
  <si>
    <t>WOS:000814579600001</t>
  </si>
  <si>
    <t>Zhang, WD; Wolfe, CLP</t>
  </si>
  <si>
    <t>Zhang, Wenda; Wolfe, Christopher L. P.</t>
  </si>
  <si>
    <t>On the Vertical Structure of Oceanic Mesoscale Tracer Diffusivities</t>
  </si>
  <si>
    <t>JOURNAL OF ADVANCES IN MODELING EARTH SYSTEMS</t>
  </si>
  <si>
    <t>ocean mesoscale eddies; isopycnal mixing; tracer inversion; mixing length theory</t>
  </si>
  <si>
    <t>ISOPYCNIC EDDY DIFFUSIVITIES; ANTARCTIC CIRCUMPOLAR CURRENT; SOUTHERN-OCEAN; MEAN FLOW; OVERTURNING CIRCULATION; ARGO FLOAT; SURFACE; PARAMETERIZATION; MODEL; EDDIES</t>
  </si>
  <si>
    <t>Isopycnal mixing of tracers is important for ocean dynamics and biogeochemistry. Previous studies have primarily focused on the horizontal structure of mixing, but what controls its vertical structure is still unclear. This study investigates the vertical structure of the isopycnal tracer diffusivity diagnosed by a multiple-tracer inversion method in an idealized basin circulation model. The first two eigenvalues of the symmetric part of the 3D diffusivity tensor are approximately tangent to isopycnal surfaces. The isopycnal mixing is anisotropic, with principal directions of the large and small diffusivities generally oriented along and across the mean flow direction. The cross-stream diffusivity can be reconstructed from the along-stream diffusivity after accounting for suppression of mixing by the mean flow. In the circumpolar channel and the upper ocean in the gyres, the vertical structure of the along-stream diffusivity follows that of the rms eddy velocity times a depth-independent local energy-containing scale estimated from the sea surface height. The diffusivity in the deep ocean in the gyres instead follows the profile of the eddy kinetic energy times a depth-independent mixing time scale. The transition between the two mixing regimes is attributed to the dominance of nonlinear interactions and linear waves in the upper and deep ocean, respectively, distinguished by a nonlinearity parameter. A formula is proposed that accounts for both regimes and captures the vertical variation of diffusivities better than extant theories. These results inform efforts to parameterize the vertical structure of isopycnal mixing in coarse-resolution ocean models.</t>
  </si>
  <si>
    <t>[Zhang, Wenda; Wolfe, Christopher L. P.] SUNY Stony Brook, Sch Marine &amp; Atmospher Sci, Stony Brook, NY 11794 USA</t>
  </si>
  <si>
    <t>State University of New York (SUNY) System; State University of New York (SUNY) Stony Brook</t>
  </si>
  <si>
    <t>Zhang, WD (corresponding author), SUNY Stony Brook, Sch Marine &amp; Atmospher Sci, Stony Brook, NY 11794 USA.</t>
  </si>
  <si>
    <t>wenda.zhang@stonybrook.edu</t>
  </si>
  <si>
    <t>Zhang, Wenda/0000-0002-8025-2819; Pitt Wolfe, Christopher/0000-0002-7062-2070</t>
  </si>
  <si>
    <t>National Science Foundation (NSF) [OCE-2048826]; Stony Brook Research Computing and Cyber Infrastructure; Institute for Advanced Computational Science at Stony Brook University by NSF</t>
  </si>
  <si>
    <t>National Science Foundation (NSF)(National Science Foundation (NSF)National Research Foundation of Korea); Stony Brook Research Computing and Cyber Infrastructure; Institute for Advanced Computational Science at Stony Brook University by NSF</t>
  </si>
  <si>
    <t>This work is supported by the National Science Foundation (NSF) through Award OCE-2048826. Computing resources were provided by the high-performance SeaWulf computing system supported by Stony Brook Research Computing and Cyber Infrastructure and the Institute for Advanced Computational Science at Stony Brook University, which is itself supported by NSF. We are grateful to Shafer Smith for insightful comments and sharing an unpublished manuscript on the use of multiple tracers by Dhruv Balwada, Shafer Smith, and Ryan Abernathey. We also thank Scott Bachman and Yan Wang for helpful discussions on the tracer inversion method and analysis. We thank three anonymous reviewers and the editor Stephen Griffies for their insightful comments, which helped to significantly improve the manuscript.</t>
  </si>
  <si>
    <t>1942-2466</t>
  </si>
  <si>
    <t>J ADV MODEL EARTH SY</t>
  </si>
  <si>
    <t>J. Adv. Model. Earth Syst.</t>
  </si>
  <si>
    <t>e2021MS002891</t>
  </si>
  <si>
    <t>10.1029/2021MS002891</t>
  </si>
  <si>
    <t>2G3PR</t>
  </si>
  <si>
    <t>WOS:000813510400001</t>
  </si>
  <si>
    <t>Kavanagh, AJ; Ogawa, Y; Woodfield, EE</t>
  </si>
  <si>
    <t>Kavanagh, Andrew J.; Ogawa, Yasunobu; Woodfield, Emma E.</t>
  </si>
  <si>
    <t>Two Techniques for Determining F-Region Ion Velocities at Meso-Scales: Differences and Impacts on Joule Heating</t>
  </si>
  <si>
    <t>JOURNAL OF GEOPHYSICAL RESEARCH-SPACE PHYSICS</t>
  </si>
  <si>
    <t>ion velocity; EISCAT; Joule heating; incoherent scatter radar</t>
  </si>
  <si>
    <t>INTERPLANETARY MAGNETIC-FIELD; HIGH-LATITUDE CONVECTION; TIME DATA ACQUISITION; NEUTRAL WIND; INTERPRETATION CAPABILITIES; IONOSPHERIC CONVECTION; PLASMA VELOCITY; ELECTRIC-FIELD; AURORAL-ZONE; RADAR</t>
  </si>
  <si>
    <t>We have investigated the difference between two standard techniques for deriving the ionospheric ion velocity using data taken with the EISCAT incoherent scatter radar between 1987 and 2007. For large-scale convection flows, there is little difference between the tristatic and monostatic techniques, though the biggest relative difference occurs during periods when the interplanetary magnetic field (IMF) is strongly northward. At small scales the difference between the two techniques is correlated with a measure of the variability of the tristatic measurement. This suggests that small-scale flow bursts, such as those associated with enhanced auroral arcs, could explain the local time variation in the velocity difference distributions. The difference in velocities obtained from the monostatic and tristatic techniques can make a significant difference in the estimate of the magnitude of Joule heating in the thermosphere. Considering only the electric field dominated component of Joule heating, Q, the difference in the two techniques can be as much as 52% of the tristatic measurement (Q(m) = 0.48Q(t)) in the morning sector (0-6 MLT), during a moderate to large geomagnetic storm. This reduces to a difference of 36% at non-storm times in the same MLT period. Careful averaging of the velocity field with the future EISCAT_3D radar system will allow us to establish the impact of both spatial and temporal scales on the magnitude of the observations.</t>
  </si>
  <si>
    <t>[Kavanagh, Andrew J.; Woodfield, Emma E.] British Antarctic Survey, Cambridge, England; [Kavanagh, Andrew J.] RAL Space Rutherford Appleton Lab, Oxford, England; [Ogawa, Yasunobu] Natl Inst Polar Res, Tokyo, Japan</t>
  </si>
  <si>
    <t>UK Research &amp; Innovation (UKRI); Natural Environment Research Council (NERC); NERC British Antarctic Survey; Research Organization of Information &amp; Systems (ROIS); National Institute of Polar Research (NIPR) - Japan</t>
  </si>
  <si>
    <t>Kavanagh, AJ (corresponding author), British Antarctic Survey, Cambridge, England.;Kavanagh, AJ (corresponding author), RAL Space Rutherford Appleton Lab, Oxford, England.</t>
  </si>
  <si>
    <t>andkav@bas.ac.uk</t>
  </si>
  <si>
    <t>Woodfield, Emma/B-5313-2014</t>
  </si>
  <si>
    <t>Woodfield, Emma/0000-0002-0531-8814; Ogawa, Yasunobu/0000-0002-8118-4475</t>
  </si>
  <si>
    <t>NERC [NE/P016693/1, NE/R01700X/1, NE/R016038/1]; JSPS KAKENHI [JP20H00192, JP20K04052, JP20KK0313, JP21H04520]; STFC [ST/S000496/1]; China (CRIRP); Finland (SA); Japan (NIPR); Japan (ISEE); Norway (NFR); Sweden (VR); United Kingdom (UKRI)</t>
  </si>
  <si>
    <t>NERC(UK Research &amp; Innovation (UKRI)Natural Environment Research Council (NERC)); JSPS KAKENHI(Ministry of Education, Culture, Sports, Science and Technology, Japan (MEXT)Japan Society for the Promotion of ScienceGrants-in-Aid for Scientific Research (KAKENHI)); STFC(UK Research &amp; Innovation (UKRI)Science &amp; Technology Facilities Council (STFC)); China (CRIRP); Finland (SA); Japan (NIPR); Japan (ISEE); Norway (NFR)(Research Council of Norway); Sweden (VR)(Swedish Research Council); United Kingdom (UKRI)(UK Research &amp; Innovation (UKRI))</t>
  </si>
  <si>
    <t>AJK was supported by NERC grants NE/P016693/1, NE/R01700X/1 and NE/R016038/1; YO and work with the NIPR database was supported by JSPS KAKENHI grant no. JP20H00192, JP20K04052, JP20KK0313 and JP21H04520. EEW was supported by STFC grant ST/S000496/1. EISCAT is an international association supported by research organizations in China (CRIRP), Finland (SA), Japan (NIPR and ISEE), Norway (NFR), Sweden (VR), and the United Kingdom (UKRI). The EISCAT data are the intellectual property of the EISCAT Scientific Association. Thanks to Laura Gerrish and the BAS MAGIC team for providing the map in Figure</t>
  </si>
  <si>
    <t>2169-9380</t>
  </si>
  <si>
    <t>2169-9402</t>
  </si>
  <si>
    <t>J GEOPHYS RES-SPACE</t>
  </si>
  <si>
    <t>J. Geophys. Res-Space Phys.</t>
  </si>
  <si>
    <t>e2021JA030062</t>
  </si>
  <si>
    <t>10.1029/2021JA030062</t>
  </si>
  <si>
    <t>2G4PK</t>
  </si>
  <si>
    <t>WOS:000813578700001</t>
  </si>
  <si>
    <t>Kotta, J; Raudsepp, U; Szava-Kovats, R; Aps, R; Armoskaite, A; Barda, I; Bergstrom, P; Futter, M; Grondahl, F; Hargrave, M; Jakubowska, M; Janes, H; Kaasik, A; Kraufvelin, P; Kovaltchouk, N; Krost, P; Kulikowski, T; Koivupuu, A; Kotta, I; Lees, L; Loite, S; Maljutenko, I; Nylund, G; Paalme, T; Pavia, H; Purina, I; Rahikainen, M; Sandow, V; Visch, W; Yang, BR; Barboza, FR</t>
  </si>
  <si>
    <t>Kotta, Jonne; Raudsepp, Urmas; Szava-Kovats, Robert; Aps, Robert; Armoskaite, Aurelija; Barda, Ieva; Bergstrom, Per; Futter, Martyn; Grondahl, Fredrik; Hargrave, Matthew; Jakubowska, Magdalena; Janes, Holger; Kaasik, Ants; Kraufvelin, Patrik; Kovaltchouk, Nikolai; Krost, Peter; Kulikowski, Tomasz; Koivupuu, Anneliis; Kotta, Ilmar; Lees, Liisi; Loite, Sander; Maljutenko, Ilja; Nylund, Goran; Paalme, Tiina; Pavia, Henrik; Purina, Ingrida; Rahikainen, Moona; Sandow, Verena; Visch, Wouter; Yang, Baoru; Barboza, Francisco R.</t>
  </si>
  <si>
    <t>Assessing the potential for sea-based macroalgae cultivation and its application for nutrient removal in the Baltic Sea</t>
  </si>
  <si>
    <t>Seaweed farming; Aquaculture; Blue growth; Eutrophication control</t>
  </si>
  <si>
    <t>ENTEROMORPHA-INTESTINALIS CHLOROPHYTA; SACCHARINA-LATISSIMA LAMINARIALES; KELP UNDARIA-PINNATIFIDA; FUCUS-VESICULOSUS; SALINITY TOLERANCE; REDUCED SALINITY; GROWTH; COASTAL; TEMPERATURE; PHOTOSYNTHESIS</t>
  </si>
  <si>
    <t>Marine eutrophication is a pervasive and growing threat to global sustainability. Macroalgal cultivation is a promising circular economy solution to achieve nutrient reduction and food security. However, the location of production hotspots is not well known. In this paper the production potential of macroalgae of high commercial value was predicted across the Baltic Sea region. In addition, the nutrient limitation within and adjacent to macroalgal farms was investigated to suggest optimal site-specific configuration of farms. The production potential of Saccharina latissima was largely driven by salinity and the highest production yields are expected in the westernmost Baltic Sea areas where salinity is &gt; 23. The direct and interactive effects of light availability, temperature, salinity and nutrient concentrations regulated the predicted changes in the production of Ulva intestinalis and Fucus vesiculosus. The western and southern Baltic Sea exhibited the highest farming potential for these species, with promising areas also in the eastern Baltic Sea. Macroalgal farming did not induce significant nutrient limitation. The expected spatial propagation of nutrient limitation caused by macroalgal farming was less than 100-250 m. Higher propagation distances were found in areas of low nutrient and low water exchange (e.g. offshore areas in the Baltic Proper) and smaller distances in areas of high nutrient and high water exchange (e.g. western Baltic Sea and Gulf of Riga). The generated maps provide the most sought-after input to support blue growth initiatives that foster the sustainable development of macroalgal cultivation and reduction of in situ nutrient loads in the Baltic Sea.</t>
  </si>
  <si>
    <t>[Kotta, Jonne; Szava-Kovats, Robert; Aps, Robert; Janes, Holger; Kaasik, Ants; Kovaltchouk, Nikolai; Koivupuu, Anneliis; Kotta, Ilmar; Lees, Liisi; Loite, Sander; Paalme, Tiina; Barboza, Francisco R.] Univ Tartu, Estonian Marine Inst, Maealuse 14, EE-12618 Tallinn, Estonia; [Kotta, Jonne] Tallinn Univ Technol, Estonian Maritime Acad, Kopli 101, EE-11712 Tallinn, Estonia; [Raudsepp, Urmas; Maljutenko, Ilja] Tallinn Univ Technol, Marine Syst Inst, Ehitajate Tee 5, EE-12616 Tallinn, Estonia; [Armoskaite, Aurelija; Barda, Ieva; Purina, Ingrida] Latvian Inst Aquat Ecol, Voleru Iela 2, LV-1007 Riga, Latvia; [Bergstrom, Per; Nylund, Goran; Pavia, Henrik] Univ Gothenburg, Dept Marine Sci, Tjarno Marine Lab, Laboratorievagen 10, SE-45296 Stromstad, Sweden; [Futter, Martyn] Swedish Univ Agr Sci, Dept Aquat Sci &amp; Assessment, Box 7050, SE-75007 Uppsala, Sweden; [Grondahl, Fredrik] KTH Stockholm, Royal Inst Technol, Teknikringen 10B, SE-10044 Stockholm, Sweden; [Hargrave, Matthew] Univ Gothenburg, Sven Loven Ctr Marine Sci, Kristineberg 566, SE-45178 Fiskebackskil, Sweden; [Jakubowska, Magdalena; Kulikowski, Tomasz] Natl Marine Fisheries Res Inst, Ul Kollataja 1, PL-81332 Gdynia, Poland; [Kraufvelin, Patrik] Swedish Univ Agr Sci, Kustlaboratoriet, Skolgatan 6, SE-74242 Oregrund, Sweden; [Krost, Peter; Sandow, Verena] Coastal Res &amp; Management, Tiessenkai 12, D-24159 Kiel, Germany; [Rahikainen, Moona; Yang, Baoru] Univ Turku, Dept Life Technol, Food Chem &amp; Food Dev, Tykistokatu 6, FI-20014 Turku, Finland; [Visch, Wouter] Univ Tasmania, Inst Marine &amp; Antarctic Studies, 20 Castray Esplanade, Hobart, Tas 7004, Australia; [Kraufvelin, Patrik] Aland Univ Appl Sci, PB 1010,AX-221111, Mariehamn, Aland, Finland</t>
  </si>
  <si>
    <t>University of Tartu; Estonian Marine Institute; Tallinn University of Technology; Tallinn University of Technology; University of Gothenburg; Swedish University of Agricultural Sciences; Royal Institute of Technology; University of Gothenburg; National Marine Fisheries Research Institute; Swedish University of Agricultural Sciences; University of Turku; University of Tasmania</t>
  </si>
  <si>
    <t>Kotta, J (corresponding author), Univ Tartu, Estonian Marine Inst, Maealuse 14, EE-12618 Tallinn, Estonia.</t>
  </si>
  <si>
    <t>jonne@sea.ee</t>
  </si>
  <si>
    <t>Paalme, Tiina/GXF-8043-2022; Kaasik, Ants/H-2462-2012</t>
  </si>
  <si>
    <t>Kaasik, Ants/0000-0002-4904-0877; Raudsepp, Urmas/0000-0002-1037-5311; Rahikainen, Moona/0000-0001-5365-8963; Barda, Ieva/0000-0002-5907-2581; Koivupuu, Anneliis/0000-0002-5498-600X; Armoskaite, Aurelija/0000-0001-8040-5742; , Magdalena Jakubowska-Lehrmann/0000-0003-1838-8413; Purina, Ingrida/0000-0002-1642-9560; Visch, Wouter/0000-0003-4291-6239; Maljutenko, Ilja/0000-0001-7655-3363; Kraufvelin, Patrik/0000-0003-3224-8388</t>
  </si>
  <si>
    <t>European Union</t>
  </si>
  <si>
    <t>European Union(European Union (EU))</t>
  </si>
  <si>
    <t>This study was supported by the European Union Interreg 2019-2021 programme Growing Algae Sustainably in the Baltic Sea (GRASS) . Marko Rantaniemi is acknowledged for technical assistance in algal cultivation.</t>
  </si>
  <si>
    <t>10.1016/j.scitotenv.2022.156230</t>
  </si>
  <si>
    <t>2D7OV</t>
  </si>
  <si>
    <t>WOS:000811732300010</t>
  </si>
  <si>
    <t>Shaw, JT; Allen, G; Barker, P; Pitt, JR; Pasternak, D; Bauguitte, SJB; Lee, J; Bower, KN; Daly, MC; Lunt, MF; Ganesan, AL; Vaughan, AR; Chibesakunda, F; Lambakasa, M; Fisher, RE; France, JL; Lowry, D; Palmer, PI; Metzger, S; Parker, RJ; Gedney, N; Bateson, P; Cain, M; Lorente, A; Borsdorff, T; Nisbet, EG</t>
  </si>
  <si>
    <t>Shaw, Jacob T.; Allen, Grant; Barker, Patrick; Pitt, Joseph R.; Pasternak, Dominika; Bauguitte, Stephane J-B; Lee, James; Bower, Keith N.; Daly, Michael C.; Lunt, Mark F.; Ganesan, Anita L.; Vaughan, Adam R.; Chibesakunda, Francis; Lambakasa, Musa; Fisher, Rebecca E.; France, James L.; Lowry, David; Palmer, Paul, I; Metzger, Stefan; Parker, Robert J.; Gedney, Nicola; Bateson, Prudence; Cain, Michelle; Lorente, Alba; Borsdorff, Tobias; Nisbet, Euan G.</t>
  </si>
  <si>
    <t>Large Methane Emission Fluxes Observed From Tropical Wetlands in Zambia</t>
  </si>
  <si>
    <t>methane; wetlands; emission flux; model comparison; Africa; satellite</t>
  </si>
  <si>
    <t>GREENHOUSE-GAS EMISSIONS; HIGH-SPATIAL-RESOLUTION; ATMOSPHERIC METHANE; EDDY-COVARIANCE; AIRBORNE MEASUREMENTS; SATELLITE DATA; CO EMISSIONS; FOSSIL-FUEL; CH4; MODEL</t>
  </si>
  <si>
    <t>Methane (CH4) is a potent greenhouse gas with a warming potential 84 times that of carbon dioxide (CO2) over a 20-year period. Atmospheric CH4 concentrations have been rising since the nineteenth century but the cause of large increases post-2007 is disputed. Tropical wetlands are thought to account for similar to 20% of global CH4 emissions, but African tropical wetlands are understudied and their contribution is uncertain. In this work, we use the first airborne measurements of CH4 sampled over three wetland areas in Zambia to derive emission fluxes. Three independent approaches to flux quantification from airborne measurements were used: Airborne mass balance, airborne eddy-covariance, and an atmospheric inversion. Measured emissions (ranging from 5 to 28 mg m(-2) hr(-1)) were found to be an order of magnitude greater than those simulated by land surface models (ranging from 0.6 to 3.9 mg m(-2) hr(-1)), suggesting much greater emissions from tropical wetlands than currently accounted for. The prevalence of such underestimated CH4 sources may necessitate additional reductions in anthropogenic greenhouse gas emissions to keep global warming below a threshold of 2 degrees C above preindustrial levels.</t>
  </si>
  <si>
    <t>[Shaw, Jacob T.; Allen, Grant; Barker, Patrick; Pitt, Joseph R.; Bower, Keith N.; Bateson, Prudence] Univ Manchester, Dept Earth &amp; Environm Sci, Ctr Atmospher Sci, Manchester, Lancs, England; [Pitt, Joseph R.] Univ Bristol, Sch Chem, Bristol, Avon, England; [Pasternak, Dominika; Lee, James; Vaughan, Adam R.] Univ York, Wolfson Atmospher Chem Labs, Dept Chem, York, N Yorkshire, England; [Bauguitte, Stephane J-B] Cranfield Univ, Facil Airborne Atmospher Measurements FAAM 125, Cranfield, Beds, England; [Lee, James] Univ York, Natl Ctr Atmospher Sci, York, N Yorkshire, England; [Daly, Michael C.] Univ Oxford, Dept Earth Sci, Oxford, England; [Lunt, Mark F.; Palmer, Paul, I] Univ Edinburgh, Sch GeoSci, Edinburgh, Midlothian, Scotland; [Ganesan, Anita L.] Univ Bristol, Sch Geog Sci, Bristol, Avon, England; [Chibesakunda, Francis; Lambakasa, Musa] Geol Survey Zambia, Minist Mines &amp; Mineral Dev, Lusaka, Zambia; [Fisher, Rebecca E.; France, James L.; Lowry, David; Nisbet, Euan G.] Royal Holloway Univ London, Dept Earth Sci, Egham, Surrey, England; [France, James L.] British Antarctic Survey, Nat Environm Res Council, Cambridge, England; [France, James L.] Environm Def Fund, London, England; [Palmer, Paul, I] Univ Edinburgh, Natl Ctr Earth Observat, Edinburgh, Midlothian, Scotland; [Metzger, Stefan] Battelle Mem Inst, Natl Ecol Observ Network, Boulder, CO USA; [Metzger, Stefan] Univ Wisconsin, Dept Atmospher &amp; Ocean Sci, Madison, WI USA; [Parker, Robert J.] Univ Leicester, Natl Ctr Earth Observat, Leicester, Leics, England; [Parker, Robert J.] Univ Leicester, Sch Phys &amp; Astron, Earth Observat Sci, Leicester, Leics, England; [Gedney, Nicola] Met Off Hadley Ctr, Joint Ctr Hydrometeorol Res, Crowmarsh Gifford, England; [Cain, Michelle] Univ Oxford, Sch Geog &amp; Environm, Environm Change Inst, Oxford, England; [Cain, Michelle] Cranfield Univ, Ctr Environm &amp; Agr Informat, Cranfield, Beds, England; [Lorente, Alba; Borsdorff, Tobias] SRON Netherlands Inst Space Res, Utrecht, Netherlands</t>
  </si>
  <si>
    <t>University of Manchester; University of Bristol; University of York - UK; Cranfield University; University of York - UK; UK Research &amp; Innovation (UKRI); Natural Environment Research Council (NERC); NERC National Centre for Atmospheric Science; University of Oxford; University of Edinburgh; University of Bristol; University of London; Royal Holloway University London; UK Research &amp; Innovation (UKRI); Natural Environment Research Council (NERC); NERC British Antarctic Survey; Environmental Defense Fund; University of Edinburgh; University of Wisconsin System; University of Wisconsin Madison; University of Leicester; University of Leicester; Met Office - UK; Hadley Centre; University of Oxford; Cranfield University</t>
  </si>
  <si>
    <t>Shaw, JT; Allen, G (corresponding author), Univ Manchester, Dept Earth &amp; Environm Sci, Ctr Atmospher Sci, Manchester, Lancs, England.;Nisbet, EG (corresponding author), Royal Holloway Univ London, Dept Earth Sci, Egham, Surrey, England.</t>
  </si>
  <si>
    <t>jacob.shaw@manchester.ac.uk; grant.allen@manchester.ac.uk; E.Nisbet@rhul.ac.uk</t>
  </si>
  <si>
    <t>Lunt, Mark/A-7132-2014; France, James L/L-9719-2015; Lorente, Alba/P-6110-2017; Palmer, Paul I/F-7008-2010; Lowry, David/JCE-0619-2023; Pitt, Joseph/GWM-5007-2022; Lowry, David/GXG-1235-2022; Allen, Grant/A-7737-2013; Vaughan, Adam R/O-2912-2015; Ganesan, Anita/D-6230-2016</t>
  </si>
  <si>
    <t>Lunt, Mark/0000-0002-2391-5575; Palmer, Paul I/0000-0002-1487-0969; Pitt, Joseph/0000-0002-8660-5136; Allen, Grant/0000-0002-7070-3620; Ganesan, Anita/0000-0001-5715-8923; LOWRY, DAVID/0000-0002-8535-0346; Cain, Michelle/0000-0003-2062-6556; Shaw, Jacob/0000-0003-3558-3894; Fisher, Rebecca/0000-0002-9262-5467; Pasternak, Dominika/0000-0001-6446-6297; Bower, Keith/0000-0002-9802-3264</t>
  </si>
  <si>
    <t>Natural Environment Research Council (NERC) [NE/N015835/1, NE/N016211/1]; NERC ZWAMPS project [NE/S00159X/1]; MOYA [NE/N015916/1]; NERC National Centre for Earth Observation [NE/R016518/1]; NERC [NE/L010992/1]; UK National Centre for Earth Observation [NE/R016518/1, NE/N018079/1]; MOYA; Newton Fund via the Met Office Climate Science for Service Partnership Brazil (CSSP Brazil); National Science Foundation; National Science Foundation through the NEON Program; Zambian Geological Survey, Ministry of Mines, Zambia; Japanese Aerospace Exploration Agency; National Institute for Environmental Studies; Ministry of Environment; NERC [NE/T014849/1, NE/V013173/1, NE/N016548/1, NE/N015835/1, NE/N016211/1, NE/N015916/1, NE/N018079/1, NE/S00159X/1] Funding Source: UKRI</t>
  </si>
  <si>
    <t>Natural Environment Research Council (NERC)(UK Research &amp; Innovation (UKRI)Natural Environment Research Council (NERC)); NERC ZWAMPS project; MOYA; NERC National Centre for Earth Observation(UK Research &amp; Innovation (UKRI)Natural Environment Research Council (NERC)); NERC(UK Research &amp; Innovation (UKRI)Natural Environment Research Council (NERC)); UK National Centre for Earth Observation; MOYA; Newton Fund via the Met Office Climate Science for Service Partnership Brazil (CSSP Brazil); National Science Foundation(National Science Foundation (NSF)); National Science Foundation through the NEON Program; Zambian Geological Survey, Ministry of Mines, Zambia; Japanese Aerospace Exploration Agency; National Institute for Environmental Studies; Ministry of Environment(Ministry of Environment (ME), Republic of Korea); NERC(UK Research &amp; Innovation (UKRI)Natural Environment Research Council (NERC))</t>
  </si>
  <si>
    <t>The aircraft data used in this publication have been collected as part of the Methane Observations and Yearly Assessments (MOYA) project funded by the Natural Environment Research Council (NERC) under Grant No. NE/N015835/1 (The University of Manchester) and NE/N016211/1 (Royal Holloway, University of London), as well as the NERC ZWAMPS project (NE/S00159X/1). MFL and PIP also acknowledge funding from MOYA (NE/N015916/1) and the NERC National Centre for Earth Observation (NE/R016518/1). AG is funded by a NERC Independent Research Fellowship (NE/L010992/1). RJP is funded via the UK National Centre for Earth Observation (NE/N018079/1 and NE/R016518/1). NG acknowledges funding from MOYA and from The Newton Fund via the Met Office Climate Science for Service Partnership Brazil (CSSP Brazil). SM acknowledges the National Ecological Observatory Network (NEON), a program sponsored by the National Science Foundation and operated under cooperative agreement by Battelle. This material is based in part upon work supported by the National Science Foundation through the NEON Program. We would like to thank Airtask Ltd. (who flew the aircraft),and all those involved in the operation and maintenance of the BAe-146-301 Atmospheric Research Aircraft including FAAM, Avalon Aero, UK Research and Innovation (UKRI) and the University of Leeds. We also thank The Zambian Geological Survey, Ministry of Mines, Zambia for their very strong support and participation in all stages of the work in Zambia. We would like to thank the Japanese Aerospace Exploration Agency, National Institute for Environmental Studies, and the Ministry of Environment for the GOSAT data and their continuous support as part of the Joint Research Agreement. This research used the ALICE High Performance Computing Facility at the University of Leicester for the GOSAT retrievals. GCP land surface model work contributions: CTEM, Joe Melton, Vivek Arora; DLEM, Hanqin Tian, Hao Shi; ELM, William Riley, Qing Zhu; JSBACH, Thomas Kleinen; JULES, Nicola Gedney; LPJ-GUESS, Paul Miller, Wenxin Zhang; LPJ-MPI, Thomas Kleinen; LPJ-wsl, Ben Poulter, Zhen Zhang; LPX-Bern, Jurek Muller, Fortunat Joos; ORCHIDEE, Sushi Peng; TEM-MDM, Qianlai Zhuang, Licheng Liu; TRIPLEX-GHG, Changhui Peng, Qiuan Zhu; VISIT, Akihiko Ito.Any opinions, findings, conclusions or recommendations expressed in this material are those of the author(s) and do not necessarily reflect the views of their respective institutions.</t>
  </si>
  <si>
    <t>e2021GB007261</t>
  </si>
  <si>
    <t>10.1029/2021GB007261</t>
  </si>
  <si>
    <t>2D4KK</t>
  </si>
  <si>
    <t>Green Published, Green Accepted</t>
  </si>
  <si>
    <t>WOS:000811517800001</t>
  </si>
  <si>
    <t>Auger, M; Sallee, JB; Prandi, P; Garabato, ACN</t>
  </si>
  <si>
    <t>Auger, Matthis; Sallee, Jean-Baptiste; Prandi, Pierre; Garabato, Alberto C. Naveira</t>
  </si>
  <si>
    <t>Subpolar Southern Ocean Seasonal Variability of the Geostrophic Circulation From Multi-Mission Satellite Altimetry</t>
  </si>
  <si>
    <t>JOURNAL OF GEOPHYSICAL RESEARCH-OCEANS</t>
  </si>
  <si>
    <t>Southern Ocean; seasonal cycle; ocean circulation; satellite altimetry</t>
  </si>
  <si>
    <t>SEA-ICE; OVERTURNING CIRCULATION; WEDDELL GYRE; IMPACT; DRAG</t>
  </si>
  <si>
    <t>A novel multi-satellite product is used to shed light on the sea surface height seasonal cycle and associated geostrophic circulation in the subpolar Southern Ocean. We find three main modes of variability governing the Sea Level Anomaly seasonal cycle, all of them primarily governed by wind forcing. The main mode of seasonal variability is associated with the seasonality of the main subpolar gyres governed by large-scale wind stress curl, qualitatively consistent with Sverdrup dynamics. The second seasonal mode is related to the Antarctic Slope Current (ASC), governed by the coastal easterlies, with a rapid circumpolar propagation of anomalous sea-level along the continental slope that is dynamically consistent with the so-called Southern Mode. The first two modes induce an acceleration of the gyres and the ASC in winter. The third seasonal mode appears to be driven by sea ice-modulated surface stress and induces an offshore extension of the ASC from autumn to winter.</t>
  </si>
  <si>
    <t>[Auger, Matthis; Sallee, Jean-Baptiste] Sorbonne Univ, CNRS, LOCEAN, Paris, France; [Auger, Matthis; Prandi, Pierre] Collecte Localisat Satellite, Toulouse, France; [Garabato, Alberto C. Naveira] Univ Southampton, Ocean &amp; Earth Sci, Southampton, Hants, England</t>
  </si>
  <si>
    <t>Sorbonne Universite; Centre National de la Recherche Scientifique (CNRS); Museum National d'Histoire Naturelle (MNHN); University of Southampton</t>
  </si>
  <si>
    <t>Auger, M (corresponding author), Sorbonne Univ, CNRS, LOCEAN, Paris, France.;Auger, M (corresponding author), Collecte Localisat Satellite, Toulouse, France.</t>
  </si>
  <si>
    <t>matthis.auger@locean.ipsl.fr</t>
  </si>
  <si>
    <t>SALLEE, Jean baptiste/HDO-5355-2022</t>
  </si>
  <si>
    <t>Auger, Matthis/0000-0001-6228-5732</t>
  </si>
  <si>
    <t>European Union [N821001]; CNES/CLS scholarship</t>
  </si>
  <si>
    <t>European Union(European Union (EU)); CNES/CLS scholarship</t>
  </si>
  <si>
    <t>M.A. and J.-B.S. have received funding from the European Union's Horizon 2020 research and innovation program under grant agreement N821001. M.A. was funded through a CNES/CLS scholarship.</t>
  </si>
  <si>
    <t>2169-9275</t>
  </si>
  <si>
    <t>2169-9291</t>
  </si>
  <si>
    <t>J GEOPHYS RES-OCEANS</t>
  </si>
  <si>
    <t>J. Geophys. Res.-Oceans</t>
  </si>
  <si>
    <t>e2021JC018096</t>
  </si>
  <si>
    <t>10.1029/2021JC018096</t>
  </si>
  <si>
    <t>2E0AT</t>
  </si>
  <si>
    <t>WOS:000811899000001</t>
  </si>
  <si>
    <t>Fassbender, AJ; Schlunegger, S; Rodgers, KB; Dunne, JP</t>
  </si>
  <si>
    <t>Fassbender, Andrea J.; Schlunegger, Sarah; Rodgers, Keith B.; Dunne, John P.</t>
  </si>
  <si>
    <t>Quantifying the Role of Seasonality in the Marine Carbon Cycle Feedback: An ESM2M Case Study</t>
  </si>
  <si>
    <t>carbon cycle; CO2 flux; feedbacks; air-sea exchange; climate change; seasonal cycle</t>
  </si>
  <si>
    <t>SURFACE OCEAN PCO(2); SOUTHERN-OCEAN; CO2; ACIDIFICATION; SYSTEM; DISSOCIATION; DIOXIDE; DRIVERS; ACID; CONSTANTS</t>
  </si>
  <si>
    <t>Observations and climate models indicate that changes in the seasonal amplitude of sea surface carbon dioxide partial pressure (A-pCO(2)) are underway and driven primarily by anthropogenic carbon (C-ant) accumulation in the ocean. This occurs because pCO(2) is more responsive to seasonal changes in physics (including warming) and biology in an ocean that contains more C-ant. A-pCO(2) changes have the potential to alter annual ocean carbon uptake and contribute to the overall marine carbon cycle feedback. Using the GFDL ESM2M Large Ensemble and a novel analysis framework, we quantify the influence of C-ant accumulation on pCO(2) seasonal cycles and sea-air CO2 fluxes. Specifically, we reconstruct alternative evolutions of the contemporary ocean state in which the sensitivity of pCO(2) to seasonal thermal and biophysical variation is fixed at preindustrial levels, however the background, mean-state pCO(2) fully responds to anthropogenic forcing. We find near-global A-pCO(2) increases of &gt;100% by 2100, under RCP8.5 forcing, with rising C-ant accounting for similar to 100% of thermal and similar to 50% of nonthermal pCO(2) component amplitude changes. The other similar to 50% of nonthermal pCO(2) component changes are attributed to modeled changes in ocean physics and biology caused by climate change. C-ant-induced A-pCO(2) changes cause an 8.1 +/- 0.4% (ensemble mean +/- 1 sigma) increase in ocean carbon uptake by 2100. The is because greater wintertime wind speeds enhance the impact of wintertime pCO(2) changes, which work to increase the ocean carbon sink. Thus, the seasonal ocean carbon cycle feedback works in opposition to the larger, mean-state feedback that reduces ocean carbon uptake by similar to 60%.</t>
  </si>
  <si>
    <t>[Fassbender, Andrea J.] Monterey Bay Aquarium Res Inst, Moss Landing, CA 95039 USA; [Fassbender, Andrea J.] NOAA, OAR Pacific Marine Environm Lab, Seattle, WA 98115 USA; [Schlunegger, Sarah] Princeton Univ, Program Atmospher &amp; Ocean Sci, Princeton, NJ 08544 USA; [Rodgers, Keith B.] Inst Basic Sci, Ctr Climate Phys, Busan, South Korea; [Rodgers, Keith B.] Pusan Natl Univ, Busan, South Korea; [Dunne, John P.] NOAA, OAR Geophys Fluid Dynam Lab, Princeton, NJ USA</t>
  </si>
  <si>
    <t>Monterey Bay Aquarium Research Institute; National Oceanic Atmospheric Admin (NOAA) - USA; National Oceanic Atmospheric Admin (NOAA) - USA; Princeton University; Institute for Basic Science - Korea (IBS); Pusan National University; National Oceanic Atmospheric Admin (NOAA) - USA</t>
  </si>
  <si>
    <t>Fassbender, AJ (corresponding author), Monterey Bay Aquarium Res Inst, Moss Landing, CA 95039 USA.;Fassbender, AJ (corresponding author), NOAA, OAR Pacific Marine Environm Lab, Seattle, WA 98115 USA.</t>
  </si>
  <si>
    <t>andrea.j.fassbender@noaa.gov</t>
  </si>
  <si>
    <t>Rodgers, Keith/AAL-4329-2021; Dunne, John/F-8086-2012</t>
  </si>
  <si>
    <t>Rodgers, Keith/0000-0002-6465-8923; Dunne, John/0000-0002-8794-0489</t>
  </si>
  <si>
    <t>David and Lucile Packard Foundation; NOAA's Global Ocean Monitoring and Observing Program; NASA [NNX17AI75G]; Southern Ocean Carbon and Climate Observations and Modeling (SOCCOM) Project under the NSF [PLR-1425989]; NOAA; NSF through the U.S. Antarctic Program; NASA; [IBS-R028-D1]</t>
  </si>
  <si>
    <t>David and Lucile Packard Foundation(The David &amp; Lucile Packard Foundation); NOAA's Global Ocean Monitoring and Observing Program; NASA(National Aeronautics &amp; Space Administration (NASA)); Southern Ocean Carbon and Climate Observations and Modeling (SOCCOM) Project under the NSF; NOAA(National Oceanic Atmospheric Admin (NOAA) - USA); NSF through the U.S. Antarctic Program; NASA(National Aeronautics &amp; Space Administration (NASA));</t>
  </si>
  <si>
    <t>We thank two anonymous reviewers and the editor for insightful feedback that helped us improve manuscript clarity. We also thank Mar C. Arroyo and Jonathan D. Sharp for valuable feedback during the manuscript revision stage. A.J.F. was supported by the David and Lucile Packard Foundation and NOAA's Global Ocean Monitoring and Observing Program. S.S. was supported by NASA award NNX17AI75G and the Southern Ocean Carbon and Climate Observations and Modeling (SOCCOM) Project under the NSF Award PLR-1425989, with additional support from NOAA and NASA. Logistical support for the SOCCOM Project in the Antarctic was provided by the NSF through the U.S. Antarctic Program. K.B.R. was supported through IBS-R028-D1. This is PMEL Contribution 5204.</t>
  </si>
  <si>
    <t>e2021GB007018</t>
  </si>
  <si>
    <t>10.1029/2021GB007018</t>
  </si>
  <si>
    <t>2B3VG</t>
  </si>
  <si>
    <t>WOS:000810118500001</t>
  </si>
  <si>
    <t>Ito, T</t>
  </si>
  <si>
    <t>Ito, Takamitsu</t>
  </si>
  <si>
    <t>Development of the Regional Carbon Cycle Model in the Central Pacific Sector of the Southern Ocean</t>
  </si>
  <si>
    <t>ocean modeling; carbon cycle; Antarctic; Southern Ocean</t>
  </si>
  <si>
    <t>OVERTURNING CIRCULATION; CO2 FLUXES; IRON; PCO(2); TRANSPORT; CLOSURE; FRONTS</t>
  </si>
  <si>
    <t>This study develops a new regional model of the Southern Ocean including an improved representation of the iron biogeochemistry and ecosystem component, nesting within a biogeochemical ocean state estimate, and benchmarking with a suite of observations. The regional domain focuses on the Udintsev Fracture Zone (UFZ) in the central Pacific sector of the Southern Ocean. The UFZ is characterized by the deep gap between the Pacific-Antarctic Ridge and the East Pacific Rise, which is one of the key choke points of the Antarctic Circumpolar Current where major Southern Ocean fronts are constrained within close proximity to this topographic feature. It is also a region of elevated mesoscale eddy activity, especially downstream of the UFZ. The model reproduces observed partial pressure of carbon dioxide in the surface water (pCO(2)) remarkably well from seasonal to interannual timescales relative to prior studies (r = 0.89). The seasonality of pCO(2) is difficult to simulate correctly because it is a small residual between the opposing influences of temperature and carbon. This model represents an intermittent double peak pattern of pCO(2); one driven by the summertime high temperature and another from the wintertime high of dissolved inorganic carbon. The model also captures the spatial and temporal structure of the regional net primary production with respect to the satellite ocean color products (r = 0.57). The model is further validated by comparing it with biogeochemical float observations from the Southern Ocean Carbon and Climate Observations and Modeling project, revealing the model performance and challenges to accurately represent physical and biogeochemical properties in frontal regions.</t>
  </si>
  <si>
    <t>[Ito, Takamitsu] Georgia Inst Technol, Sch Earth &amp; Atmospher Sci, Atlanta, GA 30332 USA</t>
  </si>
  <si>
    <t>University System of Georgia; Georgia Institute of Technology</t>
  </si>
  <si>
    <t>Ito, T (corresponding author), Georgia Inst Technol, Sch Earth &amp; Atmospher Sci, Atlanta, GA 30332 USA.</t>
  </si>
  <si>
    <t>taka.ito@eas.gatech.edu</t>
  </si>
  <si>
    <t>Ito, Takamitsu/F-3856-2010</t>
  </si>
  <si>
    <t>Ito, Takamitsu/0000-0001-9873-099X</t>
  </si>
  <si>
    <t>National Center for Atmospheric Research; National Science Foundation (NSF) [1852977]; NSF; NSF, Division of Polar Programs [NSF PLR-1425989]; International Argo Program; NOAA programs; NSF [PLR-1744755]</t>
  </si>
  <si>
    <t>National Center for Atmospheric Research; National Science Foundation (NSF)(National Science Foundation (NSF)); NSF(National Science Foundation (NSF)); NSF, Division of Polar Programs(National Science Foundation (NSF)NSF - Directorate for Geosciences (GEO)); International Argo Program; NOAA programs(National Oceanic Atmospheric Admin (NOAA) - USA); NSF(National Science Foundation (NSF))</t>
  </si>
  <si>
    <t>Two anonymous reviewers provided very helpful comments to improve the manuscript. This material is based on work supported by the National Center for Atmospheric Research, which is a major facility sponsored by the National Science Foundation (NSF) under Cooperative Agreement No. 1852977. High-performance computing support from Cheyenne () is provided by NCAR's Computational and Information Systems Laboratory, sponsored by the NSF. BGC float data were collected and made freely available by the Southern Ocean Carbon and Climate Observations and Modeling Project funded by the NSF, Division of Polar Programs (NSF PLR-1425989), supplemented by the NASA, and by the International Argo Program and the NOAA programs that contribute to it. The authors are thankful to Ariane Verdy and Matthew Mazloff for providing the B-SOSE data products. The authors are also thankful to Stephanie Dutkiewicz who provided the ecosystem code and necessary configuration files. This study was funded by the NSF (PLR-1744755).</t>
  </si>
  <si>
    <t>e2021MS002757</t>
  </si>
  <si>
    <t>10.1029/2021MS002757</t>
  </si>
  <si>
    <t>2B2OP</t>
  </si>
  <si>
    <t>WOS:000810032400001</t>
  </si>
  <si>
    <t>Nuruzzama, M; Ejaz, T; Mohan, R</t>
  </si>
  <si>
    <t>Nuruzzama, Mohammad; Ejaz, Tariq; Mohan, Rahul</t>
  </si>
  <si>
    <t>Can Ammonium Records in Antarctic Ice Cores be a Proxy for Sea Ice Fluctuations?</t>
  </si>
  <si>
    <t>JOURNAL OF THE GEOLOGICAL SOCIETY OF INDIA</t>
  </si>
  <si>
    <t>DRONNING MAUD-LAND; NITROGEN</t>
  </si>
  <si>
    <t>Ammonium (NH4+) accumulation and variability in Antarctic ice cores possess signals of various biological, anthropogenic, and atmospheric processes. However, the use of NH4+ variability in Antarctic ice cores for paleoclimate reconstructions is not well established. Addressing this, we have utilized, published NH4+ ice core records from the Dronning Maud Land (DML), Antarctica to assess the sources of NH4+, its transport, major forcing factors, and their mechanism in controlling the variability of ammonium signals in coastal ice cores. The first principle component (PC1) derived from PC analysis of NH4+ data comprises similar to 43% of total variability and also depicts a significant spatial correlation with the NSIDC Sea ice concentration (SIC) variability in the Weddell Sea region of the Southern Ocean. In addition, the PC1 shows strong 2-9 year periodicities related to El Nino Southern Oscillation along with two major decadal to centennial periodicities of similar to 40 and 100 years. The control of sea ice fluctuations and related oceanic processes (ENSO) provide evidence of the marine sources and influence of ocean-related processes as a major controlling factor for the NH4+ variability in DML ice cores. The cumulative accumulation of the NH4+ produced from enhanced biological decomposition, and unutilized ammonium during nitrification under high SIC conditions are possible mechanisms for the increased supply. The correlation of ERA5 surface air temperatures with Nino3.4 suggests that during El Nino conditions, the air temperatures significantly dropped in the Weddell Sea sector, fostering the high SIC conditions. The findings of this study regarding the role of the SIC in the ammonium variability in Antarctic ice cores would help us better interpret the paleo NH4+ records and their applications to deduce the paleoclimate conditions in coastal Antarctic regions.</t>
  </si>
  <si>
    <t>[Nuruzzama, Mohammad; Ejaz, Tariq; Mohan, Rahul] Minist Earth Sci, Natl Ctr Polar &amp; Ocean Res, Headland Sada 403804, Vasco Da Gama, India; [Nuruzzama, Mohammad; Ejaz, Tariq] Goa Univ, Sch Earth Ocean &amp; Atmospher Sci, Taleigao 403206, India</t>
  </si>
  <si>
    <t>Ministry of Earth Sciences (MoES) - India; National Centre for Polar and Ocean Research (NCPOR); Goa University</t>
  </si>
  <si>
    <t>Nuruzzama, M (corresponding author), Minist Earth Sci, Natl Ctr Polar &amp; Ocean Res, Headland Sada 403804, Vasco Da Gama, India.;Nuruzzama, M (corresponding author), Goa Univ, Sch Earth Ocean &amp; Atmospher Sci, Taleigao 403206, India.</t>
  </si>
  <si>
    <t>mohanrmadnuruzzama@gmail.com</t>
  </si>
  <si>
    <t>ejaz, Tariq/0000-0003-3926-5447</t>
  </si>
  <si>
    <t>NCPOR</t>
  </si>
  <si>
    <t>The authors thank Director NCPOR for continuous support during the study. We acknowledge C Torrence, GP Compo, A Grinsted, JC Moore, and S Jevrejeva for Wavelet software accessibility and the Norwegian Polar Institute for the Quantarctica software package. We have used (NOAA/NSIDC Climate Data Record of Passive Microwave Sea Ice Concentration) in this study are available in the NetCDF format at (https://nsidc.org/data/g02202/versions/3) and (https://doi.org/10.7265/N59P2ZTG).The reanalysis data sets can be downloaded from their respective websites. The MATLAB codes for spectral analysis used in this study can be accessed through (http://www.geo.uni-bremen.de/geomod/staff/mschulz/#software).The data for the Nino3.4 index can be accessed through https://psl.noaa.gov/data/correlation/nina34.data.The NH 4+ ice core data used for this study is available on the Pangea repository and can be accessed through https://doi.pangaea.de/10.1594/PANGAEA.58476.The NCPOR Contribution number is J-7/2022-23.</t>
  </si>
  <si>
    <t>SPRINGER INDIA</t>
  </si>
  <si>
    <t>NEW DELHI</t>
  </si>
  <si>
    <t>7TH FLOOR, VIJAYA BUILDING, 17, BARAKHAMBA ROAD, NEW DELHI, 110 001, INDIA</t>
  </si>
  <si>
    <t>0016-7622</t>
  </si>
  <si>
    <t>0974-6889</t>
  </si>
  <si>
    <t>J GEOL SOC INDIA</t>
  </si>
  <si>
    <t>J. Geol. Soc. India</t>
  </si>
  <si>
    <t>10.1007/s12594-022-2065-3</t>
  </si>
  <si>
    <t>2A2ST</t>
  </si>
  <si>
    <t>WOS:000809358200006</t>
  </si>
  <si>
    <t>Guo, CQ; Ma, G; Xiao, HB; Zhou, W; Chen, HJ; Zhou, ZW; Cheng, X</t>
  </si>
  <si>
    <t>Guo, Chengqian; Ma, Gang; Xiao, Haibin; Zhou, Wei; Chen, Hongjie; Zhou, Zhiwei; Cheng, Xiang</t>
  </si>
  <si>
    <t>Displacement Back Analysis of Reservoir Landslide Based on Multi-Source Monitoring Data: A Case Study of the Cheyiping Landslide in the Lancang River Basin, China</t>
  </si>
  <si>
    <t>reservoir landslide; multi-source monitoring data; InSAR; displacement back analysis; numerical modeling</t>
  </si>
  <si>
    <t>3 GORGES RESERVOIR; STABILITY ANALYSIS; FAILURE; SLOPE; PREDICTION; PARAMETERS; OPTIMIZATION; RAINFALL; BEHAVIOR; MACHINE</t>
  </si>
  <si>
    <t>Landslides that occur in the littoral zone of a reservoir can directly damage the hydraulic structures and threaten the lives and property around the reservoir. Due to the spatial variability and heterogeneities of rock mass, a limited amount of data obtained from laboratory and in situ tests cannot comprehensively characterize the mechanical properties of rock and soil masses. Therefore, displacement back analysis is often performed to determine the mechanical parameters of rock and soil masses. The spaceborne Interferometric synthetic aperture radar (InSAR) has proved to be a powerful tool for geodesy in the measurement of landslide movement. However, InSAR can only measure the surface motion of the landslide without the subsurface information. This study uses multi-source monitoring data in the landslide displacement back analysis, including surface InSAR and an internal borehole inclinometer. The identified material parameters and finite element simulation are used to predict the landslide deformation. The case study of the Cheyiping landslide located in the Lancang River basin demonstrates the necessity and feasibility of using multi-source monitoring data in landslide displacement back analysis. The Cheyiping landslide is currently in the creep deformation stage. The decrease in shear strength of rock masses due to the rheological deformation and the change in reservoir water level are the internal and external factors leading to excessive landslide deformation. The numerical modeling can accurately simulate the landslide movement using the identified material parameters. By combing multi-source monitoring data and numerical modeling, the reservoir landslide deformation analysis can help evaluate the landslide deformation state and stability, which is vital for reservoir risk mitigation and the sustainable development of hydropower resources.</t>
  </si>
  <si>
    <t>[Guo, Chengqian; Ma, Gang; Zhou, Wei] Wuhan Univ, State Key Lab Water Resources &amp; Hydropower Engn S, Wuhan 430072, Peoples R China; [Guo, Chengqian; Ma, Gang; Zhou, Wei] Wuhan Univ, Key Lab Rock Mech Hydraul Struct Engn, Minist Educ, Wuhan 430072, Peoples R China; [Xiao, Haibin; Chen, Hongjie] Huaneng Lancang River Hydropower Inc, Technol Res &amp; Dev Ctr, Kunming 650000, Yunnan, Peoples R China; [Zhou, Zhiwei] Chinese Acad Sci, Inst Geodesy &amp; Geophys, State Key Lab Geodesy &amp; Earths Dynam, Wuhan 430077, Peoples R China; [Cheng, Xiang] Wuhan Univ, Chinese Antarctic Ctr Surveying &amp; Mapping, Wuhan 430072, Peoples R China</t>
  </si>
  <si>
    <t>Wuhan University; Wuhan University; Chinese Academy of Sciences; Innovation Academy for Precision Measurement Science &amp; Technology, CAS; Wuhan University</t>
  </si>
  <si>
    <t>Ma, G (corresponding author), Wuhan Univ, State Key Lab Water Resources &amp; Hydropower Engn S, Wuhan 430072, Peoples R China.;Ma, G (corresponding author), Wuhan Univ, Key Lab Rock Mech Hydraul Struct Engn, Minist Educ, Wuhan 430072, Peoples R China.</t>
  </si>
  <si>
    <t>guochengqian@whu.edu.cn; magang630@whu.edu.cn; hbxiao.huaneng@gmail.com; zw_mxx@whu.edu.cn; hjchen.huaneng@gmail.com; zhiwei.zhou@apm.ac.cn; xiang.cheng@whu.edu.cn</t>
  </si>
  <si>
    <t>Ma, Gang/AAE-6126-2022; Li, Kunpeng/KFS-6306-2024; Wang, Zejun/KBB-8454-2024; ZHOU, WEI/S-8480-2016</t>
  </si>
  <si>
    <t>Ma, Gang/0000-0002-1865-5721; Zhou, Wei/0000-0003-3607-1794</t>
  </si>
  <si>
    <t>National Natural Science Foundation of China [51825905, 52179141, U1865204]; Huaneng Group Science and Technology Project [HNKJ18-H24]</t>
  </si>
  <si>
    <t>National Natural Science Foundation of China(National Natural Science Foundation of China (NSFC)); Huaneng Group Science and Technology Project</t>
  </si>
  <si>
    <t>This research was funded by the National Natural Science Foundation of China (Grant No. 51825905, 52179141, and U1865204), and the Huaneng Group Science and Technology Project (HNKJ18-H24).</t>
  </si>
  <si>
    <t>10.3390/rs14112683</t>
  </si>
  <si>
    <t>1Z4PM</t>
  </si>
  <si>
    <t>WOS:000808808600001</t>
  </si>
  <si>
    <t>Liu, L; Ye, J; Li, SL; Hu, S; Wang, Q</t>
  </si>
  <si>
    <t>Liu, Lei; Ye, Jin; Li, Shulei; Hu, Shuai; Wang, Qi</t>
  </si>
  <si>
    <t>A Novel Machine Learning Algorithm for Cloud Detection Using AERI Measurement Data</t>
  </si>
  <si>
    <t>cloud detection; support vector machine (SVM); atmospheric emitted radiance interferometer (AERI); ceilometer</t>
  </si>
  <si>
    <t>EMITTED RADIANCE INTERFEROMETER; PART I; TEMPERATURE; HEIGHT; RETRIEVAL; SOUNDER; SKY; GASES; LIDAR</t>
  </si>
  <si>
    <t>Infrared hyperspectral remote sensing has been widely used in the field of meteorology. Many scientists have carried out research on inversion methods of meteorological elements such as thermodynamic profile, boundary layer height, cloud base height, etc. In this study, a method based on machine learning for cloud detection using ground-based infrared hyperspectral radiation data is proposed. The features of outliers, the cloudy and cloud-free data of Atmospheric Emitted Radiance Interferometer (AERI) radiation are extracted. The reference values of cloudy and cloud-free are determined based on the observation data of Vaisala CL31 ceilometer within the time range of 8 min before the corresponding time of AERI. A support vector machine (SVM) algorithm is used for training. The dataset comes from the Atmospheric Radiation Measurement (ARM) Southern Great Plains (SGP) site and North Slope Alaska (NSA) site from 2015 to 2017, and the ARM West Antarctic Radiation Experiment (AWARE) site in 2016 is also analyzed. The instruments used in this paper include AERI, ceilometer, etc. The experimental results reveal that the agreement of cloud detection results between the proposed algorithm and ceilometer is about 93% at each site. However, for high clouds or optically thin clouds, the agreement will decrease.</t>
  </si>
  <si>
    <t>[Liu, Lei; Ye, Jin; Li, Shulei; Hu, Shuai] Natl Univ Def Technol, Coll Meteorol &amp; Oceanog, Changsha 410073, Peoples R China; [Wang, Qi] Unit 91922 PLA, Sanya 572099, Peoples R China</t>
  </si>
  <si>
    <t>National University of Defense Technology - China</t>
  </si>
  <si>
    <t>Ye, J (corresponding author), Natl Univ Def Technol, Coll Meteorol &amp; Oceanog, Changsha 410073, Peoples R China.</t>
  </si>
  <si>
    <t>liulei17c@nudt.edu.cn; yejin@nudt.edu.cn; lishulei@nudt.edu.cn; hushuai2012@nudt.edu.cn; qiqiqiwang@outlook.com</t>
  </si>
  <si>
    <t>liu, lei/D-1540-2015</t>
  </si>
  <si>
    <t>liu, lei/0000-0002-9330-4315; Ye, Jin/0000-0002-8768-4198</t>
  </si>
  <si>
    <t>National Key Research and Development Program of China [2021YFC2802501]; National Natural Science Foundation of China [41875025, 62105367, 42175154]; Hunan Provincial Natural Science Foundation of China [2021JJ10047, 2020JJ4662]</t>
  </si>
  <si>
    <t>National Key Research and Development Program of China; National Natural Science Foundation of China(National Natural Science Foundation of China (NSFC)); Hunan Provincial Natural Science Foundation of China(Natural Science Foundation of Hunan Province)</t>
  </si>
  <si>
    <t>This research was supported by the National Key Research and Development Program of China (Grant 2021YFC2802501), the National Natural Science Foundation of China (Grant 41875025, 62105367 and 42175154) and the Hunan Provincial Natural Science Foundation of China (Grant 2021JJ10047 and 2020JJ4662).</t>
  </si>
  <si>
    <t>10.3390/rs14112589</t>
  </si>
  <si>
    <t>1Z4DM</t>
  </si>
  <si>
    <t>Green Submitted, gold</t>
  </si>
  <si>
    <t>WOS:000808777400001</t>
  </si>
  <si>
    <t>Idosa, CU; Rikitu, KS</t>
  </si>
  <si>
    <t>Idosa, Chali Uga; Rikitu, Kebede Shogile</t>
  </si>
  <si>
    <t>Effects of Total Solar Eclipse on Ionospheric Total Electron Content over Antarctica on 2021 December 4</t>
  </si>
  <si>
    <t>ASTROPHYSICAL JOURNAL</t>
  </si>
  <si>
    <t>The effects of a total solar eclipse that occurred on 2021 December 4 on ionospheric total electron content (TEC) over Antarctic stations were studied. The study was based on GPS data obtained over Antarctica on the day of the eclipse and the days before and after the eclipse over six GPS stations. The findings of this study show that a total solar eclipse lowers the amount of ionization reaching the Earth's surface with TEC values dropping across the stations. Finally, the enhancement of Delta TEC is quite different from one station to another station. This may also be due to the effect of solar heating conditions and the density of the Sun as exerted over the stations with the Sun side over one station and the clouded part over the others.</t>
  </si>
  <si>
    <t>[Idosa, Chali Uga] Ethiopian Space Sci Soc Jimma Branch, Jimma, Ethiopia; [Idosa, Chali Uga; Rikitu, Kebede Shogile] Jimma Univ Coll Nat Sci, Jimma, Ethiopia</t>
  </si>
  <si>
    <t>Idosa, CU (corresponding author), Ethiopian Space Sci Soc Jimma Branch, Jimma, Ethiopia.;Idosa, CU (corresponding author), Jimma Univ Coll Nat Sci, Jimma, Ethiopia.</t>
  </si>
  <si>
    <t>chaleidosa2011@gmail.com; kebedeshogile98@gmail.com</t>
  </si>
  <si>
    <t>Idosa Uga, Chali/AHD-6272-2022</t>
  </si>
  <si>
    <t>Idosa Uga, Chali/0000-0002-4699-8342</t>
  </si>
  <si>
    <t>IOP Publishing Ltd</t>
  </si>
  <si>
    <t>BRISTOL</t>
  </si>
  <si>
    <t>TEMPLE CIRCUS, TEMPLE WAY, BRISTOL BS1 6BE, ENGLAND</t>
  </si>
  <si>
    <t>0004-637X</t>
  </si>
  <si>
    <t>1538-4357</t>
  </si>
  <si>
    <t>ASTROPHYS J</t>
  </si>
  <si>
    <t>Astrophys. J.</t>
  </si>
  <si>
    <t>JUN 1</t>
  </si>
  <si>
    <t>10.3847/1538-4357/ac6c89</t>
  </si>
  <si>
    <t>1X9IH</t>
  </si>
  <si>
    <t>WOS:000807761900001</t>
  </si>
  <si>
    <t>Sushchevskaya, NM; Leitchenkov, GL; Belyatsky, BV; Zhilkina, AV</t>
  </si>
  <si>
    <t>Sushchevskaya, N. M.; Leitchenkov, G. L.; Belyatsky, B., V; Zhilkina, A., V</t>
  </si>
  <si>
    <t>Evolution of the Karoo-Maud Plume and Formation of Mesozoic Igneous Provinces in Antarctica</t>
  </si>
  <si>
    <t>GEOCHEMISTRY INTERNATIONAL</t>
  </si>
  <si>
    <t>Karoo-Maud plume; Ferrar igneous province; isotope composition of melts; geochemistry of lithophile elements</t>
  </si>
  <si>
    <t>PRINCE-ALBERT-MOUNTAINS; CONTINENTAL FLOOD VOLCANISM; JURASSIC FERRAR THOLEIITES; TRACE-ELEMENT COMPOSITION; NORTH VICTORIA-LAND; KIRKPATRICK-BASALT; EAST ANTARCTICA; GONDWANA BREAKUP; MANTLE SOURCES; ASTHENOSPHERE CONTRIBUTIONS</t>
  </si>
  <si>
    <t>Petrological-geochemical comparison of three Mesozoic igneous provinces in South Africa (Karoo Province) and East Antarctica (Queen Maud Land (QML) and Ferrar) confirms the inferred relation of the Ferrar Igneous Province, which is extended for over 3000 km along the margin of the East Antarctic, with the Mesozoic Karoo-Maud plume. Magmatic source in all three regions is characterized by pronounced negative Nb and Ta anomalies. The same features are also typical of magma sources of ancient (Late Proterozoic and Early Paleozoic) dikes within the Mesozoic Ferrar Igneous Province. This compositional similarity is explained by their derivation from a single long-lived source represented by the lithosphere of the East Antarctic Craton. The Ferrar magmatic rocks are also peculiar in the predominant development of low-Ti basalts, which are generated from depleted (through repeated melting) sublithospheric mantle source enriched in potassium during paleosubduction (fluid enrichment). The formation of the Ferrar Igneous Province was related to the lateral spread of the Karoo-Maud plume (as a megaapophysis from the main zone of its manifestation) during melting of metasomatically modified Gondwanian mantle in the vicinity of the Pacific paleosubduction zone. Specific fluid-mediated conditions led to the enrichment of primary melts of the Ferrar Province in large ion lithophile elements such as U, Th, and Rb. Variations of isotope composition of these melts define mixing trends from a mantle source close in composition to the enriched magmas of the Karoo and QML provinces (Sr-87/Sr-86: 0.708, Nd-143/Nd-144: 0.5122, Pb-206/Pb-204: 18.2, Pb-207/Pb-204: 15.6, Pb-208/Pb-204: 37.6) to a source with elevated Pb-206/Pb-204: 20.5, Pb-207/Pb-204: 15.7, Pb-208/Pb-204: 40.3, Sr-87/Sr-86: 0.716 and lowered Nd-143/Nd-144: 0.5124, which was formed owing to the fluid enrichment of mantle in the paleosubduction zone. The isotope composition of ancient magmas located in the Ferrar Igneous Province falls in the composition field of Mesozoic igneous rocks of the Karoo and QML provinces.</t>
  </si>
  <si>
    <t>[Sushchevskaya, N. M.; Zhilkina, A., V] Russian Acad Sci, Vernadsky Inst Geochem &amp; Analyt Chem, Moscow 119991, Russia; [Leitchenkov, G. L.] Gramberg All Russia Sci Res Inst Geol &amp; Mineral R, St Petersburg 190121, Russia; [Leitchenkov, G. L.] St Petersburg State Univ, St Petersburg 199034, Russia; [Belyatsky, B., V] Karpinsky All Russia Res Geol Inst VSEGEI, Ctr Isotop Res, St Petersburg 199106, Russia</t>
  </si>
  <si>
    <t>Russian Academy of Sciences; Vernadsky Institute of Geochemistry &amp; Analytical Chemistry; Saint Petersburg State University; A.P. Karpinsky Russian Geological Research Institute (VSEGEI)</t>
  </si>
  <si>
    <t>Sushchevskaya, NM (corresponding author), Russian Acad Sci, Vernadsky Inst Geochem &amp; Analyt Chem, Moscow 119991, Russia.</t>
  </si>
  <si>
    <t>nadyas@geokhi.ru; german_l@mail.ru; bbelyatsky@mail.ru</t>
  </si>
  <si>
    <t>Belyatsky, Boris/V-6644-2019</t>
  </si>
  <si>
    <t>Belyatsky, Boris/0000-0002-4022-9366</t>
  </si>
  <si>
    <t>Russian Science Foundation [16-17-10139, 0137-20190012]</t>
  </si>
  <si>
    <t>Russian Science Foundation(Russian Science Foundation (RSF))</t>
  </si>
  <si>
    <t>This work was supported by the Russian Science Foundation (project no. 16-17-10139) and partially in the framework of government-financed task (project no. 0137-20190012, N.M. Sushchevskaya).</t>
  </si>
  <si>
    <t>0016-7029</t>
  </si>
  <si>
    <t>1556-1968</t>
  </si>
  <si>
    <t>GEOCHEM INT+</t>
  </si>
  <si>
    <t>Geochem. Int.</t>
  </si>
  <si>
    <t>10.1134/S001670292206009X</t>
  </si>
  <si>
    <t>1W4UT</t>
  </si>
  <si>
    <t>WOS:000806770900001</t>
  </si>
  <si>
    <t>Sanhueza, C; Cortes, D; Way, DA; Fuentes, F; Bascunan-Godoy, L; Del-Saz, NF; Sáez, PL; Bravo, LA; Cavieres, LA</t>
  </si>
  <si>
    <t>Sanhueza, Carolina; Cortes, Daniela; Way, Danielle A.; Fuentes, Francisca; Bascunan-Godoy, Luisa; Del-Saz, Nestor Fernandez; Saez, Patricia L.; Bravo, Leon A.; Cavieres, Lohengrin A.</t>
  </si>
  <si>
    <t>Respiratory and Photosynthetic Responses of Antarctic Vascular Plants Are Differentially Affected by CO2 Enrichment and Nocturnal Warming</t>
  </si>
  <si>
    <t>PLANTS-BASEL</t>
  </si>
  <si>
    <t>atmospheric CO2 concentration; nocturnal warming; respiration; photosynthesis; foliar carbon balance; Antarctic plant species</t>
  </si>
  <si>
    <t>ELEVATED ATMOSPHERIC CO2; LEAF DARK RESPIRATION; TEMPERATURE RESPONSE; THERMAL-ACCLIMATION; GROWTH TEMPERATURES; ELECTRON-TRANSPORT; NIGHT TEMPERATURE; ASSIMILATION RATE; CARBON; LIGHT</t>
  </si>
  <si>
    <t>Projected rises in atmospheric CO2 concentration and minimum night-time temperatures may have important effects on plant carbon metabolism altering the carbon balance of the only two vascular plant species in the Antarctic Peninsula. We assessed the effect of nocturnal warming (8/5 degrees C vs. 8/8 degrees C day/night) and CO2 concentrations (400 ppm and 750 ppm) on gas exchange, non-structural carbohydrates, two respiratory-related enzymes, and mitochondrial size and number in two species of vascular plants. In Colobanthus quitensis, light-saturated photosynthesis measured at 400 ppm was reduced when plants were grown in the elevated CO2 or in the nocturnal warming treatments. Growth in elevated CO2 reduced stomatal conductance but nocturnal warming did not. The short-term sensitivity of respiration, relative protein abundance, and mitochondrial traits were not responsive to either treatment in this species. Moreover, some acclimation to nocturnal warming at ambient CO2 was observed. Altogether, these responses in C. quitensis led to an increase in the respiration-assimilation ratio in plants grown in elevated CO2. The response of Deschampsia antarctica to the experimental treatments was quite distinct. Photosynthesis was not affected by either treatment; however, respiration acclimated to temperature in the elevated CO2 treatment. The observed short-term changes in thermal sensitivity indicate type I acclimation of respiration. Growth in elevated CO2 and nocturnal warming resulted in a reduction in mitochondrial numbers and an increase in mitochondrial size in D. antarctica. Overall, our results suggest that with climate change D. antarctica could be more successful than C. quitensis, due to its ability to make metabolic adjustments to maintain its carbon balance.</t>
  </si>
  <si>
    <t>[Sanhueza, Carolina; Bascunan-Godoy, Luisa; Del-Saz, Nestor Fernandez; Cavieres, Lohengrin A.] Univ Concepcion, Lab Fisiol Vegetal, Fac Ciencias Nat &amp; Oceanog, Dept Bot, Barrio Univ S-N,Casilla 160-C, Concepcion 4030000, Chile; [Cortes, Daniela; Fuentes, Francisca; Saez, Patricia L.] Univ Concepcion, Fac Ciencias Forestales, Ctr Biotecnol, Dept Silvicultura,Lab Cult Tejidos Vegetales, Casilla 160-C, Concepcion 4030000, Chile; [Way, Danielle A.] Univ Western Ontario, Dept Biol, 1151 Richmond St, London, ON N6A 5B7, Canada; [Way, Danielle A.] Duke Univ, Nicholas Sch Environm, Durham, NC 27708 USA; [Way, Danielle A.] Australian Natl Univ, Res Sch Biol, Div Plant Sci, Canberra, ACT 2601, Australia; [Saez, Patricia L.; Cavieres, Lohengrin A.] Inst Ecol &amp; Biodiversidad IEB, Las Palmeras 3425, Santiago 7800003, Chile; [Bravo, Leon A.] Univ La Frontera, Fac Ciencias Agr &amp; Forestales, Inst Agroind, Dept Ciencias Agron &amp; Recursos Nat,Lab Fisiol &amp; B, Casilla 54-D, Temuco 4780000, Chile; [Bravo, Leon A.] Univ La Frontera, Ctr Plant Soil Interact &amp; Nat Resources Biotechno, Sci &amp; Technol Bioresource Nucleus, Casilla 54-D, Temuco 4780000, Chile</t>
  </si>
  <si>
    <t>Universidad de Concepcion; Universidad de Concepcion; Western University (University of Western Ontario); Duke University; Australian National University; Universidad de La Frontera; Universidad de La Frontera</t>
  </si>
  <si>
    <t>Sanhueza, C; Del-Saz, NF (corresponding author), Univ Concepcion, Lab Fisiol Vegetal, Fac Ciencias Nat &amp; Oceanog, Dept Bot, Barrio Univ S-N,Casilla 160-C, Concepcion 4030000, Chile.</t>
  </si>
  <si>
    <t>csanhuez@udec.cl; dancortes@udec.cl; dway4@uwo.ca; franfuentese@udec.cl; lubascun@udec.cl; nesfernandez@udec.cl; patrisaez@udec.cl; leon.bravo@ufrontera.cl; lcaviere@udec.cl</t>
  </si>
  <si>
    <t>Bravo, León/AAO-8437-2020; Cavieres, Lohengrin A./A-9542-2010; Way, Danielle/JOZ-1287-2023; Sanhueza, Carolina/JQW-9959-2023; Del-Saz, Néstor Fernández/JBR-8224-2023; Sanhueza, Carolina/AAG-7456-2019; Del-Saz, Néstor Fernández/C-4425-2018; Godoy, Luisa Bascunan/AAF-2978-2019</t>
  </si>
  <si>
    <t>Bravo, León/0000-0003-4705-4842; Cavieres, Lohengrin A./0000-0001-9122-3020; Way, Danielle/0000-0003-4801-5319; Sanhueza, Carolina/0000-0002-1564-2490; Del-Saz, Néstor Fernández/0000-0002-9934-2427; Godoy, Luisa Bascunan/0000-0001-8346-7295; Saez, Patricia L./0000-0002-8594-7329</t>
  </si>
  <si>
    <t>National Fund for Scientific and Technological Development CONCYT/FONDECYT/Postdoctoral Grant [3150221]; Fondecyt [1191118]</t>
  </si>
  <si>
    <t>National Fund for Scientific and Technological Development CONCYT/FONDECYT/Postdoctoral Grant; Fondecyt(Comision Nacional de Investigacion Cientifica y Tecnologica (CONICYT)CONICYT FONDECYT)</t>
  </si>
  <si>
    <t>This research was funded by The National Fund for Scientific and Technological Development CONCYT/FONDECYT/Postdoctoral Grant N 3150221 and Fondecyt 1191118.</t>
  </si>
  <si>
    <t>2223-7747</t>
  </si>
  <si>
    <t>Plants-Basel</t>
  </si>
  <si>
    <t>10.3390/plants11111520</t>
  </si>
  <si>
    <t>1Z4LZ</t>
  </si>
  <si>
    <t>WOS:000808799500001</t>
  </si>
  <si>
    <t>Warwick-Evans, V; Kelly, N; Dalla Rosa, L; Friedlaender, A; Hinke, JT; Kim, JH; Kokubun, N; Santora, JA; Secchi, ER; Seyboth, E; Trathan, PN</t>
  </si>
  <si>
    <t>Warwick-Evans, V; Kelly, N.; Dalla Rosa, L.; Friedlaender, A.; Hinke, J. T.; Kim, J. H.; Kokubun, N.; Santora, J. A.; Secchi, E. R.; Seyboth, E.; Trathan, P. N.</t>
  </si>
  <si>
    <t>Using seabird and whale distribution models to estimate spatial consumption of krill to inform fishery management</t>
  </si>
  <si>
    <t>ECOSPHERE</t>
  </si>
  <si>
    <t>Antarctic ecosystem; ecosystem approach; fisheries management; habitat modeling; humpback whales; penguins; seabirds; spatial ecology</t>
  </si>
  <si>
    <t>SOUTH SHETLAND ISLANDS; ANTARCTIC FUR SEALS; EUPHAUSIA-SUPERBA DANA; MARINE IMPORTANT BIRD; PENGUIN POPULATIONS; INTERANNUAL VARIABILITY; COMMUNITY STRUCTURE; CONTINENTAL-SHELF; ATLANTIC SECTOR; ICE EXTENT</t>
  </si>
  <si>
    <t>Ecosystem dynamics at the northwest Antarctic Peninsula are driven by interactions between physical and biological processes. For example, baleen whale populations are recovering from commercial harvesting against the backdrop of rapid climate change, including reduced sea ice extent and changing ecosystem composition. Concurrently, the commercial harvesting of Antarctic krill is increasing, with the potential to increase the likelihood for competition with and between krill predators and the fishery. However, understanding the ecology, abundance, and spatial distribution of krill predators is often limited, outdated, or at spatial scales that do not match those desired for effective fisheries management. We update current knowledge of predator dependence on krill by integrating telemetry-based data, at-sea observational surveys, estimates of predator abundance, and physiological data to estimate the spatial distribution of krill consumption during the austral summer by three species of Pygoscelis penguin, 11 species of flying seabirds, one species of pinniped, and two species of baleen whale. Our models show that the majority of important areas for krill predator foraging are close to penguin breeding colonies in nearshore areas where humpback whales also regularly feed, and along the shelf-break, though we caution that not all known krill predators are included in these analyses. We show that krill consumption is highly variable across the region, and often concentrated at fine spatial scales, emphasizing the need for the management of the local krill fishery at relevant temporal and spatial scales. We also note that krill consumption by recovering populations of krill predators provides further evidence in support of the krill surplus hypothesis, and highlight that despite less than comprehensive data, cetaceans are likely to consume a significant proportion of the krill consumed by natural predators but are not currently considered directly in the management of the krill fishery. If management of the krill fishery is to be precautionary and operate in a way that minimizes the risks to krill predator populations, it will be necessary in future analyses, to include up-to-date and precise abundance and consumption estimates for pack-ice seals, finfish, squid, and other baleen whale species not currently considered.</t>
  </si>
  <si>
    <t>[Warwick-Evans, V; Trathan, P. N.] British Antarctic Survey, Cambridge, England; [Kelly, N.] Australian Antarctic Div, Dept Agr Water &amp; Environm, Kingston, Tas, Australia; [Dalla Rosa, L.; Secchi, E. R.; Seyboth, E.] Univ Fed Rio Grande FURG, Inst Oceanog, Lab Ecol &amp; Conservacao Megafauna Marinha, Rio Grande, Brazil; [Friedlaender, A.] Univ Calif Santa Cruz, Inst Marine Sci, Santa Cruz, CA 95064 USA; [Hinke, J. T.] NOAA, Antarctic Ecosyst Res Div, Southwest Fisheries Sci Ctr, Natl Marine Fisheries Serv, La Jolla, CA USA; [Kim, J. H.] Korea Polar Res Inst, Incheon, South Korea; [Kokubun, N.] Natl Inst Polar Res, Tokyo, Japan; [Santora, J. A.] NOAA, Fisheries Ecol Div, Southwest Fisheries Sci Ctr, Natl Marine Fisheries Serv, Santa Cruz, CA USA; [Santora, J. A.] Univ Calif Santa Cruz, Dept Appl Math, Santa Cruz, CA 95064 USA; [Seyboth, E.] Cape Peninsula Univ Cape Town, Fac Appl Sci, Ctr Sustainable Oceans, Cape Town, South Africa</t>
  </si>
  <si>
    <t>UK Research &amp; Innovation (UKRI); Natural Environment Research Council (NERC); NERC British Antarctic Survey; Australian Antarctic Division; Universidade Federal do Rio Grande; University of California System; University of California Santa Cruz; National Oceanic Atmospheric Admin (NOAA) - USA; Korea Polar Research Institute (KOPRI); Research Organization of Information &amp; Systems (ROIS); National Institute of Polar Research (NIPR) - Japan; National Oceanic Atmospheric Admin (NOAA) - USA; University of California System; University of California Santa Cruz</t>
  </si>
  <si>
    <t>Warwick-Evans, V (corresponding author), British Antarctic Survey, Cambridge, England.</t>
  </si>
  <si>
    <t>vicrwi@bas.ac.uk</t>
  </si>
  <si>
    <t>Kelly, Natalie/B-3481-2010; Rosa, Luciano Dalla/D-5660-2012</t>
  </si>
  <si>
    <t>Rosa, Luciano Dalla/0000-0002-1583-6471; Kelly, Nat/0000-0002-9664-354X; Kim, Jeong-Hoon/0000-0002-2397-2668; Warwick-Evans, Victoria/0000-0002-0583-5504</t>
  </si>
  <si>
    <t>Darwin Plus [072]; Pew Charitable Trusts [PA00034295]; World Wildlife Fund; Australian Antarctic Division; Hogwarts Running Club; National Science Foundation Office of Polar Programs [1347911, 0337648, 9983751]; CNPq [PQ 309548/2019-5, PQ 310597/2018-8]; National Council for Scientific and Technological Development [407889/2013-2, 408096/2013-6]; Office of Polar Programs (OPP); Directorate For Geosciences [1347911, 9983751] Funding Source: National Science Foundation</t>
  </si>
  <si>
    <t>Darwin Plus; Pew Charitable Trusts; World Wildlife Fund; Australian Antarctic Division; Hogwarts Running Club; National Science Foundation Office of Polar Programs(National Science Foundation (NSF)NSF - Directorate for Geosciences (GEO)); CNPq(Conselho Nacional de Desenvolvimento Cientifico e Tecnologico (CNPQ)); National Council for Scientific and Technological Development(Conselho Nacional de Desenvolvimento Cientifico e Tecnologico (CNPQ)); Office of Polar Programs (OPP); Directorate For Geosciences(National Science Foundation (NSF)NSF - Directorate for Geosciences (GEO))</t>
  </si>
  <si>
    <t>Darwin Plus, Grant/Award Number: 072; Pew Charitable Trusts, Grant/Award Number: PA00034295; World Wildlife Fund; Australian Antarctic Division; Southern Ocean Research Partnership; Hogwarts Running Club; National Science Foundation Office of Polar Programs, Grant/Award Numbers: 1347911, 0337648, 9983751; CNPq, Grant/Award Numbers: PQ 309548/2019-5, PQ 310597/2018-8; National Council for Scientific and Technological Development, Grant/Award Numbers: 407889/2013-2, 408096/2013-6</t>
  </si>
  <si>
    <t>2150-8925</t>
  </si>
  <si>
    <t>Ecosphere</t>
  </si>
  <si>
    <t>e4083</t>
  </si>
  <si>
    <t>10.1002/ecs2.4083</t>
  </si>
  <si>
    <t>Ecology</t>
  </si>
  <si>
    <t>1W2TF</t>
  </si>
  <si>
    <t>Green Accepted, Green Published, Green Submitted</t>
  </si>
  <si>
    <t>WOS:000806629200001</t>
  </si>
  <si>
    <t>Vaughan, P; Viola, B</t>
  </si>
  <si>
    <t>Vaughan, Peter; Viola, Benjamin</t>
  </si>
  <si>
    <t>Record number of southern fulmars (Fulmarus glacialoides) off southern Australia</t>
  </si>
  <si>
    <t>FRONTIERS IN ECOLOGY AND THE ENVIRONMENT</t>
  </si>
  <si>
    <t>[Vaughan, Peter] Univ Tasmania, Sch Nat Sci, Sandy Bay, Australia; [Viola, Benjamin] Univ Tasmania, Inst Marine &amp; Antarctic Studies, Battery Point, Australia; [Viola, Benjamin] Australian Antarctic Div, Dept Agr Water &amp; Environm, Kingston, Australia</t>
  </si>
  <si>
    <t>University of Tasmania; University of Tasmania; Australian Antarctic Division</t>
  </si>
  <si>
    <t>Vaughan, P (corresponding author), Univ Tasmania, Sch Nat Sci, Sandy Bay, Australia.</t>
  </si>
  <si>
    <t>Viola, Benjamin/GQO-8891-2022</t>
  </si>
  <si>
    <t>Viola, Benjamin/0000-0003-2620-2914</t>
  </si>
  <si>
    <t>1540-9295</t>
  </si>
  <si>
    <t>1540-9309</t>
  </si>
  <si>
    <t>FRONT ECOL ENVIRON</t>
  </si>
  <si>
    <t>Front. Ecol. Environ.</t>
  </si>
  <si>
    <t>10.1002/fee.2517</t>
  </si>
  <si>
    <t>Ecology; Environmental Sciences</t>
  </si>
  <si>
    <t>1S6FC</t>
  </si>
  <si>
    <t>WOS:000804144000013</t>
  </si>
  <si>
    <t>Griffin, S; Daly, L; Piazolo, S; Forman, LV; Cohen, BE; Lee, MR; Trimby, PW; Baumgartner, RJ; Benedix, GK; Hoefnagels, B</t>
  </si>
  <si>
    <t>Griffin, S.; Daly, L.; Piazolo, S.; Forman, L., V; Cohen, B. E.; Lee, M. R.; Trimby, P. W.; Baumgartner, R. J.; Benedix, G. K.; Hoefnagels, B.</t>
  </si>
  <si>
    <t>Can the Magmatic Conditions of the Martian Nakhlites be Discerned via Investigation of Clinopyroxene and Olivine Intracrystalline Misorientations?</t>
  </si>
  <si>
    <t>JOURNAL OF GEOPHYSICAL RESEARCH-PLANETS</t>
  </si>
  <si>
    <t>EBSD; nakhlite; slip-systems; Mars; olivine; clinopyroxene</t>
  </si>
  <si>
    <t>HIGH-TEMPERATURE DEFORMATION; LATTICE PREFERRED ORIENTATIONS; SINGLE-CRYSTAL CLINOPYROXENES; SLIP SYSTEMS; UPPER-MANTLE; B-TYPE; PLASTIC-DEFORMATION; SEISMIC ANISOTROPY; DYNAMIC RECRYSTALLIZATION; WATER-CONTENT</t>
  </si>
  <si>
    <t>Deformation is a near ubiquitous process that is observed within nearly all naturally forming rocks. Electron backscatter diffraction (EBSD) is a technique that enables slip-systems (a form of plastic deformation) to be inferred from intracrystalline misorientations at a comparable scale to the representative CPO analysis (&gt;= 300 crystals for the nakhlites). Extensive laboratory and studies on naturally occurring samples have identified preferential mantle condition extrinsic parameters for specific slip-system signatures within olivine and clinopyroxene. Intracrystalline misorientation patterns for olivine and augite (high Ca-clinopyroxene) for 16 different Martian nakhlite meteorites (21 sections) were analyzed and assessed against these known parameters. Investigation of high and low deformation regions within the nakhlites revealed a shift in intracrystalline misorientation patterns for 10 of the 21 sections. Interpreted as both shock (high deformations) and emplacement (low deformation) signatures, the observed variations in deformation patterns for the two main regimes of deformation indicate heterogeneous sampling of the nakhlite source crater. Our findings indicate that shock deformation is prevalent throughout the nakhlites, and that great care needs to be taken when interpreting intracrystalline misorientations of crystals within apparent lower deformation regions.</t>
  </si>
  <si>
    <t>[Griffin, S.; Daly, L.; Lee, M. R.] Univ Glasgow, Sch Geog &amp; Earth Sci, Glassgow, England; [Daly, L.; Forman, L., V; Benedix, G. K.] Curtin Univ, Space Sci &amp; Technol Ctr, Sch Earth &amp; Planetary Sci, Perth, Wa, Australia; [Daly, L.] Univ Sydney, Australian Ctr Microscopy &amp; Microanal, Sydney, NSW, Australia; [Daly, L.] Univ Oxford, Dept Mat, Oxford, England; [Piazolo, S.] Univ Leeds, Sch Earth &amp; Environm, Leeds, W Yorkshire, England; [Forman, L., V; Benedix, G. K.] Western Australian Museum, Dept Earth &amp; Planetary Sci, Perth, WA, Australia; [Cohen, B. E.] Univ Edinburgh, Sch Geosci, Edinburgh, Midlothian, Scotland; [Trimby, P. W.] Oxford Instruments Nano Anal, High Wycombe, Bucks, England; [Baumgartner, R. J.] Univ New South Wales, Sch Biol Earth &amp; Environm Sci, Kensington, NSW, Australia; [Baumgartner, R. J.] Australian Resources Res Ctr, CSIRO Mineral Resources, Kensington, NSW, Australia; [Benedix, G. K.] Planetary Sci Inst, Houston, TX USA; [Hoefnagels, B.] Big Bang Meteorites, Washington, DC USA</t>
  </si>
  <si>
    <t>University of Glasgow; Curtin University; University of Sydney; University of Oxford; University of Leeds; Western Australian Museum; University of Edinburgh; University of New South Wales Sydney; Commonwealth Scientific &amp; Industrial Research Organisation (CSIRO); Australian Resources Research Centre</t>
  </si>
  <si>
    <t>Griffin, S (corresponding author), Univ Glasgow, Sch Geog &amp; Earth Sci, Glassgow, England.</t>
  </si>
  <si>
    <t>Sammy.Griffin@glasgow.ac.uk</t>
  </si>
  <si>
    <t>Forman, Lucy/X-5663-2018; Lee, Martin/D-9169-2011; Benedix, Gretchen/L-1953-2018</t>
  </si>
  <si>
    <t>Forman, Lucy/0000-0002-5759-6517; Baumgartner, Raphael/0000-0001-7547-4225; Trimby, Patrick/0000-0003-4065-3068; Piazolo, Sandra/0000-0001-7723-8170; Lee, Martin/0000-0002-6004-3622; Benedix, Gretchen/0000-0003-0990-8878; Daly, Luke/0000-0002-7150-4092</t>
  </si>
  <si>
    <t>Science and Technology Facilities Council [ST/N000846/1, ST/H002960/1]; STFC [ST/H002960/1, ST/N000846/1] Funding Source: UKRI</t>
  </si>
  <si>
    <t>Science and Technology Facilities Council(UK Research &amp; Innovation (UKRI)Science &amp; Technology Facilities Council (STFC)); STFC(UK Research &amp; Innovation (UKRI)Science &amp; Technology Facilities Council (STFC))</t>
  </si>
  <si>
    <t>For providing the samples used in this study we thank the NHM London, Japanese Antarctic Meteorite Research Centre, Smithsonian, NASA Meteorite Working Group, Macovich Collection, the Museum of Western Australia, Centre Europeen de Recherche et d'Enseignemet de Geosciences de l'Environment (CEREGE), and the Institute of Meteoritics University of New Mexico. We thank the contributions of our two anonymous reviewers and David Prior whose comments greatly enhanced our manuscript. This work forms a portion of S.G.'s PhD thesis and was funded by the Science and Technology Facilities Council through grants ST/N000846/1 and ST/H002960/1 to M.R.L.). All data are available at Griffin, et al. (2022).</t>
  </si>
  <si>
    <t>2169-9097</t>
  </si>
  <si>
    <t>2169-9100</t>
  </si>
  <si>
    <t>J GEOPHYS RES-PLANET</t>
  </si>
  <si>
    <t>J. Geophys. Res.-Planets</t>
  </si>
  <si>
    <t>e2021JE007082</t>
  </si>
  <si>
    <t>10.1029/2021JE007082</t>
  </si>
  <si>
    <t>1W2GM</t>
  </si>
  <si>
    <t>WOS:000806596000001</t>
  </si>
  <si>
    <t>Griffin, S; Daly, L; Keller, T; Piazolo, S; Forman, LV; Lee, MR; Baumgartner, RJ; Trimby, PW; Benedix, GK; Irving, AJ; Hoefnagels, B</t>
  </si>
  <si>
    <t>Griffin, S.; Daly, L.; Keller, T.; Piazolo, S.; Forman, L., V; Lee, M. R.; Baumgartner, R. J.; Trimby, P. W.; Benedix, G. K.; Irving, A. J.; Hoefnagels, B.</t>
  </si>
  <si>
    <t>Constraints on the Emplacement of Martian Nakhlite Igneous Rocks and Their Source Volcano From Advanced Micro-Petrofabric Analysis</t>
  </si>
  <si>
    <t>EBSD; nakhlite; Mars; petrofabric; CPO</t>
  </si>
  <si>
    <t>LAVA FLOWS; HETEROGENEOUS NUCLEATION; DEFORMATION; EVOLUTION; MANTLE; TEXTURES; RHEOLOGY; FABRICS; MARS; PYROXENITES</t>
  </si>
  <si>
    <t>The Martian nakhlite meteorites, which represent multiple events that belong to a single magma source region represent a key opportunity to study the evolution of Martian petrogenesis. Here 16 of the 26 identified nakhlite specimens are studied using coupled electron backscatter diffraction (EBSD) and emplacement end-member calculations. EBSD was used to determine shape preferred orientation of contained augite (high Ca-clinopyroxene) phenocrysts by considering their crystallographic preferred orientation (CPO). Parameters derived from EBSD, and energy dispersive X-ray spectroscopy spectra were used in basic emplacement models to assess their dominant mechanism against three end-member scenarios: thermal diffusion, crystal settling, and crystal convection. Results from CPO analyses indicate low intensity weak-moderate CPO. In all samples, a consistent foliation within the axes of augite are observed typically coupled with a weaker lineation CPO in one of the other crystallographic axes. These CPO results agree best with crystal settling being the dominant emplacement mechanism for the nakhlites. Modeled crystal settling results identify two distinguishable groups outside of the model's resolution indicating the presence of secondary emplacement mechanisms. Comparison of the two identified groups against CPO, geochemical, and age parameters indicate random variability between individual meteorites. Therefore, coupled CPO and emplacement modeling results identify an overarching characteristic of a dominant crystal settling emplacement mechanism for the nakhlite source volcano despite exhibiting random variation with each discharge through time.</t>
  </si>
  <si>
    <t>[Griffin, S.; Daly, L.; Keller, T.; Lee, M. R.] Univ Glasgow, Sch Geog &amp; Earth Sci, Glasgow, Lanark, Scotland; [Daly, L.; Forman, L., V; Benedix, G. K.] Curtin Univ, Sch Earth &amp; Planetary Sci, Space Sci &amp; Technol Ctr, Perth, WA, Australia; [Daly, L.] Univ Sydney, Australian Ctr Microscopy &amp; Microanal, Sydney, NSW, Australia; [Daly, L.] Univ Oxford, Dept Mat, Oxford, England; [Piazolo, S.] Univ Leeds, Sch Earth &amp; Environm, Leeds, W Yorkshire, England; [Forman, L., V; Benedix, G. K.] Western Australian Museum, Dept Earth &amp; Planetary Sci, Perth, WA, Australia; [Baumgartner, R. J.] Univ New South Wales, Sch Biol Earth &amp; Environm Sci, Kensington, NSW, Australia; [Baumgartner, R. J.] Australian Resources Res Ctr, CSIRO Mineral Resources, Kensington, WA, Australia; [Trimby, P. W.] Oxford Instruments Nano Anal, High Wycombe, Bucks, England; [Benedix, G. K.] Planetary Sci Inst, Tucson, AZ USA; [Irving, A. J.] Univ Washington, Dept Earth &amp; Space Sci, Seattle, WA 98195 USA; [Hoefnagels, B.] Big Bang Meteorites, Washington, DC USA</t>
  </si>
  <si>
    <t>University of Glasgow; Curtin University; University of Sydney; University of Oxford; University of Leeds; Western Australian Museum; University of New South Wales Sydney; Commonwealth Scientific &amp; Industrial Research Organisation (CSIRO); Australian Resources Research Centre; University of Washington; University of Washington Seattle</t>
  </si>
  <si>
    <t>Griffin, S (corresponding author), Univ Glasgow, Sch Geog &amp; Earth Sci, Glasgow, Lanark, Scotland.</t>
  </si>
  <si>
    <t>Forman, Lucy/X-5663-2018; Benedix, Gretchen/L-1953-2018; Lee, Martin/D-9169-2011</t>
  </si>
  <si>
    <t>Forman, Lucy/0000-0002-5759-6517; Baumgartner, Raphael/0000-0001-7547-4225; Piazolo, Sandra/0000-0001-7723-8170; Benedix, Gretchen/0000-0003-0990-8878; Keller, Tobias/0000-0002-6121-5377; Daly, Luke/0000-0002-7150-4092; Lee, Martin/0000-0002-6004-3622; Trimby, Patrick/0000-0003-4065-3068</t>
  </si>
  <si>
    <t>NSF; Science and Technology Facilities Council [ST/N000846/1, ST/H002960/1]; NASA; STFC [ST/H002960/1, ST/N000846/1] Funding Source: UKRI</t>
  </si>
  <si>
    <t>NSF(National Science Foundation (NSF)); Science and Technology Facilities Council(UK Research &amp; Innovation (UKRI)Science &amp; Technology Facilities Council (STFC)); NASA(National Aeronautics &amp; Space Administration (NASA)); STFC(UK Research &amp; Innovation (UKRI)Science &amp; Technology Facilities Council (STFC))</t>
  </si>
  <si>
    <t>The authors are grateful to the following curational facilities for providing the following samples used in this study: NHM London (Governador Valadares), Japanese Antarctic Meteorite Research Centre (NIPR; Y 000593, Y 000749, Y 000802), Macovich Collection, The Museum of Western Australia (Nakhla WAM 12965), Centre Europeen de Recherche et d'Enseignemet de Geosciences de l'Environment (CEREGE; Caleta el Cobre 022), the Institute of Meteoritics University of New Mexico (NWA 10153, NWA 12542), Smithsonian (Lafayette, Nakhla USNM 426-1), and ANSMET (MIL 03346, MIL 090030, MIL 090032, and MIL 090136). US Antarctic meteorite samples are recovered by the Antarctic Search for Meteorites (ANSMET) program, which has been funded by the NSF and the NASA, and characterized and curated by the Department of Mineral Sciences of the Smithsonian Institution and Astromaterials Acquisition and Curation Office at NASA Johnson Space Centre. The authors thank the editor Laurent Montesi our reviewers Alex Ruzicka and Jon Friedrich as well as David Prior for their helpful comments which significantly enhanced our manuscript. This work was funded by the Science and Technology Facilities Council through grants ST/N000846/1 and ST/H002960/1 to M. R. Lee.</t>
  </si>
  <si>
    <t>e2021JE007080</t>
  </si>
  <si>
    <t>10.1029/2021JE007080</t>
  </si>
  <si>
    <t>1W2GW</t>
  </si>
  <si>
    <t>Green Accepted, Green Published</t>
  </si>
  <si>
    <t>WOS:000806597000001</t>
  </si>
  <si>
    <t>Song, JJ; Klotzbach, PJ; Dai, YF; Duan, YH</t>
  </si>
  <si>
    <t>Song, Jinjie; Klotzbach, Philip J.; Dai, Yifei; Duan, Yihong</t>
  </si>
  <si>
    <t>Does the Antarctic Oscillation modulate tropical cyclone rapid intensification over the western North Pacific?</t>
  </si>
  <si>
    <t>ENVIRONMENTAL RESEARCH LETTERS</t>
  </si>
  <si>
    <t>tropical cyclone; rapid intensification; Antarctic Oscillation</t>
  </si>
  <si>
    <t>LARGE-SCALE CHARACTERISTICS; CLIMATE-CHANGE; PREDICTION; INTENSITY; VARIABILITY; ATLANTIC; OCEAN</t>
  </si>
  <si>
    <t>This study investigates the modulation of tropical cyclone (TCs) rapid intensification (RI) over the western North Pacific by the Antarctic Oscillation. There is a significant inverse relationship between basinwide RI number during July-November from 1982 to 2020 and the simultaneous Antarctic Oscillation index. During positive Antarctic Oscillation years, RI occurrence is significantly suppressed over the main RI region (10 degrees-20 degrees N and 125 degrees-150 degrees E) and slightly enhanced over the South China Sea. By contrast, during negative Antarctic Oscillation years, RI is significantly enhanced over the main RI region and slightly suppressed over the South China Sea. The Antarctic Oscillation influences western North Pacific RI occurrence mainly through modulation of the large-scale dynamic environment. During positive Antarctic Oscillation years, increases in 850-200 hPa vertical wind shear and decreases in both low-level vorticity and upper-level divergence all suppress RI occurrence over the main RI region, while thermodynamic variables (e.g. TC heat potential, maximum potential intensity and low-to-middle level relative humidity) show mostly weak changes. These changes in dynamic factors can be linked to a low-level anomalous western North Pacific anticyclone triggered by the positive phase of the Antarctic Oscillation and a low-level anomalous western North Pacific cyclone generated by a negative phase of the Antarctic Oscillation.</t>
  </si>
  <si>
    <t>[Song, Jinjie; Dai, Yifei] Chinese Acad Meteorol Sci, Nanjing Joint Inst Atmospher Sci, Nanjing, Peoples R China; [Song, Jinjie; Duan, Yihong] Chinese Acad Meteorol Sci, State Key Lab Severe Weather, Beijing, Peoples R China; [Klotzbach, Philip J.] Colorado State Univ, Dept Atmospher Sci, Ft Collins, CO 80523 USA</t>
  </si>
  <si>
    <t>China Meteorological Administration; Chinese Academy of Meteorological Sciences (CAMS); China Meteorological Administration; Chinese Academy of Meteorological Sciences (CAMS); Colorado State University</t>
  </si>
  <si>
    <t>Duan, YH (corresponding author), Chinese Acad Meteorol Sci, State Key Lab Severe Weather, Beijing, Peoples R China.</t>
  </si>
  <si>
    <t>duanyh@cma.gov.cn</t>
  </si>
  <si>
    <t>Klotzbach, Philip J/P-1911-2014</t>
  </si>
  <si>
    <t>National Key Research and Development Program of China [2018YFC1507305]; National Natural Science Foundation of China [61827901, 42175007, 41905001, 42192552]; China Postdoctoral Science Foundation [2020M680789]; G Unger Vetlesen Foundation</t>
  </si>
  <si>
    <t>National Key Research and Development Program of China; National Natural Science Foundation of China(National Natural Science Foundation of China (NSFC)); China Postdoctoral Science Foundation(China Postdoctoral Science Foundation); G Unger Vetlesen Foundation</t>
  </si>
  <si>
    <t>This work was jointly funded by the National Key Research and Development Program of China (2018YFC1507305), the National Natural Science Foundation of China (61827901, 42175007, 41905001 and 42192552) and the China Postdoctoral Science Foundation (2020M680789). Klotzbach would like to acknowledge financial support from the G Unger Vetlesen Foundation.</t>
  </si>
  <si>
    <t>1748-9326</t>
  </si>
  <si>
    <t>ENVIRON RES LETT</t>
  </si>
  <si>
    <t>Environ. Res. Lett.</t>
  </si>
  <si>
    <t>10.1088/1748-9326/ac73ab</t>
  </si>
  <si>
    <t>1W1EL</t>
  </si>
  <si>
    <t>WOS:000806522800001</t>
  </si>
  <si>
    <t>Mora-Soto, A; Aguirre, C; Iriarte, JL; Palacios, M; Macaya, EC; Macias-Fauria, M</t>
  </si>
  <si>
    <t>Mora-Soto, A.; Aguirre, C.; Iriarte, J. L.; Palacios, M.; Macaya, E. C.; Macias-Fauria, M.</t>
  </si>
  <si>
    <t>A Song of Wind and Ice: Increased Frequency of Marine Cold-Spells in Southwestern Patagonia and Their Possible Effects on Giant Kelp Forests</t>
  </si>
  <si>
    <t>marine heatwaves; marine cold-spells; Patagonia; sub-Antarctic; giant kelp; climatic refugium</t>
  </si>
  <si>
    <t>MACROCYSTIS-PYRIFERA LAMINARIALES; NORTHERN CHILE; SOUTHERN; COASTAL; TEMPERATURE; PHAEOPHYTA; PATTERNS; WATER; ACCLIMATION; RECRUITMENT</t>
  </si>
  <si>
    <t>In contrast to other coastal regions of the world, the giant kelp (Macrocystis pyrifera) ecosystem in southwestern Patagonia has been persistent in area and associated biodiversity in the last decades. In this ecoregion, sea surface temperature (SST) records have consistently remained below the upper thermal threshold for kelp survival, however, no studies have analyzed the spatiotemporal variability of SSTs and their anomalies across the geographical diversity of the southwestern Patagonian coastline. We explored the geographical distribution of extreme warm and cold events in this region from latitudes 47 degrees-56 degrees S in a range of similar to 1,000 km, identifying the dates and spatial distribution of marine heatwaves (MHWs) and marine cold-spells (MCSs) from 1982 to 2020. Results show that a peak in the number of MHWs occurred in the great El Nino year of 1998. Additionally, the 2014-2019 period has had more severe and extreme MCSs than the previous decades. We discuss the origin of these events with a focus on three main processes: (a) geographically constrained cold events caused by glacier melting, (b) regional cold events caused by extreme winds linked to the position of the polar front, and (c) extensive SST anomalies linked to planetary-scale events such as El Nino and La Nina. Overall, those processes were conductive to counteract global warming trends locally/regionally, highlighting southwestern Patagonia as a possible climatic refugium for the giant kelp ecosystem. Despite this, the effects of freshwater inputs and storm turbulence on the exposed coasts facing the Southern Ocean may cause new kinds of stress on this ecosystem.</t>
  </si>
  <si>
    <t>[Mora-Soto, A.; Macias-Fauria, M.] Univ Oxford, Biogeosci Lab, Sch Geog &amp; Environm, Oxford, England; [Mora-Soto, A.] Univ Victoria, Spectral Lab, Dept Geog, Victoria, BC, Canada; [Aguirre, C.] Univ Valparaiso, Sch Ocean Engn, Fac Engn, Valparaiso, Chile; [Aguirre, C.] Univ Chile, Ctr Climate &amp; Resilience Res, Santiago, Chile; [Aguirre, C.] Millennium Nucleus Understanding Coastal Upwellin, Coquimbo, Chile; [Iriarte, J. L.; Palacios, M.; Macaya, E. C.] Ctr FONDAP Invest Dinam Ecosistemas Marinos Altas, Valdivia, Chile; [Iriarte, J. L.] Univ Concepcion, Ctr COPAS Sur Austral, Concepcion, Chile; [Iriarte, J. L.] Univ Austral Chile, Inst Acuicultura, Puerto Montt, Chile; [Palacios, M.] Wildlife Conservat Soc WCS, Marine Conservat Program, Santiago, Chile; [Palacios, M.] Univ Austral Chile, Programa Doctorado Biol Marina, Valdivia, Chile; [Macaya, E. C.] Univ Concepcion, Dept Oceanog, Lab Estudios Algales ALGALAB, Concepcion, Chile</t>
  </si>
  <si>
    <t>University of Oxford; University of Victoria; Universidad de Valparaiso; Universidad de Chile; Universidad de Concepcion; Universidad Austral de Chile; Universidad Austral de Chile; Universidad de Concepcion</t>
  </si>
  <si>
    <t>Mora-Soto, A (corresponding author), Univ Oxford, Biogeosci Lab, Sch Geog &amp; Environm, Oxford, England.;Mora-Soto, A (corresponding author), Univ Victoria, Spectral Lab, Dept Geog, Victoria, BC, Canada.</t>
  </si>
  <si>
    <t>alemoras@uvic.ca</t>
  </si>
  <si>
    <t>Macaya, Erasmo C/B-8651-2011; Mora-Soto, Alejandra/HNQ-6933-2023; Aguirre, Catalina/JFS-0610-2023; Macias-Fauria, Marc/A-4591-2009</t>
  </si>
  <si>
    <t>Mora-Soto, Alejandra/0000-0003-2254-5338; Iriarte, Jose Luis/0000-0002-8346-6070; Palacios, Mauricio/0000-0002-5484-8459; Aguirre, Catalina/0000-0002-9883-514X; Macias-Fauria, Marc/0000-0002-8438-2223; Macaya, Erasmo C./0000-0002-9878-483X</t>
  </si>
  <si>
    <t>ANID-Becas Chile; Agencia Nacional de Investigacion y Desarrollo (ANID) Millennium Science Initiative [NCN19-153]; Fondecyt [11171163]; FONDAP [15150003]; Centro de Investigacion en Dinamica de Ecosistemas Marinos de Altas Latitudes (IDEAL)</t>
  </si>
  <si>
    <t>ANID-Becas Chile; Agencia Nacional de Investigacion y Desarrollo (ANID) Millennium Science Initiative; Fondecyt(Comision Nacional de Investigacion Cientifica y Tecnologica (CONICYT)CONICYT FONDECYT); FONDAP; Centro de Investigacion en Dinamica de Ecosistemas Marinos de Altas Latitudes (IDEAL)</t>
  </si>
  <si>
    <t>The authors are deeply grateful to SHOA (Servicio Hidrografico y Oceanografico de la Armada de Chile) for sharing the in situ data. The authors thank Robert Schlegel and two anonymous reviewers for their thoughtful suggestions that improved the manuscript. Additionally, thanks to Maisa Rojas (CR)2 and Maycira Costa (UVIC) for their comments and Leonardo Rojas for his valuable help with R scripts. This research is part of A M-S's DPhil funded by ANID-Becas Chile. CA acknowledges the support of the Agencia Nacional de Investigacion y Desarrollo (ANID) Millennium Science Initiative, Program NCN19-153 and Fondecyt, Grant No. 11171163. JLI and EM were supported by FONDAP Grant Nos. 15150003, Centro de Investigacion en Dinamica de Ecosistemas Marinos de Altas Latitudes (IDEAL).</t>
  </si>
  <si>
    <t>e2021JC017801</t>
  </si>
  <si>
    <t>10.1029/2021JC017801</t>
  </si>
  <si>
    <t>1W2EW</t>
  </si>
  <si>
    <t>WOS:000806591800001</t>
  </si>
  <si>
    <t>Yang, X; Strutton, PG; Cyriac, A; Phillips, HE; Pittman, NA; Vives, CR</t>
  </si>
  <si>
    <t>Yang, Xiang; Strutton, Peter G.; Cyriac, Ajitha; Phillips, Helen E.; Pittman, Nicholas A.; Vives, Clara R.</t>
  </si>
  <si>
    <t>Physical Drivers of Biogeochemical Variability in the Polar Front Meander</t>
  </si>
  <si>
    <t>ANTARCTIC CIRCUMPOLAR CURRENT; NET COMMUNITY PRODUCTION; SOUTHERN-OCEAN; PRIMARY PRODUCTIVITY; SATELLITE-OBSERVATIONS; MESOSCALE EDDIES; EDDY SATURATION; VERTICAL MOTION; SPRING BLOOM; ARABIAN SEA</t>
  </si>
  <si>
    <t>The Southern Ocean plays a vital role in global ocean circulation, and the Polar Front (PF) is one of its most important physical features. The PF meander south of Tasmania, around 153 degrees E, 55 degrees S, is a very dynamic region which spawns mesoscale eddies, and influences local biogeochemistry and sea-air interaction. By using voyage and ancillary data, we investigated the unusually strong spring bloom in the vicinity of the PF meander in 2018. We infer that the upwelling of deep water at the front and in eddies, brings macronutrients and dissolved iron (dFe) to the surface. Chlorophyll concentration peaked at over 0.6 mg m(-3), which is anomalously high for this area. With reduced iron limitation, the physiological characteristics of phytoplankton in the northern, downstream part of the study area also changed. The photochemical efficiency was improved and released this area from its usual high-nutrient low-chlorophyll (HNLC) status. This was mainly indicated by the increase in the dawn Fv/Fm maximum (indictor of photochemical efficiency) from 0.2 to over 0.5. With the biomass increase and healthier community status, we observed consumption of surface dissolved inorganic carbon and increased particulate organic carbon production to about 40 mu mol L-1, forming a weak local carbon sink. Through the investigation of multiple years, a weak positive correlation between mixed layer depth shoaling and phytoplankton growth was found, but there was significant interannual variability in this relationship, likely caused by variable eddy conditions and dFe delivery.</t>
  </si>
  <si>
    <t>[Yang, Xiang; Strutton, Peter G.; Cyriac, Ajitha; Phillips, Helen E.; Pittman, Nicholas A.; Vives, Clara R.] Univ Tasmania, Inst Marine &amp; Antarctic Studies, Hobart, Tas, Australia; [Yang, Xiang; Strutton, Peter G.; Pittman, Nicholas A.; Vives, Clara R.] Univ Tasmania, Australian Res Council, Ctr Excellence Climate Extremes, Hobart, Tas, Australia; [Yang, Xiang] Ocean Univ China, Coll Ocean &amp; Atmospher Sci, Qingdao, Peoples R China; [Phillips, Helen E.] Univ Tasmania, Australian Antarctic Program Partnership, Hobart, Tas, Australia; [Phillips, Helen E.] Univ Tasmania, Australian Ctr Excellence Antarctic Sci, Hobart, Tas, Australia</t>
  </si>
  <si>
    <t>University of Tasmania; University of Tasmania; Ocean University of China; University of Tasmania; University of Tasmania</t>
  </si>
  <si>
    <t>Yang, X (corresponding author), Univ Tasmania, Inst Marine &amp; Antarctic Studies, Hobart, Tas, Australia.;Yang, X (corresponding author), Univ Tasmania, Australian Res Council, Ctr Excellence Climate Extremes, Hobart, Tas, Australia.;Yang, X (corresponding author), Ocean Univ China, Coll Ocean &amp; Atmospher Sci, Qingdao, Peoples R China.</t>
  </si>
  <si>
    <t>xiang.yang@utas.edu.au</t>
  </si>
  <si>
    <t>Phillips, Helen/I-3761-2013; Strutton, Peter/C-4466-2011</t>
  </si>
  <si>
    <t>Phillips, Helen/0000-0002-2941-7577; yang, Xiang/0000-0002-0616-0967; R. Vives, Clara/0000-0002-6150-7644; Pittman, Nicholas/0000-0002-4632-7223; Strutton, Peter/0000-0002-2395-9471; Cyriac, Ajitha/0000-0001-6149-740X</t>
  </si>
  <si>
    <t>ARC [DP170102162]; Australian Research Council Centre of Excellence for Climate Extremes [CE170100023]; University of Tasmania; Climate Systems Hub of the Australian government's National Environmental Science Programme; Australian Research Council's Special Research Initiative for Antarctic Gateway Partnership [SR140300001]</t>
  </si>
  <si>
    <t>ARC(Australian Research Council); Australian Research Council Centre of Excellence for Climate Extremes(Australian Research Council); University of Tasmania; Climate Systems Hub of the Australian government's National Environmental Science Programme; Australian Research Council's Special Research Initiative for Antarctic Gateway Partnership(Australian Research Council)</t>
  </si>
  <si>
    <t>This work was made possible through ship time on RV Investigator from Australia's Marine National Facility and funding from ARC Discovery Project DP170102162. We acknowledge the use of the CSIRO Marine National Facility-grid.473585.8-in undertaking this research. Xiang Yang, Pete Strutton, Nic Pitman, and Clara Vives thank the Australian Research Council Centre of Excellence for Climate Extremes (CE170100023) and the University of Tasmania for providing financial support to conduct the research. Helen Phillips acknowledges support from the Climate Systems Hub of the Australian government's National Environmental Science Programme. Nic Pittman and Clara Vives' participation in the voyage was also funded by the Australian Research Council's Special Research Initiative for Antarctic Gateway Partnership (Project ID SR140300001). Open access publishing facilitated by University of Tasmania, as part of the Wiley - University of Tasmania agreement via the Council of Australian University Librarians.</t>
  </si>
  <si>
    <t>e2021JC017863</t>
  </si>
  <si>
    <t>10.1029/2021JC017863</t>
  </si>
  <si>
    <t>1U2OZ</t>
  </si>
  <si>
    <t>WOS:000805258400001</t>
  </si>
  <si>
    <t>Maroni, PJ; Baker, BJ; Moran, AL; Woods, HA; Avila, C; Johnstone, GJ; Stark, JS; Kocot, KM; Lockhart, S; Saucède, T; Rouse, GW; Wilson, NG</t>
  </si>
  <si>
    <t>Maroni, Paige J.; Baker, Bill J.; Moran, Amy L.; Woods, H. Arthur; Avila, Conxita; Johnstone, Glenn J.; Stark, Jonathan S.; Kocot, Kevin M.; Lockhart, Susanne; Saucede, Thomas; Rouse, Greg W.; Wilson, Nerida G.</t>
  </si>
  <si>
    <t>One Antarctic slug to confuse them all: the underestimated diversity of Doris kerguelenensis</t>
  </si>
  <si>
    <t>INVERTEBRATE SYSTEMATICS</t>
  </si>
  <si>
    <t>allopatry; Antarctica; Antarctic marine biodiversity; cryptic species; cytochrome oxidase I; direct development; mtDNA; nudibranch mollusc; phylogeny; refugia; species delimitation</t>
  </si>
  <si>
    <t>NUDIBRANCH AUSTRODORIS-KERGUELENENSIS; LONG-DISTANCE DISPERSAL; 1ST MOLECULAR PHYLOGENY; OXIDASE SUBUNIT-I; SOUTHERN-OCEAN; POLAR FRONT; MITOCHONDRIAL LINEAGES; CRYPTIC SPECIATION; CLIMATE-CHANGE; MARINE</t>
  </si>
  <si>
    <t>The Antarctic marine environment, although rich in life, is predicted to experience rapid and significant effects from climate change. Despite a revolution in the approaches used to document biodiversity, less than one percent of Antarctic marine invertebrates are represented by DNA barcodes and we are at risk of losing biodiversity before discovery. The ease of sequencing mitochondrial DNA barcodes has promoted this relatively 'universal' species identification system across most metazoan phyla and barcode datasets are currently readily used for exploring questions of species-level taxonomy. Here we present the most well-sampled phylogeny of the direct-developing, Southern Ocean nudibranch mollusc, Doris kerguelenensis to date. This study sampled over 1000 new Doris kerguelenensis specimens spanning the Southern Ocean and sequenced the mitochondrial COI gene. Results of a maximum likelihood phylogeny and multiple subsequent species delimitation analyses identified 27 new species in this complex (now 59 in total). Using rarefaction techniques, we infer more species are yet to be discovered. Some species were only collected from southern South America or the sub-Antarctic islands, while at least four species were found spanning the Polar Front. This is contrary to dispersal predictions for species without a larval stage such as Doris kerguelenensis. Our work demonstrates the value of increasing geographic scope in sampling and highlights what could be lost given the current global biodiversity crisis.</t>
  </si>
  <si>
    <t>[Maroni, Paige J.; Wilson, Nerida G.] Univ Western Australia, Sch Biol Sci M092, 35 Stirling Highway, Crawley, WA 6009, Australia; [Maroni, Paige J.; Wilson, Nerida G.] Western Australian Museum, Res Collect, 49 Kew St, Welshpool, WA 6106, Australia; [Baker, Bill J.] Univ S Florida, Dept Chem CHE 205, 4202 East Fowler St, Tampa, FL 33620 USA; [Moran, Amy L.] Univ Hawaii Manoa, Sch Life Sci EDM 216, 2538 McCarthy Mall, Honolulu, HI 96822 USA; [Woods, H. Arthur] Univ Montana, Div Biol Sci HS 104, 32 Campus Dr, Missoula, MN 59812 USA; [Avila, Conxita] Univ Barcelona, Ecol &amp; Environm Sci Biodivers Res Inst IRBio, Dept Evolutionary Biol, Diagonal Ave 643, E-08028 Barcelona, Spain; [Johnstone, Glenn J.; Stark, Jonathan S.] Australian Antarct Div, Environm Protect Program, 203 Channel Highway, Kingston, Tas 7050, Australia; [Kocot, Kevin M.] Univ Alabama, Dept Biol Sci, 500 Hackberry Lane, Tuscaloosa, AL 35487 USA; [Kocot, Kevin M.] Alabama Museum Nat Hist, 500 Hackberry Lane, Tuscaloosa, AL 35487 USA; [Lockhart, Susanne] Calif Acad Sci, Dept Invertebrate Zool &amp; Geol, 55 Mus Concourse Dr, San Francisco, CA 94118 USA; [Saucede, Thomas] Univ Bourgogne Franche Comte, Biogeosci, CNRS, UMR 6282, 6 Gabriel Blvd, F-21000 Dijon, France; [Rouse, Greg W.; Wilson, Nerida G.] Univ Calif San Diego, Scripps Inst Oceanog, 9500 Gilman Dr, La Jolla, CA 92093 USA; [Wilson, Nerida G.] Western Australian Museum, Securing Antarct Environm Future, 49 Kew St, Welshpool, WA 6106, Australia</t>
  </si>
  <si>
    <t>University of Western Australia; Western Australian Museum; State University System of Florida; University of South Florida; University of Hawaii System; University of Hawaii Manoa; University of Barcelona; Australian Antarctic Division; University of Alabama System; University of Alabama Tuscaloosa; California Academy of Sciences; Centre National de la Recherche Scientifique (CNRS); Universite de Bourgogne; University of California System; University of California San Diego; Scripps Institution of Oceanography; Western Australian Museum</t>
  </si>
  <si>
    <t>Maroni, PJ (corresponding author), Univ Western Australia, Sch Biol Sci M092, 35 Stirling Highway, Crawley, WA 6009, Australia.</t>
  </si>
  <si>
    <t>paige.maroni@research.uwa.edu.au</t>
  </si>
  <si>
    <t>Rouse, Gregory/AAW-1494-2021; Moran, Amy L/F-7072-2011; Baker, Bill/N-4312-2019; Wilson, Nerida/G-8433-2011</t>
  </si>
  <si>
    <t>Rouse, Gregory/0000-0001-9036-9263; Wilson, Nerida/0000-0002-0784-0200; Moran, Amy/0000-0002-0604-5096; Maroni, Paige/0000-0002-1974-3977</t>
  </si>
  <si>
    <t>Antarctic Circumnavigation Expedition; ACE Foundation; Ferring Pharmaceuticals; French Polar Institute; LTSER ZATA [1044]; US National Science Foundation [PLR-1341485, ANT-0551969, ANT-0440577, DEB-1846174]; BLUEBIO [CTM2016-78901/ANT]; Society of Australian Systematic Biologists (SASB); University of Western Australia Oceans Institute (UWA-OI) Robson and Robertson award; Malacological Society of Australasia (MSA); Antarctic Science Foundation (ASF); ARC SRIEAS Grant [SR200100005]; Australian Research Council [SR200100005] Funding Source: Australian Research Council</t>
  </si>
  <si>
    <t>Antarctic Circumnavigation Expedition; ACE Foundation; Ferring Pharmaceuticals(Ferring Pharmaceuticals); French Polar Institute; LTSER ZATA; US National Science Foundation(National Science Foundation (NSF)); BLUEBIO; Society of Australian Systematic Biologists (SASB); University of Western Australia Oceans Institute (UWA-OI) Robson and Robertson award; Malacological Society of Australasia (MSA); Antarctic Science Foundation (ASF); ARC SRIEAS Grant(Australian Research Council); Australian Research Council</t>
  </si>
  <si>
    <t>The work was supported by the Antarctic Circumnavigation Expedition (carried out by the Swiss Polar Institute, supported by the ACE Foundation and Ferring Pharmaceuticals), the French Polar Institute and LTSER ZATA (#1044), the US National Science Foundation (PLR-1341485, ANT-0551969 to A. L. Moran, ANT-0440577 to H. A. Woods, and DEB-1846174 to K. M. Kocot), BLUEBIO (CTM2016-78901/ANT), the Society of Australian Systematic Biologists (SASB), the University of Western Australia Oceans Institute (UWA-OI) Robson and Robertson award, the Malacological Society of Australasia (MSA) and the Antarctic Science Foundation (ASF). This work was also supported by ARC SRIEAS Grant SR200100005 Securing Antarctica's Environmental Future.</t>
  </si>
  <si>
    <t>CSIRO PUBLISHING</t>
  </si>
  <si>
    <t>CLAYTON</t>
  </si>
  <si>
    <t>UNIPARK, BLDG 1, LEVEL 1, 195 WELLINGTON RD, LOCKED BAG 10, CLAYTON, VIC 3168, AUSTRALIA</t>
  </si>
  <si>
    <t>1445-5226</t>
  </si>
  <si>
    <t>1447-2600</t>
  </si>
  <si>
    <t>INVERTEBR SYST</t>
  </si>
  <si>
    <t>Invertebr. Syst.</t>
  </si>
  <si>
    <t>10.1071/IS21073</t>
  </si>
  <si>
    <t>Evolutionary Biology; Zoology</t>
  </si>
  <si>
    <t>1X8OM</t>
  </si>
  <si>
    <t>WOS:000804112000001</t>
  </si>
  <si>
    <t>Marini, S; Bonofiglio, F; Corgnati, LP; Bordone, A; Schiaparelli, S; Peirano, A</t>
  </si>
  <si>
    <t>Marini, Simone; Bonofiglio, Federico; Corgnati, Lorenzo P.; Bordone, Andrea; Schiaparelli, Stefano; Peirano, Andrea</t>
  </si>
  <si>
    <t>Long-term automated visual monitoring of Antarctic benthic fauna</t>
  </si>
  <si>
    <t>METHODS IN ECOLOGY AND EVOLUTION</t>
  </si>
  <si>
    <t>Antarctica; artificial intelligence; autonomous imaging device; autonomous marine observing systems; benthic fauna; computer vision; long-term monitoring; underwater images</t>
  </si>
  <si>
    <t>MARINE BIODIVERSITY; FISHES; TIME; SEA</t>
  </si>
  <si>
    <t>The rapid changes in the climate of Antarctica are likely to pose challenges to living communities, which makes monitoring of Antarctic fauna an urgent necessity. Benthos is particularly difficult to monitor, and is sensitive to local environmental changes. At the same time, long-term monitoring is complicated by logistical factors. It is therefore urgent to develop advanced instruments to set up autonomous and long-term monitoring programmes to obtain the lacking biological knowledge needed to understand this complex and remote marine environment. We present a pilot study to set up a non-invasive and sustainable autonomous monitoring activity in Antarctica, leveraging on a specifically designed automated camera recording, computer vision and machine learning image processing techniques. We also present and analyse the high-resolution image dataset acquired for an extended period of time encompassing both the summer and the Antarctic night and the corresponding transition periods. The results of this study demonstrate both the effectiveness of such an autonomous imaging devices for acquiring relevant long-term visual data and the effectiveness of the proposed image analysis algorithms for extracting relevant scientific knowledge from such data. The presented results show how the extracted knowledge discloses dynamics of the observed ecosystems that can be obtained only through continuous observations extended in time, not achievable with the state-of-the-art monitoring approaches commonly implemented in Antarctica. The success of this pilot study is a step towards the collection of continuous data near shore in Antarctic areas and in general in all the remote and extreme underwater habitats. Moreover, the presented stand-alone and autonomous imaging device can be used for increasing the number of the monitoring sites in remote environments and when complemented with the acquisition of physical and bio-chemical variables it can be used for obtaining data collections of great scientific value difficult to acquire otherwise.</t>
  </si>
  <si>
    <t>[Marini, Simone; Bonofiglio, Federico; Corgnati, Lorenzo P.] Natl Res Council Italy CNR, Inst Marine Sci, La Spezia, Italy; [Marini, Simone] Stn Zool Anton Dohrn, Naples, Italy; [Bordone, Andrea; Peirano, Andrea] ENEA Marine Environm Res Ctr, La Spezia, Italy; [Schiaparelli, Stefano] Univ Genoa, DISTAV, Genoa, Italy; [Schiaparelli, Stefano] Italian Natl Antarctic Museum, Sect Genoa, MNA 5, Genoa, Italy</t>
  </si>
  <si>
    <t>Consiglio Nazionale delle Ricerche (CNR); Istituto di Scienze Marine (ISMAR-CNR); Stazione Zoologica Anton Dohrn di Napoli; Italian National Agency New Technical Energy &amp; Sustainable Economics Development; University of Genoa</t>
  </si>
  <si>
    <t>Marini, S (corresponding author), Natl Res Council Italy CNR, Inst Marine Sci, La Spezia, Italy.;Marini, S (corresponding author), Stn Zool Anton Dohrn, Naples, Italy.</t>
  </si>
  <si>
    <t>simone.marini@sp.ismar.cnr.it</t>
  </si>
  <si>
    <t>Marini, Simone/C-3872-2012; Corgnati, Lorenzo Paolo/HKN-8197-2023</t>
  </si>
  <si>
    <t>Marini, Simone/0000-0003-0665-7815; Corgnati, Lorenzo Paolo/0000-0001-5819-7713</t>
  </si>
  <si>
    <t>Italian National Antarctic Program [PNRA 2013/AZ1.16]; ENDURUNS project [Horizon 2020] [824348]; JERICO-S3 project [Horizon 2020] [871153]; H2020 Societal Challenges Programme [824348] Funding Source: H2020 Societal Challenges Programme</t>
  </si>
  <si>
    <t>Italian National Antarctic Program; ENDURUNS project [Horizon 2020]; JERICO-S3 project [Horizon 2020]; H2020 Societal Challenges Programme(Horizon 2020European Union (EU)H2020 Societal Challenges Programme)</t>
  </si>
  <si>
    <t>The Research leading to these results has received funding from the project 'ICE-LAPSE: Analysis of Antarctic benthos dynamics by using non-destructive monitoring devices and permanent stations', PNRA 2013/AZ1.16, funded by the Italian National Antarctic Program. We are indebted to the Comando Subacquei ed Incursori (COMSUBIN) of the Italian Navy for help and assistance during the dives and to S. Cocito and C. Lombardi for their support during the test of the imaging device. We are also grateful to M. La Mesa for the determination of fish species in the captured images. This paper is also an Italian contribution to the CCAMLR CONSERVATION MEASURE 91-05 (2016) for the Ross Sea region Marine-Protected Area, specifically, addressing the priorities of Annex 91-05/C, and a contribution to the SCAR-ANTOS Expert Group (https://www.scar.org/science/antos/home/). This research activity was also partially funded by the ENDURUNS project [Horizon 2020; Grant Agreement H2020-MG-2018-2019-2020 n.824348] and the JERICO-S3 project [Horizon 2020; Grant Agreement no. 871153].</t>
  </si>
  <si>
    <t>2041-210X</t>
  </si>
  <si>
    <t>2041-2096</t>
  </si>
  <si>
    <t>METHODS ECOL EVOL</t>
  </si>
  <si>
    <t>Methods Ecol. Evol.</t>
  </si>
  <si>
    <t>10.1111/2041-210X.13898</t>
  </si>
  <si>
    <t>3L5HY</t>
  </si>
  <si>
    <t>WOS:000804031000001</t>
  </si>
  <si>
    <t>Griffith, MJ; Mitchell, NJ</t>
  </si>
  <si>
    <t>Griffith, Matthew J.; Mitchell, Nicholas J.</t>
  </si>
  <si>
    <t>Analysis of migrating and non-migrating tides of the Extended Unified Model in the mesosphere and lower thermosphere</t>
  </si>
  <si>
    <t>ANNALES GEOPHYSICAE</t>
  </si>
  <si>
    <t>GRAVITY-WAVE PARAMETERIZATION; SEMIDIURNAL TIDES; METEOR RADAR; INTERANNUAL VARIATIONS; TIDAL VARIABILITY; PLANETARY-WAVES; DIURNAL TIDES; SOLAR-CYCLE; ATMOSPHERE; TEMPERATURE</t>
  </si>
  <si>
    <t>Atmospheric tides play a key role in coupling the lower, middle, and upper atmosphere/ionosphere. The tides reach large amplitudes in the mesosphere and lower thermosphere (MLT), where they can have significant fluxes of energy and momentum, and so strongly influence the coupling and dynamics. The tides must therefore be accurately represented in general circulation models (GCMs) that seek to model the coupling of atmospheric layers and impacts on the ionosphere. The tides consist of both migrating (sun-following) and non-migrating (not sun-following) components, both of which have important influences on the atmosphere. The Extended Unified Model (ExUM) is a recently developed version of the Met Office's GCM (the Unified Model) which has been extended to include the MLT. Here, we present the first in-depth analysis of migrating and non-migrating components in the ExUM. We show that the ExUM produces both non-migrating and migrating tides in the MLT of significant amplitude across a rich spectrum of spatial and temporal components. The dominant non-migrating components in the MLT are found to be DE3, DW2, and DW3 in the diurnal tide and S0, SW1, and SW3 in the semidiurnal tide. These components in the model can have monthly mean amplitudes at a height of 95 km as large as 35 m s(-1)/10 K. All the non-migrating components exhibit a strong seasonal variability in amplitude, and a significant short-term variability is evident. Both the migrating and non-migrating components exhibit notable variation with latitude. For example, the temperature and wind diurnal tides maximise at low latitudes and the semidiurnal tides include maxima at high latitudes. A comparison against published satellite and ground-based observations shows generally good agreement in latitudinal tidal structure, with more differences in seasonal tidal structure. Our results demonstrate the capability of the ExUM for modelling atmospheric migrating and non-migrating tides, and this lays the foundation for its future development into a whole atmosphere model. To this end, we make specific recommendations on further developments which would improve the capability of the model.</t>
  </si>
  <si>
    <t>[Griffith, Matthew J.] Univ Bath, Dept Math Sci, Bath BA2 7AY, Avon, England; [Mitchell, Nicholas J.] Univ Bath, Dept Elect &amp; Elect Engn, Bath BA2 7AY, Avon, England; [Mitchell, Nicholas J.] British Antarctic Survey, Atmosphere Ice &amp; Climate Grp, Madingley Rd, Cambridge CB3 0ET, England</t>
  </si>
  <si>
    <t>University of Bath; University of Bath; UK Research &amp; Innovation (UKRI); Natural Environment Research Council (NERC); NERC British Antarctic Survey</t>
  </si>
  <si>
    <t>Griffith, MJ (corresponding author), Univ Bath, Dept Math Sci, Bath BA2 7AY, Avon, England.</t>
  </si>
  <si>
    <t>m.j.griffith@bath.ac.uk</t>
  </si>
  <si>
    <t>Griffith, Matthew/0000-0001-8615-2088</t>
  </si>
  <si>
    <t>University of Bath [NE/L002434/1]</t>
  </si>
  <si>
    <t>University of Bath</t>
  </si>
  <si>
    <t>This research has been supported by the University of Bath (grant no. NE/L002434/1).</t>
  </si>
  <si>
    <t>0992-7689</t>
  </si>
  <si>
    <t>1432-0576</t>
  </si>
  <si>
    <t>ANN GEOPHYS-GERMANY</t>
  </si>
  <si>
    <t>Ann. Geophys.</t>
  </si>
  <si>
    <t>10.5194/angeo-40-327-2022</t>
  </si>
  <si>
    <t>Astronomy &amp; Astrophysics; Geosciences, Multidisciplinary; Meteorology &amp; Atmospheric Sciences</t>
  </si>
  <si>
    <t>Astronomy &amp; Astrophysics; Geology; Meteorology &amp; Atmospheric Sciences</t>
  </si>
  <si>
    <t>1S4KO</t>
  </si>
  <si>
    <t>Green Submitted, gold, Green Accepted</t>
  </si>
  <si>
    <t>WOS:000804021300001</t>
  </si>
  <si>
    <t>Li, XQ; Hui, FM; Zhao, JC; Zhai, MX; Cheng, X</t>
  </si>
  <si>
    <t>Li, Xin-Qing; Hui, Feng-Ming; Zhao, Jie-Chen; Zhai, Meng-Xi; Cheng, Xiao</t>
  </si>
  <si>
    <t>Thickness simulation of landfast ice along Mawson Coast, East Antarctica based on a snow/ice high-resolution thermodynamic model</t>
  </si>
  <si>
    <t>ADVANCES IN CLIMATE CHANGE RESEARCH</t>
  </si>
  <si>
    <t>Landfast ice; Modeling; HIGHTSI; Antarctica</t>
  </si>
  <si>
    <t>ZHONGSHAN STATION; HEAT-FLUX; PRYDZ BAY; VARIABILITY; VALIDATION</t>
  </si>
  <si>
    <t>Landfast ice plays an important role in atmosphere-ocean interactions and ecosystems in the near coast area of Antarctica. Understanding the characteristics and variations of landfast ice is crucial to the study of climates and field activities in Antarctic. In this study, a high-resolution thermodynamic snow-ice (HIGHTSI) model was applied to simulate the seasonal changes of landfast ice along the Mawson Coast, East Antarctica, through ERA-Interim reanalysis data. Four ocean heat-flux (Fw) values (10, 15, 20 and 25 W m(-2)) were used in sensitivity experiments. The results showed that it is reasonable to simulate landfast ice using the HIGHTSI model, and the simulation of landfast ice thickness matched best well with field measurements when Fw was 20 W m(-2). Then, 2-D distributions of landfast ice from 2006 to 2018 were modeled by HIGHTSI with 2-D ERA-Interim reanalysis data in a 0.125 degrees x 0.125 degrees cell grid as external forcing. The results showed that fast ice was thicker along the coast and thinner near open water, and usually reaches its maximal thickness in October, varying from 1.2 to 2.0 m through the study area. There was no statistical trend for the thickness during the study period.</t>
  </si>
  <si>
    <t>[Li, Xin-Qing; Hui, Feng-Ming; Cheng, Xiao] Sun Yat Sen Univ, Sch Geospatial Engn &amp; Sci, Zhuhai, Peoples R China; [Li, Xin-Qing; Hui, Feng-Ming; Cheng, Xiao] Southern Marine Sci &amp; Engn Guangdong Lab Zhuhai, Zhuhai 519082, Peoples R China; [Zhao, Jie-Chen] Harin Engn Univ, Harbin Engn Univ Qingdao Grad Sch, Qingdao Innovat &amp; Dev Base Ctr, Qingdao, Peoples R China; [Zhai, Meng-Xi] Polar Res Inst China, MNR Key Lab Polar Sci, Shanghai 200136, Peoples R China; [Zhao, Jie-Chen] Harbin Engn Univ, Qingdao Innovat &amp; Dev Base Ctr, Harbin Engn Univ Qingdao Grad Sch, Qingdao 266000, Peoples R China</t>
  </si>
  <si>
    <t>Sun Yat Sen University; Southern Marine Science &amp; Engineering Guangdong Laboratory; Southern Marine Science &amp; Engineering Guangdong Laboratory (Zhuhai); Polar Research Institute of China; Harbin Engineering University</t>
  </si>
  <si>
    <t>Hui, FM (corresponding author), Sun Yat Sen Univ, Sch Geospatial Engn &amp; Sci, Zhuhai, Peoples R China.;Hui, FM (corresponding author), Southern Marine Sci &amp; Engn Guangdong Lab Zhuhai, Zhuhai 519082, Peoples R China.</t>
  </si>
  <si>
    <t>huifm@mail.sysu.edu.cn</t>
  </si>
  <si>
    <t>Zhao, Jiechen/KHV-9905-2024</t>
  </si>
  <si>
    <t>National Natural Science Foundation of China [41925027, 41676176]; Innovation Group Project of Southern Marine Science and Engineering Guangdong Laboratory (Zhuhai) [311021008]</t>
  </si>
  <si>
    <t>National Natural Science Foundation of China(National Natural Science Foundation of China (NSFC)); Innovation Group Project of Southern Marine Science and Engineering Guangdong Laboratory (Zhuhai)</t>
  </si>
  <si>
    <t>This research was funded by the National Natural Science Foundation of China (41925027 and 41676176) , and the Innovation Group Project of Southern Marine Science and Engineering Guangdong Laboratory (Zhuhai) (311021008) . We greatly thank ECMWF for providing the ERA-Interim reanalysis data, and we truly appreciated Dr. Petra Heil from University of Tasmania for providing landfast ice observation data at Mawson station.</t>
  </si>
  <si>
    <t>KEAI PUBLISHING LTD</t>
  </si>
  <si>
    <t>BEIJING</t>
  </si>
  <si>
    <t>16 DONGHUANGCHENGGEN NORTH ST, Building 5, Room 411, BEIJING, DONGCHENG DISTRICT 100009, PEOPLES R CHINA</t>
  </si>
  <si>
    <t>1674-9278</t>
  </si>
  <si>
    <t>ADV CLIM CHANG RES</t>
  </si>
  <si>
    <t>Adv. Clim. Chang. Res.</t>
  </si>
  <si>
    <t>10.1016/j.accre.2022.02.005</t>
  </si>
  <si>
    <t>1P5LN</t>
  </si>
  <si>
    <t>WOS:000802050300007</t>
  </si>
  <si>
    <t>Shelamoff, V; Umanzor, S; Layton, C; Tatsumi, M; Cameron, MJ; Wright, JT; Johnson, CR</t>
  </si>
  <si>
    <t>Shelamoff, Victor; Umanzor, Schery; Layton, Cayne; Tatsumi, Masayuki; Cameron, Matthew J.; Wright, Jeffrey T.; Johnson, Craig R.</t>
  </si>
  <si>
    <t>Ecosystem engineering kelp limits recruitment of mussels and microphytobenthic algae</t>
  </si>
  <si>
    <t>MARINE BIOLOGY</t>
  </si>
  <si>
    <t>Artificial reef; Shellfish; Eco-engineering; Patch dynamics; Restoration; Fragmentation</t>
  </si>
  <si>
    <t>MYTILUS-EDULIS-L; LARVAL SETTLEMENT; GALLOPROVINCIALIS; ASSEMBLAGES; HABITAT; METAMORPHOSIS; PREDATION; SURVIVAL; CANOPY; ENVIRONMENTS</t>
  </si>
  <si>
    <t>Ecosystem engineers often exert strong effects on the recruitment of other species through modification of the local abiotic and biotic environment. In 2015, artificial reefs in eastern Tasmania (- 42.64693, 148.01481) spanning seven different patch sizes (0.12-7.68 m(2)) and supporting four densities of transplanted kelp (Ecklonia radiata at 0, 4.1, 8.2 and 16.4 kelp m(-2)) were used to determine how the patch size and density of this ecosystem engineer influenced the recruitment of microphytobenthic (MPB) algae, and a secondary ecosystem engineer, the mussel Mytilus galloprovincialis. Increasing kelp density and patch size inhibited the establishment of subcanopy MPB algae on settlement slides and reduced the recruitment of mussels in standardised rope fibre habitats (RFHs). The productivity:biomass ratio (P:B) of mussel recruits tended to be lower on small reefs and reefs without kelp, relative to larger reefs with high densities of kelp. Canopy shading and reduced cover of turf algae appeared to negatively impact the recruitment of MPB algae and mussels, whilst reduced sediment accumulation on the reefs due to the kelp was also negatively associated with mussel recruitment. These findings highlight the role of ecosystem engineering by kelp in inhibiting the establishment of other species which may additionally impact community dynamics and primary and secondary productivity. The limited capacity of small kelp patches to inhibit the recruitment of other organisms supports the notion that fragmented patches of ecosystem engineers could be more suspectable to adverse outcomes from species interactions making them less resistant to shifts towards an alternative ecosystem state.</t>
  </si>
  <si>
    <t>[Shelamoff, Victor; Layton, Cayne; Tatsumi, Masayuki; Wright, Jeffrey T.; Johnson, Craig R.] Univ Tasmania, Inst Marine &amp; Antarctic Studies, Hobart, Tas 7004, Australia; [Umanzor, Schery] Univ Alaska Fairbanks, Coll Fisheries &amp; Ocean Sci, Juneau, AK 99801 USA</t>
  </si>
  <si>
    <t>University of Tasmania; University of Alaska System; University of Alaska Fairbanks</t>
  </si>
  <si>
    <t>Shelamoff, V (corresponding author), Univ Tasmania, Inst Marine &amp; Antarctic Studies, Hobart, Tas 7004, Australia.</t>
  </si>
  <si>
    <t>victor.shelamoff@utas.edu.au</t>
  </si>
  <si>
    <t>Cameron, Matthew/AAE-2786-2020; Layton, Cayne/J-8443-2013</t>
  </si>
  <si>
    <t>Layton, Cayne/0000-0002-3390-6437</t>
  </si>
  <si>
    <t>Australian Research Council [DP130101113]</t>
  </si>
  <si>
    <t>Australian Research Council(Australian Research Council)</t>
  </si>
  <si>
    <t>Open Access funding enabled and organized by CAUL and its Member Institutions. This study was funded by an Australian Research Council Discovery Grant no DP130101113; (www.arc.gov.au) awarded to JTW and CRJ.</t>
  </si>
  <si>
    <t>SPRINGER HEIDELBERG</t>
  </si>
  <si>
    <t>HEIDELBERG</t>
  </si>
  <si>
    <t>TIERGARTENSTRASSE 17, D-69121 HEIDELBERG, GERMANY</t>
  </si>
  <si>
    <t>0025-3162</t>
  </si>
  <si>
    <t>1432-1793</t>
  </si>
  <si>
    <t>MAR BIOL</t>
  </si>
  <si>
    <t>Mar. Biol.</t>
  </si>
  <si>
    <t>10.1007/s00227-022-04072-5</t>
  </si>
  <si>
    <t>1N6YE</t>
  </si>
  <si>
    <t>WOS:000800797800002</t>
  </si>
  <si>
    <t>Sharma, R; Paul, J; Paturi, S; Ray, MK; Deshmukh, M</t>
  </si>
  <si>
    <t>Sharma, Rakhi; Paul, Jaydeep; Paturi, Sneha; Ray, Malay K.; Deshmukh, Mandar, V</t>
  </si>
  <si>
    <t>Crc of Pseudomonas syringae Lz4W utilizes the dominant RNA binding site for mutually exclusive interactions with Hfq:mRNA and CrcY/Z RNA</t>
  </si>
  <si>
    <t>JOURNAL OF MAGNETIC RESONANCE OPEN</t>
  </si>
  <si>
    <t>Crc; CrcY and CrcZ; Hfq; Pseudomonas syringae Lz4W; backbone dynamics; and RNA binding protein</t>
  </si>
  <si>
    <t>CARBON CATABOLITE REPRESSION; ATOMIC-LEVEL STRUCTURES; GLOBAL REGULATOR; GLOBULAR-PROTEINS; ESCHERICHIA-COLI; NMR RELAXATION; PUTIDA; BACKBONE; PATHWAY; HFQ</t>
  </si>
  <si>
    <t>Crc is a global modulator involved in Carbon Catabolite Repression (CCR) in Pseudomonas, manipulating the uptake and assimilation of preferred carbon substrates. It is postulated that the free Crc is regulated by a complex and yet unknown process involving small non-coding regulatory RNAs, CrcY and CrcZ. While Crc's interaction with AANAANAA rich target mRNA was proposed initially, but the conclusive proof was never obtained. Recent cryoEM structural studies derived a ternary complex formed by the hexameric RNA chaperon Hfq, Crc, and an mRNA fragment to highlight the assembly of these major elements in P. aeruginosa CCR. Although Crc was shown to kinetically favor and stabilize the association between Hfq with RNA, the interaction between Crc and substrate RNA remains enigmatic. Here, we present the solution structure, dynamics, and function of Crc (- 31 kDa, PsCrc) from a psychrotrophic Antarctic bacterium P. syringae Lz4W exclusively using NMR spectrometer operating at 600 MHz 1H frequency. Further, by utilizing several in vitro biophysical and in vivo functional assays to study the interaction between PsCrc and a representative small RNA as well as endogenous CrcY and CrcZ RNA, we demonstrate the significance of residues D100 and K101 in the activity of PsCrc. Our studies suggest that PsCrc has divergently evolved from Apurinic/apyrimidinic (AP) endonuclease by gaining a non-canonical RNA binding region. Our study proposes a dynamic and complex association of PsCrc:CrcY/Z RNA and Hfq:Crc:mRNA to regulate inactive and active CCR. Moreover, the combination of existing solution NMR approaches used in this study paves a path for meaningfully studying high MW proteins with the help of relatively lower field-strength spectrometers.</t>
  </si>
  <si>
    <t>[Sharma, Rakhi; Paul, Jaydeep; Paturi, Sneha; Ray, Malay K.; Deshmukh, Mandar, V] CSIR, CSIR Ctr Cellular &amp; Mol Biol, Uppal Rd, Hyderabad 500007, India; [Paul, Jaydeep; Deshmukh, Mandar, V] CSIR Human Resource Dev Ctr, Acad Sci &amp; Innovat Res AcSIR, Ghaziabad, India</t>
  </si>
  <si>
    <t>Council of Scientific &amp; Industrial Research (CSIR) - India; CSIR - Centre for Cellular &amp; Molecular Biology (CCMB); Council of Scientific &amp; Industrial Research (CSIR) - India; CSIR - Human Resource Development Centre; Academy of Scientific &amp; Innovative Research (AcSIR)</t>
  </si>
  <si>
    <t>Deshmukh, M (corresponding author), CSIR, CSIR Ctr Cellular &amp; Mol Biol, Uppal Rd, Hyderabad 500007, India.;Deshmukh, M (corresponding author), CSIR Human Resource Dev Ctr, Acad Sci &amp; Innovat Res AcSIR, Ghaziabad, India.</t>
  </si>
  <si>
    <t>2666-4410</t>
  </si>
  <si>
    <t>J MAGN RESON OPEN</t>
  </si>
  <si>
    <t>J. Magn. Reson. Open</t>
  </si>
  <si>
    <t>10-11</t>
  </si>
  <si>
    <t>10.1016/j.jmro.2022.100047</t>
  </si>
  <si>
    <t>Biochemical Research Methods; Physics, Atomic, Molecular &amp; Chemical; Spectroscopy</t>
  </si>
  <si>
    <t>Biochemistry &amp; Molecular Biology; Physics; Spectroscopy</t>
  </si>
  <si>
    <t>DS4A7</t>
  </si>
  <si>
    <t>WOS:001134035500002</t>
  </si>
  <si>
    <t>Zuev, VV; Savelieva, E</t>
  </si>
  <si>
    <t>Zuev, Vladimir V.; Savelieva, Ekaterina</t>
  </si>
  <si>
    <t>Antarctic polar vortex dynamics during spring 2002</t>
  </si>
  <si>
    <t>JOURNAL OF EARTH SYSTEM SCIENCE</t>
  </si>
  <si>
    <t>Antarctic polar vortex; sudden stratospheric warming; ozone hole; geopotential; vortex edge; polar stratosphere</t>
  </si>
  <si>
    <t>STRATOSPHERIC SUDDEN WARMINGS; SOUTHERN-HEMISPHERE; OZONE HOLE; CLIMATOLOGY; BREAKING; EVENTS; SPLIT; MODEL</t>
  </si>
  <si>
    <t>The polar vortex splitting was observed in the Antarctic stratosphere in September 2002, which occurred once in the Southern Hemisphere from 1979 to the present. We examined the Antarctic polar vortex dynamics during the sudden stratospheric warming in the spring of 2002 using a method that makes it possible to estimate the vortex area, wind speed along the vortex edge, the average temperature and ozone mass mixing ratio inside the vortex as a result of its edge delineation based on the ERA5 reanalysis data. In the spring of 2002, the unusual weakening of the Antarctic polar vortex, preceding its breakdown, was observed after a decrease in the vortex area to less than 10 million km(2) and a subsequent decrease in the average wind speed along the vortex edge below 30 and 45 m/s, respectively, in the lower and middle stratosphere. In this case, the polar vortex became a small cyclone (characterized by high temperatures inside it and the absence of a dynamic barrier along its edge) and collapsed within about 3 weeks. In the middle stratosphere, it was observed immediately after the polar vortex splitting on 25 September, and in the lower stratosphere, it occurred in early November 2002.</t>
  </si>
  <si>
    <t>[Zuev, Vladimir V.; Savelieva, Ekaterina] Russian Acad Sci, Siberian Branch, Inst Monitoring Climat &amp; Ecol Syst, 10-3 Acad ave, Tomsk 634055, Russia</t>
  </si>
  <si>
    <t>Russian Academy of Sciences; Institute of Monitoring of Climatic &amp; Ecological Systems of the Siberian Branch of the RAS</t>
  </si>
  <si>
    <t>Savelieva, E (corresponding author), Russian Acad Sci, Siberian Branch, Inst Monitoring Climat &amp; Ecol Syst, 10-3 Acad ave, Tomsk 634055, Russia.</t>
  </si>
  <si>
    <t>esav.pv@gmail.com</t>
  </si>
  <si>
    <t>Savelieva, Ekaterina S/E-4782-2014; Zuev, Vladimir Vladimirovich/E-5470-2014; Savelieva, Ekaterina/HCH-5908-2022</t>
  </si>
  <si>
    <t>Savelieva, Ekaterina S/0000-0002-6560-7386;</t>
  </si>
  <si>
    <t>Ministry of Science and Higher Education of the Russian Federation [121031300156-5]</t>
  </si>
  <si>
    <t>This study was supported by the Ministry of Science and Higher Education of the Russian Federation (project no. 121031300156-5).</t>
  </si>
  <si>
    <t>INDIAN ACAD SCIENCES</t>
  </si>
  <si>
    <t>BANGALORE</t>
  </si>
  <si>
    <t>C V RAMAN AVENUE, SADASHIVANAGAR, P B #8005, BANGALORE 560 080, INDIA</t>
  </si>
  <si>
    <t>2347-4327</t>
  </si>
  <si>
    <t>0973-774X</t>
  </si>
  <si>
    <t>J EARTH SYST SCI</t>
  </si>
  <si>
    <t>J. Earth Syst. Sci.</t>
  </si>
  <si>
    <t>10.1007/s12040-022-01879-0</t>
  </si>
  <si>
    <t>Geosciences, Multidisciplinary; Multidisciplinary Sciences</t>
  </si>
  <si>
    <t>Geology; Science &amp; Technology - Other Topics</t>
  </si>
  <si>
    <t>1D5NB</t>
  </si>
  <si>
    <t>WOS:000793846000002</t>
  </si>
  <si>
    <t>Chambers, C; Greve, R; Obase, T; Saito, F; Abe-Ouchi, A</t>
  </si>
  <si>
    <t>Chambers, Christopher; Greve, Ralf; Obase, Takashi; Saito, Fuyuki; Abe-Ouchi, Ayako</t>
  </si>
  <si>
    <t>Mass loss of the Antarctic ice sheet until the year 3000 under a sustained late-21st-century climate</t>
  </si>
  <si>
    <t>Antarctic glaciology; ice and climate; ice-sheet modelling</t>
  </si>
  <si>
    <t>SEA-LEVEL RISE; MODEL; SURFACE; GREENLAND; COLLAPSE; BALANCE; MELT; PROJECTIONS; COMMITMENT; THWAITES</t>
  </si>
  <si>
    <t>Ice-sheet simulations of Antarctica extending to the year 3000 are analysed to investigate the long-term impacts of 21st-century warming. Climate projections are used as forcing until 2100 and afterwards no climate trend is applied. Fourteen experiments are for the 'unabated warming' pathway, and three are for the 'reduced emissions' pathway. For the unabated warming path simulations, West Antarctica suffers a much more severe ice loss than East Antarctica. In these cases, the mass loss amounts to an ensemble average of similar to 3.5 m sea-level equivalent (SLE) by the year 3000 and similar to 5.3 m for the most sensitive experiment. Four phases of mass loss occur during the collapse of the West Antarctic ice sheet. For the reduced emissions pathway, the mean mass loss is similar to 0.24 m SLE. By demonstrating that the consequences of the 21st century unabated warming path forcing are large and long term, the results present a different perspective to ISMIP6 (Ice Sheet Model Intercomparison Project for CMIP6). Extended ABUMIP (Antarctic BUttressing Model Intercomparison Project) simulations, assuming sudden and sustained iceshelf collapse, with and without bedrock rebound, corroborate a negative feedback for ice loss found in previous studies, where bedrock rebound acts to slow the rate of ice loss.</t>
  </si>
  <si>
    <t>[Chambers, Christopher; Greve, Ralf] Hokkaido Univ, Inst Low Temp Sci, Sapporo, Hokkaido, Japan; [Greve, Ralf] Hokkaido Univ, Arctic Res Ctr, Sapporo, Hokkaido, Japan; [Obase, Takashi; Abe-Ouchi, Ayako] Univ Tokyo, Atmosphere &amp; Ocean Res Inst, Kashiwa, Chiba, Japan; [Saito, Fuyuki] Japan Agcy Marine Earth Sci &amp; Technol, Yokohama, Kanagawa, Japan</t>
  </si>
  <si>
    <t>Hokkaido University; Hokkaido University; University of Tokyo; Japan Agency for Marine-Earth Science &amp; Technology (JAMSTEC)</t>
  </si>
  <si>
    <t>Chambers, C (corresponding author), Hokkaido Univ, Inst Low Temp Sci, Sapporo, Hokkaido, Japan.</t>
  </si>
  <si>
    <t>youstormorg@gmail.com</t>
  </si>
  <si>
    <t>Greve, Ralf/G-2336-2010; SAITO, Fuyuki/B-8776-2013; Abe-Ouchi, Ayako A/M-6359-2013</t>
  </si>
  <si>
    <t>Abe-Ouchi, Ayako A/0000-0003-1745-5952; Chambers, Christopher/0000-0001-8847-6123</t>
  </si>
  <si>
    <t>Earth System Grid Federation; Japan Society for the Promotion of Science (JSPS) KAKENHI [JP17H06323]; JSPS KAKENHI [JP17H06104]; JSPS [JPJSBP120213203]</t>
  </si>
  <si>
    <t>Earth System Grid Federation; Japan Society for the Promotion of Science (JSPS) KAKENHI(Ministry of Education, Culture, Sports, Science and Technology, Japan (MEXT)Japan Society for the Promotion of ScienceGrants-in-Aid for Scientific Research (KAKENHI)); 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t>
  </si>
  <si>
    <t>We thank the two anonymous reviewers and the Scientific Editor Frank Pattyn for constructive remarks and suggestions that helped to improve the manuscript. We thank the Climate and Cryosphere (CliC) effort, which provided support for ISMIP6 through sponsoring of workshops, hosting the ISMIP6 website and wiki, and promoting ISMIP6. We acknowledge the World Climate Research Programme, which, through its Working Group on Coupled Modelling, coordinated and promoted CMIP5 and CMIP6. We thank the climate modelling groups for producing their model output and making it available; the Earth System Grid Federation (ESGF) for archiving the CMIP data and providing access to it; the University at Buffalo for ISMIP6 data distribution and upload; and the multiple funding agencies who support CMIP5, CMIP6, and ESGF. We thank the ISMIP6 steering committee, the ISMIP6 model selection group and ISMIP6 dataset preparation group for their continuous engagement in defining ISMIP6. This is ISMIP6 contribution No. 25. Christopher Chambers, Ralf Greve and Ayako Abe-Ouchi were supported by Japan Society for the Promotion of Science (JSPS) KAKENHI Grant No. JP17H06323. Ralf Greve and Ayako Abe-Ouchi were supported by JSPS KAKENHI Grant No. JP17H06104. Takashi Obase, Fuyuki Saito and Ayako Abe-Ouchi were supported by JSPS Grant-in-Aid for Japan-France Integrated Action Program (SAKURA Program) No. JPJSBP120213203.</t>
  </si>
  <si>
    <t>10.1017/jog.2021.124</t>
  </si>
  <si>
    <t>1B4DM</t>
  </si>
  <si>
    <t>WOS:000792387600016</t>
  </si>
  <si>
    <t>Kumar, P; Devi, KL; Chakraborty, PP; Rajkumar, HS</t>
  </si>
  <si>
    <t>Kumar, Pramod; Devi, Kshetrimayum Lakshmirani; Chakraborty, Partha Pratim; Rajkumar, Hemanta Singh</t>
  </si>
  <si>
    <t>Depositional architecture of sub-aqueous part of a tide-dominated delta and its palaeogeographic implications: Laisong Formation (Barail Group), Indo-Myanmar Ranges, western Manipur</t>
  </si>
  <si>
    <t>Tide-dominated delta; amalgamated bar; sand-mud couplets; proximal delta front lobe; Laisong Formation</t>
  </si>
  <si>
    <t>UPPER DISANG FORMATION; FORMATION LATE EOCENE; RIVER DELTA; OLIGOCENE TRANSITION; GEOLOGICAL HISTORY; FRONTIER FORMATION; MARINE TRANSITION; TRACE FOSSILS; BURMAN RANGES; BASIN</t>
  </si>
  <si>
    <t>In western Manipur, India, a similar to 765 m thick dominantly fine-grained succession of the Late Eocene-Early Oligocene Laisong Formation, constituted of siltstone-silty-shale heterolithic units at its lower part and thickly bedded sandstones in the upper part, allowed documentation of subaqueous part of a tidal delta. The abundant incidence of features including lenticular, wavy bedding, starved ripple trains, syn-sedimentary deformation, reactivation and erosional surfaces, double-mud drapes, tangential bottom set contact, rip-up mud clasts bear tell-tale evidence in favour of tidal modulations. Furthermore, a prominent thickening- and coarsening-up progradational facies stacking motif is correlated as signature for tide-dominated delta. From process-based facies and facies succession analysis, five different sub-aqueous environments of delta were delineated which include prodelta, terminal distributary channel, distal delta front, proximal delta front sheet and proximal delta front lobe in order of stratigraphic superposition. The river-fed sediments were extensively reworked by accentuated tidal currents in an embayed coastline, developed along a narrow, elongated ocean basin bordered by the Indian plate on its west and Burmese micro-plate in the east. A local-scale subsidence and sea-level rise is inferred as trigger for the Laisong tidal delta development in the backdrop of its Late Eocene-Early Oligocene time frame that otherwise witnessed large-scale growth of east Antarctic ice sheet and regional scale fall in sea-level.</t>
  </si>
  <si>
    <t>[Kumar, Pramod; Devi, Kshetrimayum Lakshmirani; Chakraborty, Partha Pratim] Univ Delhi, Ctr Adv Studies, Dept Geol, Delhi 110007, India; [Rajkumar, Hemanta Singh] United Coll, Dept Geol, Chandel 795127, Manipur, India</t>
  </si>
  <si>
    <t>University of Delhi</t>
  </si>
  <si>
    <t>Kumar, P (corresponding author), Univ Delhi, Ctr Adv Studies, Dept Geol, Delhi 110007, India.</t>
  </si>
  <si>
    <t>pramodiitb@gmail.com</t>
  </si>
  <si>
    <t>Delhi University under the Research and Development scheme (RD Grant); Research and Development (R&amp;D Grant) Delhi University [RC/2015-16/6820]</t>
  </si>
  <si>
    <t>Delhi University under the Research and Development scheme (RD Grant); Research and Development (R&amp;D Grant) Delhi University</t>
  </si>
  <si>
    <t>PK acknowledges the scientiBc project and Bnancial support from the Delhi University under the Research and Development scheme (R&amp;D Grant) for a period of 2015-2016 to carry out the part of this research study. The infrastructure facility extended by the Department of Geology, University of Delhi, is thankfully acknowledged. Funding was provided by Research and Development (R&amp;D Grant) Delhi University (RC/2015-16/6820).</t>
  </si>
  <si>
    <t>10.1007/s12040-022-01843-y</t>
  </si>
  <si>
    <t>0Q5TU</t>
  </si>
  <si>
    <t>WOS:000784981600001</t>
  </si>
  <si>
    <t>Soler, R; Lencinas, MV; Pastur, GM; Rosas, MY; Bustamante, G; Espelta, JM</t>
  </si>
  <si>
    <t>Soler, Rosina; Vanessa Lencinas, Maria; Martinez Pastur, Guillermo; Yamina Rosas, Micaela; Bustamante, Gimena; Maria Espelta, Josep</t>
  </si>
  <si>
    <t>Forest regrowth in Tierra del Fuego, southern Patagonia: landscape drivers and effects on forest structure, soil, and understory attributes</t>
  </si>
  <si>
    <t>REGIONAL ENVIRONMENTAL CHANGE</t>
  </si>
  <si>
    <t>Disturbance regimes; Forest expansion; Land use legacies; Nothofagus antarctica; Secondary forests</t>
  </si>
  <si>
    <t>PAST LAND-USE; NOTHOFAGUS-PUMILIO; VARIABLE RETENTION; FUNCTIONAL TRAITS; PLANT; CLIMATE; TOPOGRAPHY; HETEROGENEITY; REGENERATION; TEMPERATE</t>
  </si>
  <si>
    <t>The influence of the ancient landscape configuration and the land use legacies on forest cover change has been thoroughly investigated in temperate and tropical forests while it remains barely explored at high-latitudinal regions. This study explores the landscape drivers leading forest cover changes and their influence on current forest attributes in the world's southernmost forests (Argentina). Nothofagus antarctica forest cover changes were determined by combining multitemporal photo-interpretation of aerial photographs (1961) and satellite images (2016-2019). We analyzed changes in land covers and landscape diversity indexes. We also explored the potential relationships among descriptors of forest structure, soil or understory characteristics, and the magnitude of forest increase. Forest cover increased in 55 sites (72% of study area), and decreased in 21 sites (28% of study area). Cleared forests and forest edges decreased by half from past to the present, while woody encroachment increased. This resulted in a diversification of the current landscape by an increase in the number of land cover categories and Shannon-Wiener index. The increase in forest cover was positively influenced by land cover diversity and latitude, i.e., major increases at southern latitudes. Forests with greater recovery presented more similar understory attributes than those with lower recovery, while in other forest structures and soil properties, different magnitudes of recovery occurred. Sites with a high proportion of forest recovery evidence a reduction of past land use legacies (e.g., forage plant species introduced for livestock) at a local scale. These results expand our knowledge about the current natural dynamic of high-latitude forests, although the precise anthropic pressure changes (e.g., livestock density) leading to this process are still unclear and should be further investigated. Management practices should consider these spatial differences in the response to recovery of sub-Antarctic forests, such as the management of densely regenerated areas by thinning, or the restoration of degraded forests, as well as the monitoring of woody encroachment in natural grasslands and peatlands. Although we document an overall gain in N. antarctica forests, the results could vary when incorporating other forest types (N. pumilio, N. betuloides) and geographic zones (e.g., Andean mountains), due to the complex dynamics of these coupled human-natural systems.</t>
  </si>
  <si>
    <t>[Soler, Rosina; Vanessa Lencinas, Maria; Martinez Pastur, Guillermo; Yamina Rosas, Micaela; Bustamante, Gimena] Consejo Nacl Invest Cient &amp; Tecn, Ctr Austral Invest Cient CADIC, Houssay 200, RA-9410 Ushuaia, Tierra Del Fueg, Argentina; [Maria Espelta, Josep] Ctr Recerca Ecol &amp; Aplicac Forestals CREAF, Cerdanyola Del Valles 08193, Catalonia, Spain; [Maria Espelta, Josep] Univ Autonoma Barcelona, Cerdanyola Del Valles 08193, Catalonia, Spain</t>
  </si>
  <si>
    <t>Consejo Nacional de Investigaciones Cientificas y Tecnicas (CONICET); Centro de Investigacion Ecologica y Aplicaciones Forestales (CREAF-CERCA); Autonomous University of Barcelona</t>
  </si>
  <si>
    <t>Soler, R (corresponding author), Consejo Nacl Invest Cient &amp; Tecn, Ctr Austral Invest Cient CADIC, Houssay 200, RA-9410 Ushuaia, Tierra Del Fueg, Argentina.</t>
  </si>
  <si>
    <t>rosina.soler@conicet.gov.ar; mvlencinas@conicet.gov.ar; gpastur@conicet.gov.ar; ym.rosas@conicet.gov.ar; gimenabustamante@conicet.gov.ar; josep.espelta@uab.cat</t>
  </si>
  <si>
    <t>Martínez Pastur, Guillermo J./H-8188-2014; Espelta, Josep M/I-3891-2016</t>
  </si>
  <si>
    <t>Martínez Pastur, Guillermo J./0000-0003-2614-5403; Rosas, Yamina Micaela/0000-0001-7476-399X; Soler, Rosina/0000-0002-5799-1672</t>
  </si>
  <si>
    <t>ANPCyT-Argentina [PICT-2019-00675]; CONICET-Argentina [PUE-2016]; CONICET (National Scientific and Technical Research Council-Argentina)</t>
  </si>
  <si>
    <t>ANPCyT-Argentina(ANPCyT); CONICET-Argentina(Consejo Nacional de Investigaciones Cientificas y Tecnicas (CONICET)); CONICET (National Scientific and Technical Research Council-Argentina)</t>
  </si>
  <si>
    <t>This study was supported by the projects PICT-2019-00675 ANPCyT-Argentina and PUE-2016 CONICET-Argentina. RS was supported by CONICET (National Scientific and Technical Research Council-Argentina) through an External Scholarship for Young Researchers.</t>
  </si>
  <si>
    <t>1436-3798</t>
  </si>
  <si>
    <t>1436-378X</t>
  </si>
  <si>
    <t>REG ENVIRON CHANGE</t>
  </si>
  <si>
    <t>Reg. Envir. Chang.</t>
  </si>
  <si>
    <t>10.1007/s10113-022-01910-6</t>
  </si>
  <si>
    <t>ZV6BF</t>
  </si>
  <si>
    <t>WOS:000770612600002</t>
  </si>
  <si>
    <t>Nash, KL; MacNeil, MA; Blanchard, JL; Cohen, PJ; Farmery, AK; Graham, NAJ; Thorne-Lyman, AL; Watson, RA; Hicks, CC</t>
  </si>
  <si>
    <t>Nash, Kirsty L.; MacNeil, M. Aaron; Blanchard, Julia L.; Cohen, Philippa J.; Farmery, Anna K.; Graham, N. A. J.; Thorne-Lyman, Andrew L.; Watson, Reg A.; Hicks, Christina C.</t>
  </si>
  <si>
    <t>Trade and foreign fishing mediate global marine nutrient supply</t>
  </si>
  <si>
    <t>PROCEEDINGS OF THE NATIONAL ACADEMY OF SCIENCES OF THE UNITED STATES OF AMERICA</t>
  </si>
  <si>
    <t>micronutrient; seafood; high seas; flag of convenience; aquatic food</t>
  </si>
  <si>
    <t>INTERNATIONAL-TRADE; FISHERIES; AQUACULTURE; AGREEMENTS; ECONOMIES; NUTRITION; SHOCKS</t>
  </si>
  <si>
    <t>Fish are an important source of bioavailable micronutrients and essential fatty acids, and capture fisheries have potential to substantially reduce dietary deficiencies. Vigorous debate has focused on trade and fishing in foreign waters as drivers of inequitable distribution of volume and value of fish, but their impact on nutrient supplies from fish is unknown. We analyze global catch, trade, and nutrient composition data for marine fisheries to quantify distribution patterns among countries with differing prevalence of inadequate nutrient intake. We find foreign fishing relocates 1.5 times more nutrients than international trade in fish. Analysis of nutrient flows among countries of different levels of nutrient intake shows fishing in foreign waters predominantly (but not exclusively) benefits nutrient-secure nations, an outcome amplified by trade. Next, we developed a nutritional vulnerability framework that shows those small island developing states and/or African nations currently benefiting from trade and foreign fishing, and countries with low adaptive capacity, are most vulnerable to future changes in nutrient supplies. Climate change exacerbates vulnerabilities for many nations. Harnessing the potential of global fisheries to address dietary deficiencies will require greater attention to nutrition objectives in fisheries' licensing deals and trade negotiations.</t>
  </si>
  <si>
    <t>[Nash, Kirsty L.; Blanchard, Julia L.; Cohen, Philippa J.; Farmery, Anna K.; Watson, Reg A.] Univ Tasmania, Ctr Marine Socioecol, Hobart, Tas 7004, Australia; [Nash, Kirsty L.; Blanchard, Julia L.; Watson, Reg A.] Univ Tasmania, Inst Marine &amp; Antarctic Studies, Hobart, Tas 7004, Australia; [MacNeil, M. Aaron] Dalhousie Univ, Ocean Frontier Inst, Dept Biol, Halifax, NS B3H 4R2, Canada; [Cohen, Philippa J.] WorldFish, Jalan Batu Maung, Batu Maung, Malaysia; [Cohen, Philippa J.] James Cook Univ, Australian Res Council Ctr Excellence Coral Reef, Townsville, Qld 4811, Australia; [Farmery, Anna K.] Univ Wollongong, Australian Natl Ctr Ocean Resources &amp; Secur, Wollongong, NSW 2522, Australia; [Graham, N. A. J.; Hicks, Christina C.] Univ Lancaster, Lancaster Environm Ctr, Lancaster LA1 4YQ, England; [Thorne-Lyman, Andrew L.] Johns Hopkins Bloomberg Sch Publ Hlth, Ctr Human Nutr, Dept Int Hlth, Baltimore, MD 21205 USA; [Thorne-Lyman, Andrew L.] Johns Hopkins Bloomberg Sch Publ Hlth, Ctr Livable Future, Dept Environm Hlth &amp; Engn, Baltimore, MD 21205 USA</t>
  </si>
  <si>
    <t>University of Tasmania; University of Tasmania; Dalhousie University; CGIAR; Worldfish; James Cook University; University of Wollongong; Lancaster University; Johns Hopkins University; Johns Hopkins Bloomberg School of Public Health; Johns Hopkins University; Johns Hopkins Bloomberg School of Public Health</t>
  </si>
  <si>
    <t>Nash, KL (corresponding author), Univ Tasmania, Ctr Marine Socioecol, Hobart, Tas 7004, Australia.;Nash, KL (corresponding author), Univ Tasmania, Inst Marine &amp; Antarctic Studies, Hobart, Tas 7004, Australia.</t>
  </si>
  <si>
    <t>nashkirsty@gmail.com</t>
  </si>
  <si>
    <t>Nash, Kirsty L/B-5456-2015; Graham, Nicholas/C-8360-2014; Farmery, Anna/H-9696-2014; Hicks, Christina/M-6182-2015; Watson, Reg/F-4850-2012</t>
  </si>
  <si>
    <t>Nash, Kirsty L/0000-0003-0976-3197; Graham, Nicholas/0000-0002-0304-7467; Farmery, Anna/0000-0002-8938-0040; Hicks, Christina/0000-0002-7399-4603; Watson, Reg/0000-0001-7201-8865</t>
  </si>
  <si>
    <t>CGIAR Trust Fund; Australian Research Council [DE210100606]; L'Oreal for Women in Science Fellowship program; Ocean Frontier Institute; Natural Sciences and Engineering Research Council (NSERC) Canada Research Chairs program; European Research Council Starting Grant [759457]; Philip Leverhulme Trust; European Research Council (ERC) [759457] Funding Source: European Research Council (ERC); Australian Research Council [DE210100606] Funding Source: Australian Research Council</t>
  </si>
  <si>
    <t>CGIAR Trust Fund(CGIAR); Australian Research Council(Australian Research Council); L'Oreal for Women in Science Fellowship program; Ocean Frontier Institute; Natural Sciences and Engineering Research Council (NSERC) Canada Research Chairs program; European Research Council Starting Grant(European Research Council (ERC)); Philip Leverhulme Trust(Leverhulme Trust); European Research Council (ERC)(European Research Council (ERC)Spanish Government); Australian Research Council(Australian Research Council)</t>
  </si>
  <si>
    <t>This work also contributes to the Consultative Group on International Agricultural Research (CGIAR) Research Program on Fish Agrifood Systems (FISH) supported by contributors to the CGIAR Trust Fund. K.L.N. received funding from the Australian Research Council (DE210100606) and L'Oreal for Women in Science Fellowship program. M.A.M. was supported by the Ocean Frontier Institute and the Natural Sciences and Engineering Research Council (NSERC) Canada Research Chairs program. C.C.H. received funding from a European Research Council Starting Grant (number: 759457), and the Philip Leverhulme Trust.</t>
  </si>
  <si>
    <t>NATL ACAD SCIENCES</t>
  </si>
  <si>
    <t>2101 CONSTITUTION AVE NW, WASHINGTON, DC 20418 USA</t>
  </si>
  <si>
    <t>0027-8424</t>
  </si>
  <si>
    <t>1091-6490</t>
  </si>
  <si>
    <t>P NATL ACAD SCI USA</t>
  </si>
  <si>
    <t>Proc. Natl. Acad. Sci. U. S. A.</t>
  </si>
  <si>
    <t>MAY 31</t>
  </si>
  <si>
    <t>e2120817119</t>
  </si>
  <si>
    <t>10.1073/pnas.2120817119</t>
  </si>
  <si>
    <t>3R6LI</t>
  </si>
  <si>
    <t>hybrid, Green Accepted, Green Published</t>
  </si>
  <si>
    <t>WOS:000839021300006</t>
  </si>
  <si>
    <t>Lepp, AP; Simkins, LM; Anderson, JB; Clark, RW; Wellner, JS; Hillenbrand, CD; Smith, JA; Lehrmann, AA; Totten, R; Larter, RD; Hogan, KA; Nitsche, FO; Graham, AGC; Wacker, L</t>
  </si>
  <si>
    <t>Lepp, A. P.; Simkins, L. M.; Anderson, J. B.; Clark, R. W.; Wellner, J. S.; Hillenbrand, C-d.; Smith, J. A.; Lehrmann, A. A.; Totten, R.; Larter, R. D.; Hogan, K. A.; Nitsche, F. O.; Graham, A. G. C.; Wacker, L.</t>
  </si>
  <si>
    <t>Sedimentary Signatures of Persistent Subglacial Meltwater Drainage From Thwaites Glacier, Antarctica</t>
  </si>
  <si>
    <t>FRONTIERS IN EARTH SCIENCE</t>
  </si>
  <si>
    <t>glacial sediments; meltwater plumes; glacial hydrology; holocene; computed tomography; west Antarctica</t>
  </si>
  <si>
    <t>PINE ISLAND BAY; AMUNDSEN SEA EMBAYMENT; ICE-SHEET RETREAT; WEST ANTARCTICA; GROUNDING-LINE; MARGUERITE BAY; WARM-WATER; BASAL CONDITIONS; FLOW BENEATH; SHELF</t>
  </si>
  <si>
    <t>Subglacial meltwater drainage can enhance localized melting along grounding zones and beneath the ice shelves of marine-terminating glaciers. Efforts to constrain the evolution of subglacial hydrology and the resulting influence on ice stability in space and on decadal to millennial timescales are lacking. Here, we apply sedimentological, geochemical, and statistical methods to analyze sediment cores recovered offshore Thwaites Glacier, West Antarctica to reconstruct meltwater drainage activity through the pre-satellite era. We find evidence for a long-lived subglacial hydrologic system beneath Thwaites Glacier and indications that meltwater plumes are the primary mechanism of sedimentation seaward of the glacier today. Detailed core stratigraphy revealed through computed tomography scanning captures variability in drainage styles and suggests greater magnitudes of sediment-laden meltwater have been delivered to the ocean in recent centuries compared to the past several thousand years. Fundamental similarities between meltwater plume deposits offshore Thwaites Glacier and those described in association with other Antarctic glacial systems imply widespread and similar subglacial hydrologic processes that occur independently of subglacial geology. In the context of Holocene changes to the Thwaites Glacier margin, it is likely that subglacial drainage enhanced submarine melt along the grounding zone and amplified ice-shelf melt driven by oceanic processes, consistent with observations of other West Antarctic glaciers today. This study highlights the necessity of accounting for the influence of subglacial hydrology on grounding-zone and ice-shelf melt in projections of future behavior of the Thwaites Glacier ice margin and marine-based glaciers around the Antarctic continent.</t>
  </si>
  <si>
    <t>[Lepp, A. P.; Simkins, L. M.] Univ Virginia, Dept Environm Sci, Charlottesville, VA 22904 USA; [Anderson, J. B.] Rice Univ, Dept Earth Environm &amp; Planetary Sci, Houston, TX USA; [Clark, R. W.; Wellner, J. S.] Univ Houston, Dept Earth &amp; Atmospher Sci, Houston, TX USA; [Hillenbrand, C-d.; Smith, J. A.; Larter, R. D.; Hogan, K. A.] British Antarctic Survey, Cambridge, England; [Lehrmann, A. A.; Totten, R.] Univ Alabama, Dept Geol Sci, Tuscaloosa, AL USA; [Nitsche, F. O.] Columbia Univ, Lamont Doherty Earth Observ, Palisades, NY USA; [Graham, A. G. C.] Univ S Florida, Coll Marine Sci, St Petersburg, FL USA; [Wacker, L.] Swiss Fed Inst Technol, Dept Earth Sci, Zurich, Switzerland</t>
  </si>
  <si>
    <t>University of Virginia; Rice University; University of Houston System; University of Houston; UK Research &amp; Innovation (UKRI); Natural Environment Research Council (NERC); NERC British Antarctic Survey; University of Alabama System; University of Alabama Tuscaloosa; Columbia University; State University System of Florida; University of South Florida; Swiss Federal Institutes of Technology Domain; ETH Zurich</t>
  </si>
  <si>
    <t>Lepp, AP (corresponding author), Univ Virginia, Dept Environm Sci, Charlottesville, VA 22904 USA.</t>
  </si>
  <si>
    <t>apl2jt@virginia.edu</t>
  </si>
  <si>
    <t>Totten, Rebecca L./0000-0002-8227-2848; Lehrmann, Asmara/0000-0001-6327-8622; Lepp, Allison/0000-0002-4367-5978; Clark, Rachel W./0000-0002-5487-3160</t>
  </si>
  <si>
    <t>National Science Foundation (NSF) [1738942]; Natural Environment Research Council (NERC) [NE/S006664/1, NE/S006672/1]; University of Virginia; NERC [NE/S006664/1, NE/S006672/1] Funding Source: UKRI</t>
  </si>
  <si>
    <t>National Science Foundation (NSF)(National Science Foundation (NSF)); Natural Environment Research Council (NERC)(UK Research &amp; Innovation (UKRI)Natural Environment Research Council (NERC)); University of Virginia; NERC(UK Research &amp; Innovation (UKRI)Natural Environment Research Council (NERC))</t>
  </si>
  <si>
    <t>This work is from the THOR project, a component of the International Thwaites Glacier Collaboration (ITGC). Support from National Science Foundation (NSF: Grant 1738942) and Natural Environment Research Council (NERC: Grant nos. NE/S006664/1 and NE/S006672/1). Logistics provided by NSF-U.S. Antarctic Program and NERC-British Antarctic Survey. ITGC Contribution No. ITGC-072. Internal grants from the University of Virginia to APL and LS also helped support this research.</t>
  </si>
  <si>
    <t>2296-6463</t>
  </si>
  <si>
    <t>FRONT EARTH SC-SWITZ</t>
  </si>
  <si>
    <t>Front. Earth Sci.</t>
  </si>
  <si>
    <t>10.3389/feart.2022.863200</t>
  </si>
  <si>
    <t>2C6EM</t>
  </si>
  <si>
    <t>Green Published, gold, Green Accepted</t>
  </si>
  <si>
    <t>WOS:000810959300001</t>
  </si>
  <si>
    <t>Still, H; Hulbe, C; Forbes, M; Prior, DJ; Bowman, MH; Boucinhas, B; Craw, L; Kim, D; Lutz, F; Mulvaney, R; Thomas, RE</t>
  </si>
  <si>
    <t>Still, Holly; Hulbe, Christina; Forbes, Martin; Prior, David J.; Bowman, M. Hamish; Boucinhas, Bia; Craw, Lisa; Kim, Daeyeong; Lutz, Franz; Mulvaney, Robert; Thomas, Rilee E.</t>
  </si>
  <si>
    <t>Tidal Modulation of a Lateral Shear Margin: Priestley Glacier, Antarctica</t>
  </si>
  <si>
    <t>shear margin; tides; ice deformation; elastic model; ice flexure; GNSS; Priestley Glacier; Antarctica</t>
  </si>
  <si>
    <t>ICE STREAM B; STICK-SLIP MOTION; GROUNDING-ZONE; POLYCRYSTALLINE ICE; GRAIN-SIZE; ROSS SEA; TEMPORAL VARIATIONS; BEARDMORE GLACIER; ELASTIC-CONSTANTS; TEMPERATE ICE</t>
  </si>
  <si>
    <t>We use high resolution, ground-based observations of ice displacement to investigate ice deformation across the floating left-lateral shear margin of Priestley Glacier, Terra Nova Bay, Antarctica. Bare ice conditions allow us to fix survey marks directly to the glacier surface. A combination of continuous positioning of a local reference mark, and repeat positioning of a network of 33 stakes installed across a 2 km width of the shear margin are used to quantify shear strain rates and the ice response to tidal forcing over an 18-day period. Along-flow velocity observed at a continuous Global Navigation Satellite Systems (GNSS) station within the network varies by up to similar to 30% of the mean speed (+/- 28 m a(-1)) over diurnal tidal cycles, with faster flow during the falling tide and slower flow during the rising tide. Long-term deformation in the margin approximates simple shear with a small component of flow-parallel shortening. At shorter timescales, precise optical techniques allow high-resolution observations of across-flow bending in response to the ocean tide, including across-flow strains on the order of 10(-5). An elastodynamic model informed by the field observations is used to simulate the across-flow motion and deformation. Flexure is concentrated in the shear margin, such that a non-homogeneous elastic modulus is implied to best account for the combined observations. The combined pattern of ice displacement and ice strain also depends on the extent of coupling between the ice and valley sidewall. These conclusions suggest that investigations of elastic properties made using vertical ice motion, but neglecting horizontal displacement and surface strain, will lead to incorrect conclusions about the elastic properties of ice and potentially over-simplified assumptions about the sidewall boundary condition.</t>
  </si>
  <si>
    <t>[Still, Holly; Hulbe, Christina; Forbes, Martin] Univ Otago, Natl Sch Surveying, Dunedin, New Zealand; [Prior, David J.; Bowman, M. Hamish; Lutz, Franz; Thomas, Rilee E.] Univ Otago, Dept Geol, Dunedin, New Zealand; [Boucinhas, Bia] Antarct New Zealand, Christchurch, New Zealand; [Craw, Lisa] Univ Tasmania, Inst Marine, Antarctic Studies, Hobart, Tas, Australia; [Kim, Daeyeong] Korea Polar Res Inst, Div Earth Sci, Incheon, South Korea; [Mulvaney, Robert] British Antarctic Survey, Cambridge, England</t>
  </si>
  <si>
    <t>University of Otago; University of Otago; University of Tasmania; Korea Polar Research Institute (KOPRI); UK Research &amp; Innovation (UKRI); Natural Environment Research Council (NERC); NERC British Antarctic Survey</t>
  </si>
  <si>
    <t>Still, H (corresponding author), Univ Otago, Natl Sch Surveying, Dunedin, New Zealand.</t>
  </si>
  <si>
    <t>holly.still@otago.ac.nz</t>
  </si>
  <si>
    <t>Kim, Daeyeong/H-4318-2018; Mulvaney, Robert/K-3929-2012; Craw, Lisa/V-5681-2018</t>
  </si>
  <si>
    <t>Kim, Daeyeong/0000-0003-4444-7851; Still, Holly/0000-0002-6021-1964; Craw, Lisa/0000-0002-6809-3587; Bowman, Michael/0000-0002-0455-9421</t>
  </si>
  <si>
    <t>10.3389/feart.2022.828313</t>
  </si>
  <si>
    <t>2C5JE</t>
  </si>
  <si>
    <t>WOS:000810903900001</t>
  </si>
  <si>
    <t>Bae, HJ; Kim, SJ; Kim, BM; Kwon, H</t>
  </si>
  <si>
    <t>Bae, Hyo-Jun; Kim, Seong-Joong; Kim, Baek-Min; Kwon, Hataek</t>
  </si>
  <si>
    <t>Causes of the Extreme Hot Event on February 9, 2020, in Seymour Island, Antarctic Peninsula</t>
  </si>
  <si>
    <t>FRONTIERS IN ENVIRONMENTAL SCIENCE</t>
  </si>
  <si>
    <t>hot event; Seymour island; horizontal advection; adiabatic warming; insentropic drawdown</t>
  </si>
  <si>
    <t>FOEHN; TEMPERATURE</t>
  </si>
  <si>
    <t>On early February of 2020, two consecutive extreme warming events of three day interval at the similar location occurred over the Antarctic Peninsula (AP). The later event, that occurred on February 9, 2020, exhibited a second-highest temperature record of 15.5 degrees C at Marambio station, located on Seymour Island, northeast of the AP. To understand the possible cause of the extreme warming event, we analyzed extreme warming events that occurred on Seymour Island during February over the past 40 years by using observational data from Marambio station alongside the European Center for Medium-Range Weather Forecasts Reanalysis v5 (ERA5) data. The results revealed that the extreme warming event on February 9, 2020 occurred due to the foehn and large-scale horizontal advection. In foehn winds, radiative heating and isentropic drawdown occur simultaneously. The horizontal advection of heat, which leads to extreme warming events, is associated with the strong blocking high in the upper and lower atmosphere. Contrary to the average characteristics of extreme warming events in February over the past 40 years, the extreme warming on February 9, 2020, occurred not only in the AP but also throughout entire West Antarctica.</t>
  </si>
  <si>
    <t>[Bae, Hyo-Jun; Kim, Baek-Min] Pukyong Natl Univ, Dept Environm Atmospher Sci, Pusan, South Korea; [Bae, Hyo-Jun; Kim, Seong-Joong] Korea Polar Res Inst, Div Atmospher Sci, Incheon, South Korea; [Kwon, Hataek] Seoul Natl Univ, Sch Earth &amp; Environm Sci, Seoul, South Korea</t>
  </si>
  <si>
    <t>Pukyong National University; Korea Polar Research Institute (KOPRI); Seoul National University (SNU)</t>
  </si>
  <si>
    <t>Kim, BM (corresponding author), Pukyong Natl Univ, Dept Environm Atmospher Sci, Pusan, South Korea.;Kim, SJ (corresponding author), Korea Polar Res Inst, Div Atmospher Sci, Incheon, South Korea.</t>
  </si>
  <si>
    <t>seongjkim@kopri.re.kr; baekmin@pknu.ac.kr</t>
  </si>
  <si>
    <t>2296-665X</t>
  </si>
  <si>
    <t>FRONT ENV SCI-SWITZ</t>
  </si>
  <si>
    <t>Front. Environ. Sci.</t>
  </si>
  <si>
    <t>10.3389/fenvs.2022.865775</t>
  </si>
  <si>
    <t>2D6FX</t>
  </si>
  <si>
    <t>WOS:000811641500001</t>
  </si>
  <si>
    <t>Zhang, L; Liu, CY; Sun, WJ; Wang, ZM; Liang, X; Li, X; Cheng, C</t>
  </si>
  <si>
    <t>Zhang, Li; Liu, Chengyan; Sun, Wenjin; Wang, Zhaomin; Liang, Xi; Li, Xiang; Cheng, Chen</t>
  </si>
  <si>
    <t>Modeling Mesoscale Eddies Generated Over the Continental Slope, East Antarctica</t>
  </si>
  <si>
    <t>mesoscale eddies; idealized model; spatial structure; hydrographic properties; Antarctic continental slope</t>
  </si>
  <si>
    <t>CIRCUMPOLAR DEEP-WATER; BOTTOM WATER; 3-DIMENSIONAL PROPERTIES; WEDDELL SEA; TRANSPORT; VARIABILITY; OCEAN; CIRCULATION; SOUTH; ENERGY</t>
  </si>
  <si>
    <t>Mesoscale eddies are abundant over the Antarctic continental slope, with the potential to regulate the water masses transport, mixing, and energy transfer. Over the relatively cold and fresh shelf regions around the Antarctic margins, in the absence of dense overflows, the baroclinic instability of the Antarctic Slope Current is still favorable in the generation of mesoscale eddies. However, mesoscale eddies are barely observed over the fresh shelf regions due to the sparsity of in situ hydrographic observations. Based on an idealized eddy-resolving coupled ocean-ice shelf model, this study investigates the characteristics of mesoscale eddies and corresponding influences on the local hydrographic properties over the continental slope, East Antarctica. With the aid of an automated eddy detection algorithm, bowl-shaped eddies are identified from the simulated velocity vector geometry. The Cyclonic Eddies (CE) has a barotropic vertical structure extending to more than 2,500 m depth, while the vertical shear of the Anticyclonic Eddies (AE) velocity is strong at the upper 200 m layer. Mesoscale eddies can trap the cold and fresh water in the southern flank of the Antarctic slope front and flow offshore to the relatively warm and saline region. Therefore, the influences of eddies on the hydrographic properties are not only governed by the eddy polarities but also the eddy-induced heat and salt transport.</t>
  </si>
  <si>
    <t>[Zhang, Li] Sun Yat Sen Univ, Sch Atmospher Sci, Zhuhai, Peoples R China; [Liu, Chengyan; Sun, Wenjin; Wang, Zhaomin; Li, Xiang; Cheng, Chen] Southern Marine Sci &amp; Engn Guangdong Lab Zhuhai, Zhuhai, Peoples R China; [Sun, Wenjin] Nanjing Univ Informat Sci &amp; Technol, Sch Marine Sci, Nanjing, Peoples R China; [Wang, Zhaomin] Hohai Univ, Coll Oceanog, Int Polar Environm Res Lab, Nanjing, Peoples R China; [Liang, Xi] Minist Nat Resources, Natl Marine Environm Forecasting Ctr, Key Lab Marine Hazards Forecasting, Beijing, Peoples R China</t>
  </si>
  <si>
    <t>Sun Yat Sen University; Southern Marine Science &amp; Engineering Guangdong Laboratory; Southern Marine Science &amp; Engineering Guangdong Laboratory (Zhuhai); Nanjing University of Information Science &amp; Technology; Hohai University; Ministry of Natural Resources of the People's Republic of China; National Marine Environmental Forecasting Center</t>
  </si>
  <si>
    <t>Liu, CY; Wang, ZM (corresponding author), Southern Marine Sci &amp; Engn Guangdong Lab Zhuhai, Zhuhai, Peoples R China.;Wang, ZM (corresponding author), Hohai Univ, Coll Oceanog, Int Polar Environm Res Lab, Nanjing, Peoples R China.</t>
  </si>
  <si>
    <t>liuchengyan@sml-zhuhai.cn; zhaomin.wang@hhu.edu.cn</t>
  </si>
  <si>
    <t>chen, junchen/KHW-4086-2024; Liang, Xi/HOF-5510-2023; Chen, Yukun/KGK-4521-2024; Sun, Wenjin/GWM-8097-2022</t>
  </si>
  <si>
    <t>Liang, Xi/0000-0001-8986-1154; Sun, Wenjin/0000-0002-7426-3175</t>
  </si>
  <si>
    <t>10.3389/feart.2022.916398</t>
  </si>
  <si>
    <t>2C5DU</t>
  </si>
  <si>
    <t>WOS:000810889900001</t>
  </si>
  <si>
    <t>Alkan, RM; Erol, S; Mutlu, B</t>
  </si>
  <si>
    <t>Alkan, Reha Metin; Erol, Serdar; Mutlu, Bilal</t>
  </si>
  <si>
    <t>Real-time multi-GNSS Precise Point Positioning using IGS-RTS products in Antarctic region</t>
  </si>
  <si>
    <t>POLAR SCIENCE</t>
  </si>
  <si>
    <t>Antarctica; Multi-GNSS; RT-PPP; IGS-RTS; State space representation (SSR)</t>
  </si>
  <si>
    <t>PERFORMANCE</t>
  </si>
  <si>
    <t>In this study, the usability and accuracy performance of the multi-GNSS kinematic real-time Precise Point Positioning (RT-PPP) technique in Antarctica, which has extreme atmospheric and topographic conditions, was investigated. In this context, the two-day GNSS dataset of the OHI300ATA reference station, which is a member of the IGS MGEX-RTS stations network, was used. In the test measurements, the real-time State Space Representation (SSR) formatted corrections produced by different IGS-RTS Analysis Centers were used and compared. As a result of the study, it is concluded that the achieved performance of the kinematic RT-PPP using IGS-RTS SSR products is found very promising with a cm level of 3D positioning accuracy after about 20-30 min convergence time. The overall results of the study show that the RT-PPP technique has become a strong alternative to differential real-time GNSS positioning techniques with the accuracy of it provides in the Antarctic region.</t>
  </si>
  <si>
    <t>[Alkan, Reha Metin; Erol, Serdar; Mutlu, Bilal] Istanbul Tech Univ, Geomat Engn Dept, TR-34469 Istanbul, Turkey</t>
  </si>
  <si>
    <t>Istanbul Technical University</t>
  </si>
  <si>
    <t>Erol, S (corresponding author), Istanbul Tech Univ, Geomat Engn Dept, TR-34469 Istanbul, Turkey.</t>
  </si>
  <si>
    <t>alkanr@itu.edu.tr; erol@itu.edu.tr; mutlubil@itu.edu.tr</t>
  </si>
  <si>
    <t>MUTLU, Bilal/AAP-1639-2020; ALKAN, Reha Metin/AAL-8237-2020; EROL, Serdar/ABB-1357-2020</t>
  </si>
  <si>
    <t>MUTLU, Bilal/0000-0002-9763-0345; ALKAN, Reha Metin/0000-0002-1981-9783; EROL, Serdar/0000-0002-7100-8267</t>
  </si>
  <si>
    <t>1873-9652</t>
  </si>
  <si>
    <t>1876-4428</t>
  </si>
  <si>
    <t>POLAR SCI</t>
  </si>
  <si>
    <t>Polar Sci.</t>
  </si>
  <si>
    <t>10.1016/j.polar.2022.100844</t>
  </si>
  <si>
    <t>MAY 2022</t>
  </si>
  <si>
    <t>Ecology; Geosciences, Multidisciplinary</t>
  </si>
  <si>
    <t>Environmental Sciences &amp; Ecology; Geology</t>
  </si>
  <si>
    <t>2A9FV</t>
  </si>
  <si>
    <t>WOS:000809800900004</t>
  </si>
  <si>
    <t>Criales-Hernandez, MI; Jerez-Guerrero, M; Latandret-Solana, SA; Gomez-Sanchez, MD</t>
  </si>
  <si>
    <t>Criales-Hernandez, Maria Isabel; Jerez-Guerrero, Mauricio; Latandret-Solana, Sadid A.; Gomez-Sanchez, Miguel Diego</t>
  </si>
  <si>
    <t>Spatial distribution of meso- and macro-zooplankton in the Bransfield Strait and around Elephant Island, Antarctic Peninsula, during the 2019-2020 austral summer</t>
  </si>
  <si>
    <t>Zooplankton; Copepoda; Euphausia superba; Salpa thompsoni; Antarctic peninsula</t>
  </si>
  <si>
    <t>KRILL EUPHAUSIA-SUPERBA; MESOZOOPLANKTON BIOMASS; TEMPORAL VARIABILITY; COMMUNITY STRUCTURE; SALPA-THOMPSONI; EAST ANTARCTICA; WATER MASSES; DEEP WATERS; COPEPODS; PHYTOPLANKTON</t>
  </si>
  <si>
    <t>The Antarctic Peninsula is a region of the world where drastic impacts of climate change have been observed over the past few years, leading the communities inhabiting this area to adapt to new conditions. This is reflected in changes to the composition and abundance of pelagic species, especially zooplankton, which constitute the main food source for the trophic web supporting the ecosystem in this region. In this study, we compared the composition, abundance, and spatial distribution of meso-and macro-zooplankton and how they relate to the oceanographic conditions of the Bransfield Strait and the area surrounding Elephant Island, Antarctic Peninsula, during the 2019-2020 austral summer. The community was represented by three groups: small-sized copepods such as Oithona similis and Ctenocalanus citer, salps such as Salpa thompsoni, and the Euphausiacea. Euphausiacea showed an important decrease in composition and abundance and was only represented by Euphausia superba and Thysanoessa macrura. An increase in the abundance and distribution of S. thompsoni was observed over the entire study area, as well as positive SST anomalies, which possibly favored the increase in the S. thompsoni population, as well as the decrease and displacement of Euphausiacea adults and juveniles. If, as climate models predict, increases in temperatures keep occurring, our results reflect the scenario that will prevail for zooplankton in the Antarctic Peninsula, with effects on distribution and abundance that will lead to the dominance of species that are more successful in warmer conditions.</t>
  </si>
  <si>
    <t>[Criales-Hernandez, Maria Isabel; Jerez-Guerrero, Mauricio] Univ Ind St ander, Fac Ciencias Bas, Ctr Estudios Invest Ambientales CEIAM, zona postal, Bucaramanga 680006, Colombia; [Latandret-Solana, Sadid A.; Gomez-Sanchez, Miguel Diego] Direccion Gen Maritima, Ctr Invest Oceanograf &amp; Hidrograf CIOH, zona postal, Cartagena 130001, Colombia</t>
  </si>
  <si>
    <t>Criales-Hernandez, MI (corresponding author), Univ Ind St ander, Fac Ciencias Bas, Ctr Estudios Invest Ambientales CEIAM, zona postal, Bucaramanga 680006, Colombia.</t>
  </si>
  <si>
    <t>mcriales@uis.edu.co; jerez.guerrero.mauricio@gmail.com; slatandret@dimar.mil.co; mgomez@dimar.mil.co</t>
  </si>
  <si>
    <t>Criales Hernandez, Maria Isabel/0000-0001-5608-8943; Jerez Guerrero, Mauricio/0000-0002-2408-4849; Latandret Solana, Sadid Augusto/0000-0002-0569-2195</t>
  </si>
  <si>
    <t>Universidad Industrial de Santander</t>
  </si>
  <si>
    <t>This research was supported by Universidad Industrial de Santander thought Project Research presented to the Colombian Antarctic Program within the framework of the VIth Colombian Antarctic Expedition.</t>
  </si>
  <si>
    <t>10.1016/j.polar.2022.100821</t>
  </si>
  <si>
    <t>2A9UO</t>
  </si>
  <si>
    <t>WOS:000809841900001</t>
  </si>
  <si>
    <t>Kakareka, S; Kukharchyk, T; Kurman, P</t>
  </si>
  <si>
    <t>Kakareka, Sergey; Kukharchyk, Tamara; Kurman, Peter</t>
  </si>
  <si>
    <t>Trace and major elements in surface snow and fresh water bodies of the Marguerite Bay Islands, Antarctic Peninsula</t>
  </si>
  <si>
    <t>Newly fallen snow; Surface snow; Fresh water; Trace elements; Horseshoe Island; Dismal Island</t>
  </si>
  <si>
    <t>SPATIAL VARIABILITY; BYERS PENINSULA; LARSEMANN HILLS; HEAVY-METALS; CHEMISTRY; LAND; GEOCHEMISTRY; LAKES; FIRN; CONTAMINATION</t>
  </si>
  <si>
    <t>The results of major and trace elements investigation in snow and fresh water on Dismal and Horseshoe Islands, Marguerite Bay, Antarctic Peninsula are presented. Samples of newly fallen snow, old snow, as well as water from lakes, ponds and streams were collected during the 4th Turkish Antarctic Expedition in February-early March 2020. Determination of Ag, Al, As, Ba, Be, Ca, Cd, Co, Cr, Cu, Fe, K, Na, Mg, Mn, Mo, Ni, Pb, Sb, Se, Th, Tl, U, V and Zn content was carried out using the ICP-MS method. Totally 39 samples were analyzed.It was established that, variability and average concentrations of major and trace elements are significantly higher in newly fallen snow compared to old snow. The lowest concentrations of major and a number of trace elements (Fe, Cr, Se, Ba, As and Tl) were recorded in samples of old snow, and the highest -in water of streams. All types of samples have the highest Na concentrations, that confirms sea aerosols as the source of their input.High enrichment factors EFc (&gt;100) for Zn, Cd, Se and Sb (especially in newly fallen snow) indicate possible anthropogenic impact connected with long-range air mass transfer.</t>
  </si>
  <si>
    <t>[Kakareka, Sergey; Kukharchyk, Tamara] Natl Acad Sci Belarus, Inst Nat Management, Lab Transboundary Pollut, Skoriny st 10, Minsk 220076, BELARUS; [Kurman, Peter] Natl Acad Sci Belarus, Inst Bioorgan Chem, Lab Phys &amp; Chem Methods, Kuprevicha st 2, Minsk 220141, BELARUS</t>
  </si>
  <si>
    <t>National Academy of Sciences of Belarus (NASB); Institute for Nature Management of the National Academy of Sciences of Belarus; National Academy of Sciences of Belarus (NASB); Institute of Bioorganic Chemistry of the National Academy of Sciences of Belarus</t>
  </si>
  <si>
    <t>Kukharchyk, T (corresponding author), Natl Acad Sci Belarus, Inst Nat Management, Lab Transboundary Pollut, Skoriny st 10, Minsk 220076, BELARUS.</t>
  </si>
  <si>
    <t>sk001@yandex.ru; tkukharchyk@gmail.com; peter_kurman@tut.by</t>
  </si>
  <si>
    <t>Kukharchyk, Tamara/0000-0003-3434-1244</t>
  </si>
  <si>
    <t>State Program of Belarus</t>
  </si>
  <si>
    <t>This study has been funded by the State Program of Belarus Monitoring of the Earth Polar Regions, Creation of the Belarusian Antarctic Station and Support of the Polar Expeditions for 2016-2020. Authors are particularly thankful to the Scientific and Technological Research Council of Turkey (TUBITAK) , Marmara Research Center (MRC) , Polar Research Institute (PRI) for providing all possible support for Sergey Kakareka's participation in the 4th Turkish Antarctic Expedition.</t>
  </si>
  <si>
    <t>10.1016/j.polar.2022.100792</t>
  </si>
  <si>
    <t>2A8WX</t>
  </si>
  <si>
    <t>WOS:000809777100001</t>
  </si>
  <si>
    <t>Tewari, K; Mishra, SK; Salunke, P; Ozawa, H; Dewan, A</t>
  </si>
  <si>
    <t>Tewari, Kamal; Mishra, Saroj Kanta; Salunke, Popat; Ozawa, Hisashi; Dewan, Anupam</t>
  </si>
  <si>
    <t>Potential effects of the projected Antarctic sea-ice loss on the climate system</t>
  </si>
  <si>
    <t>CLIMATE DYNAMICS</t>
  </si>
  <si>
    <t>Antarctica; Sea-ice loss; Climate change; General circulation; Climate modeling</t>
  </si>
  <si>
    <t>ATMOSPHERIC RESPONSE; SENSITIVITY; REDUCTION; ANOMALIES; PHYSICS; CCSM4; MELT</t>
  </si>
  <si>
    <t>Climate models project that a reduction in the Antarctic sea-ice extent due to global warming in the future would exert an influential role on the climate system. However, due to the coupled nature of the climate system and various feedbacks present, the underlying mechanism is not well understood. The present study attempts to investigate the potential effects of the model projected Antarctic sea-ice loss on the climate system and understand the underlying mechanism causing such changes using coupled model simulations. The investigation suggests that the projected sea-ice loss will result in the localized surface warming accompanied with tropospheric warming that will be experienced globally. The surface evaporation will enhance, accompanied by an increase in the precipitation and cloud cover around Antarctica's coastal periphery, with marginal changes observed over the continent's interiors. The strength of the atmospheric circulation in the Southern Hemisphere will change significantly, resulting in an enhancement in the Polar cell and katabatic flow accompanied by a marginal reduction in the Ferrel and Hadley cells, causing an equatorial shift in the jet's position. The eddy transport will also significantly weaken, leading to an overall reduction in the poleward energy transport at higher latitudes. These atmospheric circulation changes are essentially driven by the radiative budget, with more absorbed short-wave radiation reducing the poleward transport requirements. Compared to the reported uncoupled simulations studies, the remote global influence of sea ice loss noted in these coupled simulations which extends up to the Arctic highlights the strong pole-to-pole connections in the climate system through atmospheric and oceanic circulations.</t>
  </si>
  <si>
    <t>[Tewari, Kamal; Dewan, Anupam] IIT Delhi, Dept Appl Mech, New Delhi 110016, India; [Mishra, Saroj Kanta; Salunke, Popat] IIT Delhi, Ctr Atmospher Sci, New Delhi 110016, India; [Ozawa, Hisashi] Hiroshima Univ, Grad Sch Integrated Arts &amp; Sci, Higashihiroshima, Japan</t>
  </si>
  <si>
    <t>Indian Institute of Technology System (IIT System); Indian Institute of Technology (IIT) - Delhi; Indian Institute of Technology System (IIT System); Indian Institute of Technology (IIT) - Delhi; Hiroshima University</t>
  </si>
  <si>
    <t>Mishra, SK (corresponding author), IIT Delhi, Ctr Atmospher Sci, New Delhi 110016, India.</t>
  </si>
  <si>
    <t>skm@iitd.ac.in</t>
  </si>
  <si>
    <t>Dewan, Anupam/A-8404-2013; Mishra, Shravan/AAD-7569-2022; Ozawa, Hisashi/N-6414-2019</t>
  </si>
  <si>
    <t>Dewan, Anupam/0000-0002-1561-713X; Mishra, Shravan/0000-0001-8354-1803; Ozawa, Hisashi/0000-0001-9692-9532</t>
  </si>
  <si>
    <t>DST Centre of Excellence in Climate Modeling at IIT Delhi; MHRD</t>
  </si>
  <si>
    <t>The research was partially supported by the DST Centre of Excellence in Climate Modeling at IIT Delhi. K. Tewari acknowledges the Ph.D. fellowship from MHRD.</t>
  </si>
  <si>
    <t>0930-7575</t>
  </si>
  <si>
    <t>1432-0894</t>
  </si>
  <si>
    <t>CLIM DYNAM</t>
  </si>
  <si>
    <t>Clim. Dyn.</t>
  </si>
  <si>
    <t>JAN</t>
  </si>
  <si>
    <t>1-2</t>
  </si>
  <si>
    <t>10.1007/s00382-022-06320-2</t>
  </si>
  <si>
    <t>F8ZX6</t>
  </si>
  <si>
    <t>WOS:000803868600001</t>
  </si>
  <si>
    <t>Godo, OR; Trathan, P</t>
  </si>
  <si>
    <t>Godo, Olav Rune; Trathan, Philip</t>
  </si>
  <si>
    <t>Voluntary actions by the Antarctic krill fishing industry help reduce potential negative impacts on land-based marine predators during breeding, highlighting the need for CCAMLR action</t>
  </si>
  <si>
    <t>ICES JOURNAL OF MARINE SCIENCE</t>
  </si>
  <si>
    <t>Antarctic krill; climate change response; co-management; industry voluntary self-regulation; management strategies; stakeholder cooperation</t>
  </si>
  <si>
    <t>PENGUIN POPULATIONS; SEA-ICE; MANAGEMENT; ECOSYSTEM; ABUNDANCE; FISHERY; DECLINE; WHALES</t>
  </si>
  <si>
    <t>The Commission for the Conservation of Antarctic Marine Living Resources is responsible for management of the Antarctic marine ecosystem, including its living resources. The Commission has yet to implement precautionary measures that protect predators dependent upon Antarctic krill from potential food competition with fisheries where these now increasingly spatially aggregate. Here, we describe voluntary buffer zones (VBZ) implemented in 2018 by the Association of Responsible Krill harvesting companies (ARK) following negotiations with environmental NGOs. The VBZ now prohibit krill fishing during the penguin-breeding season around important penguin colonies along the Antarctic Peninsula. We describe the background of the VBZ and further actions that would ensure ongoing ecological benefits. Lack of data and delays in the implementation of the Commission's revised krill fishery management framework continue to concern NGOs and other stakeholders, especially as part of the management framework will expire in November 2022. Without action by CCAMLR, the ARK VBZ will be the only regulation providing precautionary protection at relevant spatial and temporal scales. The VBZ are an example of how responsible industry can help to protect marine ecosystems when regional management is unable to act given lack of data, and/or associated legal and political constraints.</t>
  </si>
  <si>
    <t>[Godo, Olav Rune] Skiparviklia 11, N-5223 Nesttun, Norway; [Trathan, Philip] British Antarctic Survey, High Cross,Madingley Rd, Cambridge CB3 0ET, England</t>
  </si>
  <si>
    <t>UK Research &amp; Innovation (UKRI); Natural Environment Research Council (NERC); NERC British Antarctic Survey</t>
  </si>
  <si>
    <t>Godo, OR (corresponding author), Skiparviklia 11, N-5223 Nesttun, Norway.</t>
  </si>
  <si>
    <t>olavruneg@gmail.com</t>
  </si>
  <si>
    <t>Godo, Olav Rune/0000-0001-8826-8068</t>
  </si>
  <si>
    <t>1054-3139</t>
  </si>
  <si>
    <t>1095-9289</t>
  </si>
  <si>
    <t>ICES J MAR SCI</t>
  </si>
  <si>
    <t>ICES J. Mar. Sci.</t>
  </si>
  <si>
    <t>JUL 29</t>
  </si>
  <si>
    <t>10.1093/icesjms/fsac092</t>
  </si>
  <si>
    <t>Fisheries; Marine &amp; Freshwater Biology; Oceanography</t>
  </si>
  <si>
    <t>2N0VL</t>
  </si>
  <si>
    <t>WOS:000803707300001</t>
  </si>
  <si>
    <t>Zhang, MH; Zhu, JR; Zhou, L; Kan, JQ; Zhao, MJ; Huang, R; Liu, JK; Marchioni, E</t>
  </si>
  <si>
    <t>Zhang, Minghao; Zhu, Jinrui; Zhou, Li; Kan, Jianquan; Zhao, Minjie; Huang, Rong; Liu, Jikai; Marchioni, Eric</t>
  </si>
  <si>
    <t>Antarctic krill oil high internal phase Pickering emulsion stabilized by bamboo protein gels and the anti-inflammatory effect in vitro and in vivo</t>
  </si>
  <si>
    <t>JOURNAL OF FUNCTIONAL FOODS</t>
  </si>
  <si>
    <t>Fungus; Delivery system; Preparation; Pickering stabilizer; Anti-inflammatory; Ulcerative colitis</t>
  </si>
  <si>
    <t>BIOACCESSIBILITY; OVOTRANSFERRIN; FABRICATION; PARTICLES</t>
  </si>
  <si>
    <t>This study aims to introduce a high internal phase Pickering emulsion (HIPPE) stabilized by bamboo fungus protein gel particles (BGPs), incorporating Antarctic krill oil (KO), as a new delivery formulation to enrich the application of KO. The appropriate proportion of KO (2:8) contributed to HIPPE stabilization (phi = 80%). At pH 11, strong electrostatic interaction tended to produce KO-HIPPE with small droplet and homogeneous size (1.5 mu m). BGPs dosage either under (0.5%) or high (2.0%) was prone to the destabilization of KO-HIPPE. In vitro studies indicated that KO-HIPPE had no effect on cell viability and suggested the safety and anti-inflammatory effect. In vivo studies showed that KO-HIPPE treatment could improve the clinical symptoms, suppress the overexpression of the pro-inflammatory cytokines (TNF-alpha and IL-6) and protect the intestinal barrier with function. The findings demonstrated that the HIPPE stabilized on BGPs had excellent loading efficiency of KO and good security, stability and functional activity.</t>
  </si>
  <si>
    <t>[Zhang, Minghao; Zhu, Jinrui; Zhou, Li; Huang, Rong; Liu, Jikai] South Cent MinZu Univ, Natl Demonstrat Ctr Expt Ethnopharmacol Educ, Sch Pharmaceut Sci, Wuhan 430074, Peoples R China; [Kan, Jianquan] Southwest Univ, Coll Food Sci, Chongqing 400715, Peoples R China; [Zhao, Minjie; Marchioni, Eric] CNRS, UDS, Equipe Chim Analyt Mol Bioact &amp; Pharmacognoise, Inst Pluridisciplinaire Hubert Curien,UMR 7178, F-67400 Illkirch Graffenstaden, France</t>
  </si>
  <si>
    <t>South Central Minzu University; Southwest University - China; Universites de Strasbourg Etablissements Associes; Universite de Strasbourg; Centre National de la Recherche Scientifique (CNRS); CNRS - National Institute of Nuclear and Particle Physics (IN2P3)</t>
  </si>
  <si>
    <t>Zhou, L; Liu, JK (corresponding author), South Cent MinZu Univ, Natl Demonstrat Ctr Expt Ethnopharmacol Educ, Sch Pharmaceut Sci, Wuhan 430074, Peoples R China.;Kan, JQ (corresponding author), Southwest Univ, Coll Food Sci, Chongqing 400715, Peoples R China.</t>
  </si>
  <si>
    <t>zhou2018@scuec.edu.cn; ganjq1965@163.com; 2380471675@qq.com</t>
  </si>
  <si>
    <t>National Natural Science Foundation of China [31501521]; Fundamental Research Funds for the Central Universities, the South-Central University for Nationalities [CZY19032]</t>
  </si>
  <si>
    <t>National Natural Science Foundation of China(National Natural Science Foundation of China (NSFC)); Fundamental Research Funds for the Central Universities, the South-Central University for Nationalities</t>
  </si>
  <si>
    <t>This work received supports from the National Natural Science Foundation of China (31501521) and the Fundamental Research Funds for the Central Universities, the South-Central University for National-ities (CZY19032) .</t>
  </si>
  <si>
    <t>1756-4646</t>
  </si>
  <si>
    <t>2214-9414</t>
  </si>
  <si>
    <t>J FUNCT FOODS</t>
  </si>
  <si>
    <t>J. Funct. Food.</t>
  </si>
  <si>
    <t>10.1016/j.jff.2022.105134</t>
  </si>
  <si>
    <t>Food Science &amp; Technology; Nutrition &amp; Dietetics</t>
  </si>
  <si>
    <t>3O0DS</t>
  </si>
  <si>
    <t>WOS:000836513400004</t>
  </si>
  <si>
    <t>Sur, D; Ray, S; Paul, A</t>
  </si>
  <si>
    <t>Sur, Dibyendu; Ray, Sarbani; Paul, Ashik</t>
  </si>
  <si>
    <t>High and mid latitude and near subsolar point ionospheric and thermospheric responses to the solar flares and geomagnetic storms during low solar activity periods of 2017 and 2020</t>
  </si>
  <si>
    <t>ADVANCES IN SPACE RESEARCH</t>
  </si>
  <si>
    <t>Solar flare; CME driven storms; HSSW driven storms; Joule heating; O/N-2 ratio; Plasmaspheric contributions</t>
  </si>
  <si>
    <t>The paper observes the super-imposed effects of intense and moderate solar flares and Coronal Mass Ejection (CME) and High Speed Solar Wind (HSSW) driven geomagnetic storm events on the ionosphere and thermosphere at mid and high latitudes during low solar activity periods. The observations are conducted over a fixed longitude (similar to 117 degrees W geographic) during May 27-31, 2017 (duration with intense geomagnetic storm without any significant solar flare event), September 3-6, 2017 (duration with solar flare events), September 7-16, 2017 (duration with intense to moderate solar flares as well as geomagnetic storms) and November 28-30, 2020 (duration with a moderate solar flare event with no geomagnetic storm in association). It is found that the effects were the highest during May 27-31, 2017 among all of these events. From the observations of super-imposed effects of the geophysical events, it was found that the effects of an X-class solar flare on September 10-12, 2017 on mid-latitude ionization were suppressed by the Disturbed Dynamo Electric Field (DDEF) from high latitudes during the recovery phase of an intense CME driven geomagnetic storm. The weak effects were also explained by the position of origination of the flare at the Sun. Correlations were observed between the variations in O/N-2, neutral wind velocities and the mid and high latitude Total Electron Content (TEC) during these periods. Possible explanation is given for those few cases (for example, September 14, 2017) when the variations in O/N-2 mismatched with the local TEC especially in the mid-latitudes. The effects of the solar flare event on November 28-30, 2020 which were short-lived have also been also observed at locations near the subsolar point from low latitudes in the southern hemisphere. (C) 2022 COSPAR. Published by Elsevier B.V. All rights reserved.</t>
  </si>
  <si>
    <t>[Sur, Dibyendu] Univ Colorado Boulder, CIRES, Boulder, CO 80309 USA; [Sur, Dibyendu] Narula Inst Technol, Kolkata, India; [Ray, Sarbani; Paul, Ashik] Univ Calcutta, Inst Radio Phys &amp; Elect, Kolkata, India</t>
  </si>
  <si>
    <t>University of Colorado System; University of Colorado Boulder; University of Calcutta</t>
  </si>
  <si>
    <t>Sur, D (corresponding author), Univ Colorado Boulder, CIRES, Boulder, CO 80309 USA.;Sur, D (corresponding author), Narula Inst Technol, Kolkata, India.</t>
  </si>
  <si>
    <t>dibyendumalay@gmail.com; sarbanir@ya-hoo.com; ap.rpe@caluniv.ac.in</t>
  </si>
  <si>
    <t>PAUL, ASHIK/JYO-9760-2024; SUR, DIBYENDU/L-1799-2019</t>
  </si>
  <si>
    <t>SUR, DIBYENDU/0000-0001-9349-086X</t>
  </si>
  <si>
    <t>NASA MODA program</t>
  </si>
  <si>
    <t>Dibyendu Sur acknowledges ISSI for supporting him as a Young Scientist in the ISSI project ?Multi-technique Characterization of Near-Earth Space Environment?. The project is led by Prof. Ashik Paul. The solar flare events were studied from the observations by NASA Solar Dynamic Observatory (SDO) at the website sdo.gsfc.nasa.-gov. The PCN from Thule and PCS from Vostok on November 28-30, 2020 are maintained by Arctic and Antarctic Research Institute (AARI) and Technical University of Denmark (DTU Space) at the website pcin-dex.org/archive. Authors thank World Date Center for Geomagnetism, Kyoto and all its data provider stations (wdc.kugi.kyoto-u.ac.jp) for hourly Dst values. Authors acknowledge Dr. Andrew B. Christensen and Dr. Larry J. Paxton for GUVI-based daily O/N2 data, archived at the website of Applied Physics Laboratory (APL) , Johns Hopkins University (JHU) (guvitimed.jhuapl.edu/data_fet ch_l3_on2_idlsave) . They are supported by the NASA MO &amp; DA program. The velocities of neutral wind components are computed from HWM14 model (Drob et al., 2015) . Authors also acknowledge John Lyon, Department of Physics and Astronomy, Dartmouth College; Pete Schmitt, High Altitude Observatory, National Center for Atmospheric Research, Boulder; Ben Foster, High Altitude Observatory, National Center for Atmospheric Research, Boulder; Slava Merkin, Center for Space Physics, Boston University; Wenbin Wang, High Altitude Observatory, National Center for Atmospheric Research, Boulder; Mike Wiltberger, High Altitude Observatory, National Center for Atmospheric Research, Boulder for CMIT/LFM-MIX model. The authors also thank CCMC for providing the outputs for the CMIT/LFM-MIX. For the INTER-MAGNET data from Huancayo and San Juan, the authors acknowledge Instituto Geofisico del Peru? (Peru) and United States Geological Survey (United States of America) respectively. They are providing this data of high standards for magnetic observatory practice. The solar flare information is available from www.spaceweatherlive.com .</t>
  </si>
  <si>
    <t>ELSEVIER SCI LTD</t>
  </si>
  <si>
    <t>THE BOULEVARD, LANGFORD LANE, KIDLINGTON, OXFORD OX5 1GB, OXON, ENGLAND</t>
  </si>
  <si>
    <t>0273-1177</t>
  </si>
  <si>
    <t>1879-1948</t>
  </si>
  <si>
    <t>ADV SPACE RES</t>
  </si>
  <si>
    <t>Adv. Space Res.</t>
  </si>
  <si>
    <t>JUL 1</t>
  </si>
  <si>
    <t>10.1016/j.asr.2022.04.024</t>
  </si>
  <si>
    <t>Engineering, Aerospace; Astronomy &amp; Astrophysics; Geosciences, Multidisciplinary; Meteorology &amp; Atmospheric Sciences</t>
  </si>
  <si>
    <t>Engineering; Astronomy &amp; Astrophysics; Geology; Meteorology &amp; Atmospheric Sciences</t>
  </si>
  <si>
    <t>2B1PQ</t>
  </si>
  <si>
    <t>WOS:000809966800001</t>
  </si>
  <si>
    <t>Feng, JD; Zhu, YC; Zhang, T; Zhang, YB</t>
  </si>
  <si>
    <t>Feng, Jiandi; Zhu, Yuncong; Zhang, Ting; Zhang, Yibin</t>
  </si>
  <si>
    <t>Solar activity influence on the temporal and spatial variations of the Arctic and Antarctic ionosphere</t>
  </si>
  <si>
    <t>Polar ionosphere; Saturation effect; Hysteresis effect; 10.7cm solar radiation flux; Total electron content</t>
  </si>
  <si>
    <t>ELECTRON-DENSITY; POLAR-CAP; SYSTEM; GPS</t>
  </si>
  <si>
    <t>Based on Total Electron Content (TEC) data in polar areas derived from Global Ionospheric Maps (GIMs) and observations of single GPS stations from 2000 to 2020, combined with solar activity parameters F10.7, the influence of solar activity on the polar ionosphere is studied. Firstly, the spatiotemporal variation characteristics of the Arctic and Antarctic ionosphere TEC are analyzed in different solar activity intensities. Secondly, the correlations between polar TEC and F10.7 are studied in different solar activity stages. Thirdly, the variations of TEC during the polar day and polar night in year of very low solar activity (2008) are analyzed. The results show the monthly average value of the polar ionospheric TEC reaches its maximum in May and June under the influence of solar activity. However, during the peak year of solar activity, the monthly average peak value of TEC may arrive early, reaching its maximum value in March or April. The dependence of polar TEC on the solar activity varies at different periods of solar activity (rising or declining period). The correlation between polar TEC and F(10.7 )is higher in the declining period of solar activity than in the rising period of solar activity. During the rising period of solar activity, the TEC at different times under the same solar activity intensity is also different, and the low value of TEC has a lower correlation with solar activity. The ionosphere at the Arctic and Antarctic is quiet during polar night in 2008, and ionization patch appears in the Arctic. During the polar days, the ionospheric peaks of the Arctic and Antarctic occur in the areas with a high solar irradiation altitude angle. However, the ionospheric peak region in the Antarctic area from 10:00 UT to 20:00 UT does not follow this rule. (C) 2022 COSPAR. Published by Elsevier B.V. All rights reserved.</t>
  </si>
  <si>
    <t>[Feng, Jiandi; Zhu, Yuncong; Zhang, Ting; Zhang, Yibin] Shandong Univ Technol, Sch Civil &amp; Architectural Engn, Zibo 255000, Peoples R China; [Feng, Jiandi] Chinese Acad Sci, State Key Lab Space Weather, Beijing 100190, Peoples R China</t>
  </si>
  <si>
    <t>Shandong University of Technology; Chinese Academy of Sciences</t>
  </si>
  <si>
    <t>Zhang, T (corresponding author), Shandong Univ Technol, Sch Civil &amp; Architectural Engn, Zibo 255000, Peoples R China.</t>
  </si>
  <si>
    <t>ztsdut@163.com</t>
  </si>
  <si>
    <t>Zhang, Ting/AHE-0691-2022</t>
  </si>
  <si>
    <t>Zhang, Ting/0000-0002-1386-8795; Feng, Jiandi/0000-0002-0054-6690</t>
  </si>
  <si>
    <t>Ionospheric Research Laboratory of Hacettepe University, Turkey [41804032]; National Natural Science Foundation of China [41804032]; Specialised Research Fund for State Key Laboratories</t>
  </si>
  <si>
    <t>Ionospheric Research Laboratory of Hacettepe University, Turkey; National Natural Science Foundation of China(National Natural Science Foundation of China (NSFC)); Specialised Research Fund for State Key Laboratories</t>
  </si>
  <si>
    <t>We thank the Ionospheric Research Laboratory of Hacettepe University, Turkey for the Reg-Est algorithm. We are grateful to the Center for Orbit Determination in Europe of the University of Bern for providing the GIM product. We also thank the World Data Center SILSO, Royal Observatory of Belgium, Brussels for providing the F10.7 data. This work is supported in part by the National Natural Science Foundation of China under Grant No. 41804032 and Project Supported by the Specialised Research Fund for State Key Laboratories.</t>
  </si>
  <si>
    <t>10.1016/j.asr.2022.04.028</t>
  </si>
  <si>
    <t>WOS:000809966800003</t>
  </si>
  <si>
    <t>McCarthy, A; Falloon, TJ; Danyushevsky, LV; Sauermilch, I; Patriat, M; Jean, MM; Maas, R; Woodhead, JD; Yogodzinski, GM</t>
  </si>
  <si>
    <t>McCarthy, A.; Falloon, T. J.; Danyushevsky, L. V.; Sauermilch, I.; Patriat, M.; Jean, M. M.; Maas, R.; Woodhead, J. D.; Yogodzinski, G. M.</t>
  </si>
  <si>
    <t>Implications of high-Mg# adakitic magmatism at Hunter Ridge for arc magmatism of the Fiji - Vanuatu region</t>
  </si>
  <si>
    <t>EARTH AND PLANETARY SCIENCE LETTERS</t>
  </si>
  <si>
    <t>high-Mg# magmatism; adakitic magmatism; Vanuatu arc; Hunter Ridge; slab melting</t>
  </si>
  <si>
    <t>TRACE-ELEMENT SIGNATURE; VOLCANIC ARCS; OCEANIC-CRUST; ISLAND GROUP; SUBDUCTION; PACIFIC; LITHOSPHERE; CONSTRAINTS; SEDIMENT; MELTS</t>
  </si>
  <si>
    <t>The mostly submarine Hunter Ridge, located in the SW Pacific records a ~12 Myr to present history of magmatism related to the opening of the North Fiji Basin and subduction of oceanic lithosphere of the South Fiji Basin. Although the Hunter Ridge is probably composed primarily of an older Vitiazrelated basement, young volcanic features are present from Matthew Island to Kadavu Island. Some dredged volcanic rocks from these features have low-FeO and high-Mg# affinities, ranging from picrites to high-Mg# andesites and dacites. Elevated Sr (500 - 3400 ppm) and Sr/Y (50 - 240) coupled to fractionated (adakitic) rare-earth element patterns (La/Yb = 5 - 40, Gd/Yb = 1.5 - 5.7) indicate a garnet signature derived from the melting of eclogite-facies basalt. Pacific-type MORB Nd-Hf-Pb isotopic ratios of these rocks contrast with the Indian-type MORB nature of the underlying North Fiji mantle but match closely the subducted South Fiji ocean crust. Low values of Th/La (&lt; 0.15), Ba/La (&lt; 22), unradiogenic Sr-87/Sr-86 (0.7026 - 0.7032) and Pacific-MORB Nd-Hf-Pb isotopic ratios indicate that sediment is a minor contributor to the source. The isotopic data clearly connect Hunter Ridge arc rocks of all compositions (picrites, low-to medium K2O arc lavas, basalts, high-Mg# andesites and dacites) to source components predominantly within the subducting plate. Unradiogenic Sr-87/Sr-86 (0.7026 - 0.7029) at high Sr abundances (700 - 1400 ppm) are common in hot-slab localities and are interpreted to reflect flux melting of MORB under eclogite-facies conditions driven by dehydration in the underlying mantle of the subducting plate. Such an adakitic slab-melt component can be detected in more common (nonadakitic) arc rocks along the Hunter Ridge and Vanuatu arc as well. Evidence of slab melting along the western Pacific indicates that melting of subducting oceanic lithosphere is likely a common occurrence at convergent margins. (C) 2022 The Author(s). Published by Elsevier B.V.</t>
  </si>
  <si>
    <t>[McCarthy, A.; Sauermilch, I.] Univ Tasmania, Inst Marine &amp; Antarctic Studies, Hobart, Tas, Australia; [McCarthy, A.] Swiss Fed Inst Technol, Inst Geochem &amp; Petrol, Zurich, Switzerland; [Falloon, T. J.; Danyushevsky, L. V.] Univ Tasmania, Sch Nat Sci, CODES &amp; Earth Sci, Hobart, Tas, Australia; [Sauermilch, I.] Univ Utrecht, Fac Geosci, Dept Earth Sci, Utrecht, Netherlands; [Patriat, M.] Univ Brest, Geoocean, CNRS, UMR6538,Ifremer, F-29280 Plouzane, France; [Jean, M. M.] Western Colorado Univ, Dept Geol, 1 Western Way,Hurst Hall 128, Gunnison, CO 81231 USA; [Jean, M. M.] Ohio Univ, 1570 Granville Pike, Lancaster, OH 43130 USA; [Maas, R.; Woodhead, J. D.] Univ Melbourne, Sch Earth Sci, Melbourne, Vic 3010, Australia; [Yogodzinski, G. M.] Univ South Carolina, Sch Earth Ocean &amp; Environm, Columbia, SC USA</t>
  </si>
  <si>
    <t>University of Tasmania; Swiss Federal Institutes of Technology Domain; ETH Zurich; University of Tasmania; Utrecht University; Universite de Bretagne Occidentale; Ifremer; Centre National de la Recherche Scientifique (CNRS); CNRS - National Institute for Earth Sciences &amp; Astronomy (INSU); University System of Ohio; Ohio University; University of Melbourne; Melbourne Bioinformatics; University of South Carolina System; University of South Carolina Columbia</t>
  </si>
  <si>
    <t>McCarthy, A (corresponding author), Univ Tasmania, Inst Marine &amp; Antarctic Studies, Hobart, Tas, Australia.</t>
  </si>
  <si>
    <t>anders.mccarthy@erdw.ethz.ch</t>
  </si>
  <si>
    <t>Woodhead, Jon/C-2227-2012; Jean, Marlon/HGV-1474-2022; Danyushevsky, Leonid/C-5346-2013; McCarthy, Anders/J-3619-2017</t>
  </si>
  <si>
    <t>Danyushevsky, Leonid/0000-0003-4050-6850; McCarthy, Anders/0000-0002-8018-2048; Patriat, Martin/0000-0002-3584-7952; Yogodzinski, Gene/0000-0003-4166-3321</t>
  </si>
  <si>
    <t>Marine National Facility through voyages [SS10/2004, SS06/2008, SS03/2009]; Australian Research Council through Discovery Projects [LE0347677, LE0561245]; Centre of Excellence funding [LE0989828]; LIEF grants; ARC Discovery Project [SS10/2004, SS06/2008, SS03/2009, EAR0230145, OCE0242585]; SNFS; ERC [EAR0509922]; Alexander von Humboldt Research Fellowship [OCE0728077]; U.S. National Science Foundation; [DP0342543]; [DP180102280]; [CE0561595]; [LE100100107]; [LE160100032]; [PZ00P2_193471]; [802835]; Australian Research Council [LE0989828, LE0561245, LE0347677] Funding Source: Australian Research Council</t>
  </si>
  <si>
    <t>Marine National Facility through voyages; Australian Research Council through Discovery Projects(Australian Research Council); Centre of Excellence funding; LIEF grants; ARC Discovery Project(Australian Research Council); SNFS; ERC(European Research Council (ERC)); Alexander von Humboldt Research Fellowship(Alexander von Humboldt Foundation); U.S. National Science Foundation(National Science Foundation (NSF)); ; ; ; ; ; ; ; Australian Research Council(Australian Research Council)</t>
  </si>
  <si>
    <t>The authors are grateful for the support of Marine National Facility through voyages SS10/2004; SS06/2008 and SS03/2009; and Australian Research Council through Discovery Projects (DP0342543 and DP180102280) : Centre of Excellence funding (CE0561595) : LIEF grants (LE0347677, LE0561245, LE0989828, LE100100107, LE160100032) . AM, IS acknowledge support from ARC Discovery Project DP180102280. AM acknowledges support of SNFS grant PZ00P2_193471. IS acknowledges support from ERC Starting Grant OceaNice #802835. Additional support was provided by the Alexander von Humboldt Research Fellowship to MMJ. Support from the U.S. National Science Foundation (EAR0230145, OCE0242585, EAR0509922, OCE0728077) is also gratefully acknowledged. Support from staff at the Central Science Laboratory and CODES Analytical Laboratories at UTAS in collecting the data presented in this study is greatly acknowledged. LD and TF thank the captains and crews of the RV Southern Surveyor for the dedicated work and support during the three voyages. We are grateful for the editorial handling by R. Dasgupta and an anonymous re-viewer which helped to strengthen this manuscript.</t>
  </si>
  <si>
    <t>0012-821X</t>
  </si>
  <si>
    <t>1385-013X</t>
  </si>
  <si>
    <t>EARTH PLANET SC LETT</t>
  </si>
  <si>
    <t>Earth Planet. Sci. Lett.</t>
  </si>
  <si>
    <t>10.1016/j.epsl.2022.117592</t>
  </si>
  <si>
    <t>1Y6ED</t>
  </si>
  <si>
    <t>Green Submitted, Green Published, hybrid, Green Accepted</t>
  </si>
  <si>
    <t>WOS:000808234800002</t>
  </si>
  <si>
    <t>Hill, GJ; Wannamaker, PE; Maris, V; Stodt, JA; Kordy, M; Unsworth, MJ; Bedrosian, PA; Wallin, EL; Uhlmann, DF; Ogawa, Y; Kyle, P</t>
  </si>
  <si>
    <t>Hill, G. J.; Wannamaker, P. E.; Maris, V.; Stodt, J. A.; Kordy, M.; Unsworth, M. J.; Bedrosian, P. A.; Wallin, E. L.; Uhlmann, D. F.; Ogawa, Y.; Kyle, P.</t>
  </si>
  <si>
    <t>Trans-crustal structural control of CO2-rich extensional magmatic systems revealed at Mount Erebus Antarctica</t>
  </si>
  <si>
    <t>ROSS ISLAND; SEISMIC TOMOGRAPHY; ERUPTIVE HISTORY; VOLCANO; EVOLUTION; BENEATH; MANTLE; BASIN; WATER; DEEP</t>
  </si>
  <si>
    <t>Erebus volcano, Antarctica, with its persistent phonolite lava lake, is a classic example of an evolved, CO2-rich rift volcano. Seismic studies provide limited images of the magmatic system. Here we show using magnetotelluric data that a steep, melt-related conduit of low electrical resistivity originating in the upper mantle undergoes pronounced lateral re-orientation in the deep crust before reaching shallower magmatic storage and the summit lava lake. The lateral turn represents a structural fault-valve controlling episodic flow of magma and CO2 vapour, which replenish and heat the high level phonolite differentiation zone. This magmatic valve lies within an inferred, east-west structural trend forming part of an accommodation zone across the southern termination of the Terror Rift, providing a dilatant magma pathway. Unlike H2O-rich subduction arc volcanoes, CO2-dominated Erebus geophysically shows continuous magmatic structure to shallow crustal depths of &lt; 1 km, as the melt does not experience decompression-related volatile supersaturation and viscous stalling. Episodic magma eruption and CO2 release to the atmosphere are controlled where two structural trends meet to cause dilatancy.</t>
  </si>
  <si>
    <t>[Hill, G. J.] Univ Canterbury, Gateway Antarctica, Christchurch, New Zealand; [Hill, G. J.] Czech Acad Sci, Inst Geophys, Prague, Czech Republic; [Wannamaker, P. E.; Maris, V.; Kordy, M.] Univ Utah, Energy &amp; Geosci Inst, Salt Lake City, UT USA; [Stodt, J. A.] Numer Resources LLC, Salt Lake City, UT USA; [Unsworth, M. J.] Univ Alberta, Dept Phys, Edmonton, AB, Canada; [Bedrosian, P. A.] United States Geol Survey, Denver, CO USA; [Wallin, E. L.] Univ Hawaii Manoa, Hawaii Inst Geophys &amp; Planetol, Honolulu, HI USA; [Uhlmann, D. F.] First Light Mt Guides, Chamonix Mt Blanc, France; [Uhlmann, D. F.] Univ Lausanne, Dept Earth Sci, Lausanne, Switzerland; [Ogawa, Y.] Tokyo Inst Technol, Volcan Fluid Res Ctr, Tokyo, Tokyo, Japan; [Kyle, P.] New Mexico Inst Min &amp; Technol, Socorro, NM USA</t>
  </si>
  <si>
    <t>University of Canterbury; Czech Academy of Sciences; Institute of Geophysics of the Czech Academy of Sciences; Utah System of Higher Education; University of Utah; University of Alberta; United States Department of the Interior; United States Geological Survey; University of Hawaii System; University of Hawaii Manoa; University of Lausanne; Tokyo Institute of Technology; New Mexico Institute of Mining Technology</t>
  </si>
  <si>
    <t>Hill, GJ (corresponding author), Univ Canterbury, Gateway Antarctica, Christchurch, New Zealand.;Hill, GJ (corresponding author), Czech Acad Sci, Inst Geophys, Prague, Czech Republic.</t>
  </si>
  <si>
    <t>gjhill@ig.cas.cz</t>
  </si>
  <si>
    <t>Unsworth, Martyn J/A-6395-2012; Ogawa, Yasuo/B-4094-2009</t>
  </si>
  <si>
    <t>Ogawa, Yasuo/0000-0002-6663-401X; Bedrosian, Paul/0000-0002-6786-1038; Hill, Graham/0000-0003-0058-3173; Wallin, Erin/0000-0002-3355-3010; uhlmann, daniel/0000-0001-6093-4831</t>
  </si>
  <si>
    <t>U.S. Government; New Zealand Royal Society Marsden award [ASL-1301]; Lumina Quaeruntur Fellowship [LQ100121901]; US National Science Foundation Office of Polar Programs award [AES-1443522]; US Department of Energy Geothermal Technologies Office [DE-EE0002750]; Natural Science and Engineering Research Council Discovery Grant; US National Science Foundation Office of Polar Programs [ANT1141534, PLR1644234]; Grants-in-Aid for Scientific Research [20H01992] Funding Source: KAKEN</t>
  </si>
  <si>
    <t>U.S. Government; New Zealand Royal Society Marsden award; Lumina Quaeruntur Fellowship; US National Science Foundation Office of Polar Programs award(National Science Foundation (NSF)); US Department of Energy Geothermal Technologies Office(United States Department of Energy (DOE)); Natural Science and Engineering Research Council Discovery Grant(Natural Sciences and Engineering Research Council of Canada (NSERC)); US National Science Foundation Office of Polar Programs(National Science Foundation (NSF)); Grants-in-Aid for Scientific Research(Ministry of Education, Culture, Sports, Science and Technology, Japan (MEXT)Japan Society for the Promotion of ScienceGrants-in-Aid for Scientific Research (KAKENHI))</t>
  </si>
  <si>
    <t>Logistical support was provided by Antarctic New Zealand and the United States Antarctic Program including flight support from Southern Lakes Helicopters-S. Clarke, M. Deaker, M. Hayes, A. Hefford, J. Laing, S. Mullally; and Petroleum Helicopters Inc.-H. Blake, K. Cox, S. Firth, J. Heaslet, M. Jansen, J. Radford, R. Skoreki, &amp; B. Wilson. Mountaineering support from T. Arnold, P. Biskind, R. Bottomley, A. Christophers, R. Hunter, M. Kingsbury, &amp; B. Nicholson; and field assistance from K. Allen, E. Buys, M. Cloutier, K. Grenfell, B. Goodsell, A. Hindle, C. Lodge, &amp; S. Parker is appreciated. Base maps and digital elevation models were provided by M. Cloutier at the Polar Geospatial Center, University of Minnesota. Discussions with S. Bannister and H. Bibby of GNS Science improved the clarity of the manuscript. Alternate color map versions of Figs. 2-4 are provided as Supplementary Figs. S24-S26. The authors suggest the use of the Visolve (https://www.ryobi.co.jp/products/visolve/en/) online utility by readers interested in alternate color scales for other figures. Any use of trade, firm, or product names is for descriptive purposes and does not imply endorsement by the U.S. Government. New Zealand Royal Society Marsden award: ASL-1301 to G.H. Lumina Quaeruntur Fellowship: LQ100121901 to G.H. US National Science Foundation Office of Polar Programs award: AES-1443522 to P.W. US Department of Energy Geothermal Technologies Office contract: DE-EE0002750 to P.W. Natural Science and Engineering Research Council Discovery Grant to M.U. US National Science Foundation Office of Polar Programs awards ANT1141534, PLR1644234 to P.K.</t>
  </si>
  <si>
    <t>MAY 30</t>
  </si>
  <si>
    <t>10.1038/s41467-022-30627-7</t>
  </si>
  <si>
    <t>1U8HU</t>
  </si>
  <si>
    <t>gold, Green Published, Green Submitted</t>
  </si>
  <si>
    <t>WOS:000805647600024</t>
  </si>
  <si>
    <t>Atalah, J; Blamey, JM</t>
  </si>
  <si>
    <t>Atalah, Joaquin; Blamey, Jenny M.</t>
  </si>
  <si>
    <t>Isolation and characterization of a novel laccase from an Antarctic thermophilic Geobacillus</t>
  </si>
  <si>
    <t>biotechnology; enzymes; Geobacillus; laccase; thermophiles</t>
  </si>
  <si>
    <t>Laccases are enzymes from the multi-copper oxidase family that have gathered a lot of attention due to their wide range of substrates, their interspecies variability and their still elusive mechanism of action. The presence of four copper atoms in their active site makes them an interesting model for the study of the relationship between the structure and function of proteins. It is possible to find them in fungi, plants and prokaryotes. Bacterial laccases display many advantages over fungal laccases in terms of their application. They have, in general, a greater thermal stability and a different pH profile, which contributes to widening their field of possible application. In the present work, a novel laccase from an Antarctic microorganism, Geobacillus sp. ID17, is purified and characterized. This is the first Antarctic bacterial laccase to be functionally described. It was found to be active at neutral pH and to have greater activity at 55 degrees C. Its catalytic constants are in the order of other bacterial laccases. Screening for different potential substrates was also performed, showing that this novel laccase is more selective than commercial laccases. This enzyme could find potential application in the generation of gallic acid polymers or in organic synthesis in contexts where meticulous substrate discrimination is needed.</t>
  </si>
  <si>
    <t>[Atalah, Joaquin; Blamey, Jenny M.] Fdn Biociencia, Jose Domingo Canos 2280, Santiago, Chile; [Atalah, Joaquin] Univ Chile, Fac Ciencias Quim, Santos Dumont 964, Santiago, Chile</t>
  </si>
  <si>
    <t>Universidad de Chile</t>
  </si>
  <si>
    <t>Atalah, J (corresponding author), Fdn Biociencia, Jose Domingo Canos 2280, Santiago, Chile.;Atalah, J (corresponding author), Univ Chile, Fac Ciencias Quim, Santos Dumont 964, Santiago, Chile.</t>
  </si>
  <si>
    <t>jatalah@bioscience.cl</t>
  </si>
  <si>
    <t>Atalah, Joaquin/0000-0002-8057-1035</t>
  </si>
  <si>
    <t>Instituto Antartico Chileno (INACH)</t>
  </si>
  <si>
    <t>We would like to thank the Instituto Antartico Chileno (INACH) for its contribution to the funding of this research.</t>
  </si>
  <si>
    <t>PII S0954102022000074</t>
  </si>
  <si>
    <t>10.1017/S0954102022000074</t>
  </si>
  <si>
    <t>WOS:000802781900001</t>
  </si>
  <si>
    <t>Dias, VL; Battaglene, SC; Cobcroft, JM; Goemann, K; Nowak, BF</t>
  </si>
  <si>
    <t>Dias, Valera L.; Battaglene, Stephen C.; Cobcroft, Jennifer M.; Goemann, Karsten; Nowak, Barbara F.</t>
  </si>
  <si>
    <t>Urinary calculi in larvae of striped trumpeter, Latris lineata</t>
  </si>
  <si>
    <t>JOURNAL OF FISH DISEASES</t>
  </si>
  <si>
    <t>calculi; Latris lineata striped trumpeter; marine fish larvae; urinary bladder</t>
  </si>
  <si>
    <t>DENTEX-DENTEX L.; AUSTRALIAN SNAPPER; PAGRUS-AURATUS; GROWTH; SURVIVAL; CULTURE; NEPHROCALCINOSIS; TEMPERATURE; SALINITY; ROTIFERS</t>
  </si>
  <si>
    <t>Urinary calculi are observed in some cultured marine fish larvae and may negatively impact larval health and survival. This study assessed urinary calculi in striped trumpeter Latris lineata larvae from hatching to 28 days post-hatching (dph). The prevalence of urinary calculi was variable over time and ranged from 15% to 50%, whereas the average size of calculi increased with larval age. Urinary calculi were semi-translucent, light cream to white colour with irregular morphology and a uniform internal structure. The calculi resulted in pressure atrophy causing a distended epithelium of the urinary bladder of fish with calculi. The calculi were predominantly formed of calcium hydrogen phosphate (CaHPO4). Routine assessment of the prevalence of urinary calculi in marine fish larvae is recommended, along with other parameters, to monitor larval quality and inform hatchery management actions.</t>
  </si>
  <si>
    <t>[Dias, Valera L.] Eduardo Mondiane Univ, Dept Biol Sci, POB 257, Maputo 3453, Mozambique; [Battaglene, Stephen C.; Cobcroft, Jennifer M.] Univ Tasmania, Inst Marine &amp; Antarctic Studies, Hobart, Tas, Australia; [Goemann, Karsten] Univ Tasmania, Cent Sci Lab, Hobart, Tas, Australia; [Nowak, Barbara F.] Univ Tasmania, Inst Marine &amp; Antarctic Studies, Launceston, Tas, Australia</t>
  </si>
  <si>
    <t>Eduardo Mondlane University; University of Tasmania; University of Tasmania; University of Tasmania</t>
  </si>
  <si>
    <t>Dias, VL (corresponding author), Eduardo Mondiane Univ, Dept Biol Sci, POB 257, Maputo 3453, Mozambique.</t>
  </si>
  <si>
    <t>valeracea@gmail.com</t>
  </si>
  <si>
    <t>Nowak, Barbara/J-7261-2014; Battaglene, Stephen C/H-9683-2014; Goemann, Karsten/J-7812-2014</t>
  </si>
  <si>
    <t>Goemann, Karsten/0000-0002-8136-3617</t>
  </si>
  <si>
    <t>CRC's Commonwealth grant; Fisheries Research and Development Corporation; University of Tasmania; Tasmanian Government</t>
  </si>
  <si>
    <t>The research formed part of the research program of the Aquafin CRC and employed funds invested out of the CRC's Commonwealth grant and by the Fisheries Research and Development Corporation, University of Tasmania and the Tasmanian Government and other participants of the Aquafin CRC. Experimentation was conducted with the approval of the University of Tasmania Animal Ethics Committee. The authors thank the hatchery team for the striped trumpeter project including Anna Overweter, Ross Goldsmid, Melanie Evans, Bill Wilkinson, Tom Litjens and Allan Beech. Pollyanna Hilder and Reham Negm, students at TAFI, also assisted with live feed production, larval rearing and sampling. The authors are grateful to Rick van den Enden for preparing the; samples for the electron microprobe analyses.</t>
  </si>
  <si>
    <t>0140-7775</t>
  </si>
  <si>
    <t>1365-2761</t>
  </si>
  <si>
    <t>J FISH DIS</t>
  </si>
  <si>
    <t>J. Fish Dis.</t>
  </si>
  <si>
    <t>10.1111/jfd.13660</t>
  </si>
  <si>
    <t>Fisheries; Marine &amp; Freshwater Biology; Veterinary Sciences</t>
  </si>
  <si>
    <t>3Q3ST</t>
  </si>
  <si>
    <t>WOS:000802784000001</t>
  </si>
  <si>
    <t>Oetting, A; Smith, EC; Arndt, JE; Dorschel, B; Drews, R; Ehlers, TA; Gaedicke, C; Hofstede, C; Klages, JP; Kuhn, G; Lambrecht, A; Läufer, A; Mayer, C; Tiedemann, R; Wilhelms, F; Eisen, O</t>
  </si>
  <si>
    <t>Oetting, Astrid; Smith, Emma C.; Arndt, Jan Erik; Dorschel, Boris; Drews, Reinhard; Ehlers, Todd A.; Gaedicke, Christoph; Hofstede, Coen; Klages, Johann P.; Kuhn, Gerhard; Lambrecht, Astrid; Laufer, Andreas; Mayer, Christoph; Tiedemann, Ralf; Wilhelms, Frank; Eisen, Olaf</t>
  </si>
  <si>
    <t>Geomorphology and shallow sub-sea-floor structures underneath the Ekstrom Ice Shelf, Antarctica</t>
  </si>
  <si>
    <t>PINE ISLAND GLACIER; SHEET DYNAMICS; BENEATH; RETREAT; STREAM; CONSTRAINTS; LINEATIONS; STABILITY; LANDFORMS; VIBROSEIS</t>
  </si>
  <si>
    <t>The Ekstrom Ice Shelf is one of numerous small ice shelves that fringe the coastline of western Dronning Maud Land, East Antarctica. Reconstructions of past ice-sheet extent in this area are poorly constrained, due to a lack of geomorphological evidence. Here, we present a compilation of geophysical surveys in front of and beneath the Ekstrom Ice Shelf, to identify and interpret evidence of past ice-sheet flow, extent and retreat. The sea floor beneath the Ekstrom Ice Shelf is dominated by an incised trough, which extends from the modern-day grounding line onto the continental shelf. Our surveys show that mega-scale glacial lineations cover most of the mouth of this trough, terminating 11 km away from the continental shelf break, indicating the most recent minimal extent of grounded ice in this region. Beneath the front - 30 km of the ice shelf measured from the ice shelf edge towards the inland direction, the sea floor is characterised by an acoustically transparent sedimentary unit, up to 45 m thick. This is likely composed of subglacial till, further corroborating the presence of past grounded ice cover. Further inland, the sea floor becomes rougher, interpreted as a transition from subglacial tills to a crystalline bedrock, corresponding to the outcrop of the volcanic Explora Wedge at the sea floor. Ice retreat in this region appears to have happened rapidly in the centre of the incised trough, evidenced by a lack of overprinting of the lineations at the trough mouth. At the margins of the trough uniformly spaced recessional moraines suggest ice retreated more gradually. We estimate the palaeoice thickness at the calving front around the Last Glacial Maximum to have been at least 305 to 320 m, based on the depth of iceberg ploughmarks within the trough and sea level reconstructions. Given the similarity of the numerous small ice shelves along the Dronning Maud Land coast, these findings are likely representative for other ice shelves in this region and provide essential boundary conditions for palaeo ice-sheet models in this severely understudied region.</t>
  </si>
  <si>
    <t>[Oetting, Astrid; Smith, Emma C.; Arndt, Jan Erik; Dorschel, Boris; Hofstede, Coen; Klages, Johann P.; Kuhn, Gerhard; Tiedemann, Ralf; Wilhelms, Frank; Eisen, Olaf] Alfred Wegener Inst, Helmholtz Ctr Polar &amp; Marine Res, Geosci, Bremerhaven, Germany; [Drews, Reinhard; Ehlers, Todd A.] Univ Tubingen, Dept Geosci, Tubingen, Germany; [Gaedicke, Christoph; Laufer, Andreas] Fed Inst Geosci &amp; Nat Resources, BGR, Hannover, NH, Germany; [Lambrecht, Astrid; Mayer, Christoph] Bavarian Acad Sci &amp; Human, Geodesy &amp; Glaciol, Munich, Germany; [Tiedemann, Ralf; Eisen, Olaf] Univ Bremen, Dept Geosci, Bremen, Germany; [Wilhelms, Frank] Univ Gottingen, Dept Geosci, Gottingen, Germany; [Oetting, Astrid] Westfal Wilhelms Univ Munster, Inst Planetol, Munster, Germany; [Smith, Emma C.] Univ Leeds, Sch Earth &amp; Environm, Leeds, W Yorkshire, England; [Arndt, Jan Erik] Univ Concepcion, Concepcion, Chile</t>
  </si>
  <si>
    <t>Helmholtz Association; Alfred Wegener Institute, Helmholtz Centre for Polar &amp; Marine Research; Eberhard Karls University of Tubingen; University of Bremen; University of Gottingen; University of Munster; University of Leeds; Universidad de Concepcion</t>
  </si>
  <si>
    <t>Smith, EC (corresponding author), Alfred Wegener Inst, Helmholtz Ctr Polar &amp; Marine Res, Geosci, Bremerhaven, Germany.</t>
  </si>
  <si>
    <t>e.c.smith1@leeds.ac.uk</t>
  </si>
  <si>
    <t>Smith, Emma/AAO-5329-2021; Hofstede, Coen/JXM-4966-2024; Drews, reinhard/AAP-4134-2021</t>
  </si>
  <si>
    <t>Drews, reinhard/0000-0002-2328-294X; Kuhn, Gerhard/0000-0001-6069-7485; Dorschel, Boris/0000-0002-3495-5927; Smith, Emma/0000-0002-8672-8259; Klages, Johann Philipp/0000-0003-0968-1183; Ehlers, Todd/0000-0001-9436-0303; Arndt, Jan Erik/0000-0002-9413-1612</t>
  </si>
  <si>
    <t>AWI-BGR Sub-EIS-Obs project; DFG COST-S2S project [EI672/10-1]; Emmy Noether Grant of the Deutsche Forschungsgemeinschft [DR 822/3-1]</t>
  </si>
  <si>
    <t>AWI-BGR Sub-EIS-Obs project; DFG COST-S2S project(German Research Foundation (DFG)); Emmy Noether Grant of the Deutsche Forschungsgemeinschft(German Research Foundation (DFG))</t>
  </si>
  <si>
    <t>Fieldwork and data processing by ECS since 2016 were funded through the AWI-BGR Sub-EIS-Obs project. ECS was additionally partly funded through the DFG COST-S2S project grant EI672/10-1 in the framework of the priority program Antarctic Research with comparative investigations in Arctic ice areas. Fieldwork was supported by the large-scale research infrastructure Neumayer III and Polarstern (Alfred-Wegener-Institut Helmholtz-Zentrum fur Polar-und Meeresforschung, 2016, 2017). RD was supported by an Emmy Noether Grant of the Deutsche Forschungsgemeinschft (DR 822/3-1).</t>
  </si>
  <si>
    <t>10.5194/tc-16-2051-2022</t>
  </si>
  <si>
    <t>1P7BZ</t>
  </si>
  <si>
    <t>Green Accepted, Green Submitted, gold</t>
  </si>
  <si>
    <t>WOS:000802161300001</t>
  </si>
  <si>
    <t>Aguilar, JA; Allison, P; Beatty, JJ; Besson, D; Bishop, A; Botner, O; Bouma, S; Buitink, S; Cataldo, M; Clark, BA; Curtis-Ginsberg, Z; Connolly, A; Dasgupta, P; de Kockere, S; de Vries, KD; Deaconu, C; DuVernois, MA; Glaser, C; Hallgren, A; Hallmann, S; Hanson, JC; Hendricks, B; Hornhuber, C; Hughes, K; Karle, A; Kelley, JL; Kravchenko, I; Mulrey, K; Nelles, A; Novikov, A; Nozdrina, A; Oberla, E; Oeyen, B; Pan, Y; Pandya, H; Plaisier, I; Punsuebsay, N; Pyras, L; Ryckbosch, D; Scholten, O; Seckel, D; Seikh, MFH; Smith, D; Southall, D; Torres, J; Toscano, S; Tosi, D; Van den Broeck, DJ; van Eijndhoven, N; Vieregg, AG; Welling, C; Williams, DR; Wissel, S; Young, R; Zink, A; Krebs, R; Lahmann, R; Latifll, U; Mammo, J; Meyers, ZS; Michaels, K</t>
  </si>
  <si>
    <t>Aguilar, J. A.; Allison, P.; Beatty, J. J.; Besson, D.; Bishop, A.; Botner, O.; Bouma, S.; Buitink, S.; Cataldo, M.; Clark, B. A.; Curtis-Ginsberg, Z.; Connolly, A.; Dasgupta, P.; de Kockere, S.; de Vries, K. D.; Deaconu, C.; DuVernois, M. A.; Glaser, C.; Hallgren, A.; Hallmann, S.; Hanson, J. C.; Hendricks, B.; Hornhuber, C.; Hughes, K.; Karle, A.; Kelley, J. L.; Kravchenko, I; Mulrey, K.; Nelles, A.; Novikov, A.; Nozdrina, A.; Oberla, E.; Oeyen, B.; Pan, Y.; Pandya, H.; Plaisier, I; Punsuebsay, N.; Pyras, L.; Ryckbosch, D.; Scholten, O.; Seckel, D.; Seikh, M. F. H.; Smith, D.; Southall, D.; Torres, J.; Toscano, S.; Tosi, D.; Van den Broeck, D. J.; van Eijndhoven, N.; Vieregg, A. G.; Welling, C.; Williams, D. R.; Wissel, S.; Young, R.; Zink, A.; Krebs, R.; Lahmann, R.; Latifll, U.; Mammo, J.; Meyers, Z. S.; Michaels, K.</t>
  </si>
  <si>
    <t>In situ, broadband measurement of the radio frequency attenuation length at Summit Station, Greenland</t>
  </si>
  <si>
    <t>Ground-penetrating radar; ice physics; ice thickness measurements; radio-echo sounding</t>
  </si>
  <si>
    <t>ROSS ICE SHELF; ANTARCTICA; PERFORMANCE; ENERGY; CORE; ZONE</t>
  </si>
  <si>
    <t>Over the last 25 years, radiowave detection of neutrino-generated signals, using cold polar ice as the neutrino target, has emerged as perhaps the most promising technique for detection of extragalactic ultra-high energy neutrinos (corresponding to neutrino energies in excess of 0.01 Joules, or 10(17) electron volts). During the summer of 2021 and in tandem with the initial deployment of the Radio Neutrino Observatory in Greenland (RNO-G), we conducted radioglaciological measurements at Summit Station, Greenland to refine our understanding of the ice target. We report the result of one such measurement, the radio-frequency electric field attenuation length L-alpha. We find an approximately linear dependence of L-alpha on frequency with the best fit of the average field attenuation for the upper 1500 m of ice: &lt; L-alpha &gt; = ((1154 +/- 121) - (0.81 +/- 0.14) (v/MHz)) m for frequencies v is an element of [145 - 3501 MHz.</t>
  </si>
  <si>
    <t>[Aguilar, J. A.; Dasgupta, P.; Toscano, S.] Univ Libre Bruxelles, Sci Fac CP230, B-1050 Brussels, Belgium; [Allison, P.; Beatty, J. J.; Connolly, A.; Torres, J.] Ohio State Univ, Ctr Cosmol &amp; AstroParticle Phys, Dept Phys, Columbus, OH 43210 USA; [Besson, D.; Hornhuber, C.; Novikov, A.; Nozdrina, A.; Seikh, M. F. H.; Young, R.] Univ Kansas, Dept Phys &amp; Astron, Lawrence, KS 66045 USA; [Besson, D.] Natl Nucl Res Univ MEPhI, Kashirskoe Shosse 31, Moscow 115409, Russia; [Bishop, A.; DuVernois, M. A.; Karle, A.; Kelley, J. L.; Tosi, D.] Univ Wisconsin, Wisconsin IceCube Particle Astrophys Ctr WIPAC, Madison, WI 53703 USA; [Bishop, A.; DuVernois, M. A.; Karle, A.; Kelley, J. L.; Tosi, D.] Univ Wisconsin, Dept Phys, Madison, WI 53703 USA; [Botner, O.; Glaser, C.; Hallgren, A.] Uppsala Univ, Dept Phys &amp; Astron, SE-75237 Uppsala, Sweden; [Bouma, S.; Cataldo, M.; Nelles, A.; Plaisier, I; Pyras, L.; Welling, C.; Zink, A.; Lahmann, R.; Meyers, Z. S.] Friedrich Alexander Univ Erlangen Nuremberg, Erlangen Ctr Astroparticle Phys ECAP, D-91058 Erlangen, Germany; [Buitink, S.; Pandya, H.; Van den Broeck, D. J.] Vrije Univ Brussel, Astrophys Inst, Pl Laan 2, B-1050 Brussels, Belgium; [Clark, B. A.] Michigan State Univ, Dept Phys &amp; Astron, E Lansing, MI 48824 USA; [Curtis-Ginsberg, Z.; Deaconu, C.; Hughes, K.; Kravchenko, I; Oberla, E.; Smith, D.; Southall, D.; Vieregg, A. G.; Michaels, K.] Univ Chicago, Enrico Fermi Inst, Kavli Inst Cosmol Phys, Dept Phys, Chicago, IL 60637 USA; [de Kockere, S.; de Vries, K. D.; Scholten, O.; Van den Broeck, D. J.; van Eijndhoven, N.; Latifll, U.] Vrije Univ Brussel, Dienst ELEM, B-1050 Brussels, Belgium; [Hallmann, S.; Nelles, A.; Plaisier, I; Pyras, L.; Welling, C.; Meyers, Z. S.] DESY, Platanenallee 6, D-15738 Zeuthen, Germany; [Hanson, J. C.] Whittier Coll, Whittier, CA 90602 USA; [Hendricks, B.; Wissel, S.; Krebs, R.] Penn State Univ, Dept Phys, Dept Astron &amp; Astrophys, University Pk, PA 16801 USA; [Mammo, J.] Univ Nebraska, Dept Phys &amp; Astron, Lincoln, NE 68588 USA; [Mulrey, K.] Radboud Univ Nijmegen, Dept Astrophys IMAPP, POB 9010, NL-6500 GL Nijmegen, Netherlands; [Oeyen, B.; Ryckbosch, D.] Univ Ghent, Dept Phys &amp; Astron, B-9000 Ghent, Belgium; [Pan, Y.; Punsuebsay, N.; Seckel, D.] Univ Delaware, Dept Phys &amp; Astron, Newark, DE 19716 USA; [Scholten, O.] Univ Groningen, Kapteijn Inst, Groningen, Netherlands; [Williams, D. R.] Univ Alabama, Dept Phys &amp; Astron, Tuscaloosa, AL 35487 USA; [Wissel, S.] Calif Polytech State Univ San Luis Obispo, Phys Dept, San Luis Obispo, CA 93407 USA</t>
  </si>
  <si>
    <t>Universite Libre de Bruxelles; University System of Ohio; Ohio State University; University of Kansas; National Research Nuclear University MEPhI (Moscow Engineering Physics Institute); University of Wisconsin System; University of Wisconsin Madison; University of Wisconsin System; University of Wisconsin Madison; Uppsala University; University of Erlangen Nuremberg; Vrije Universiteit Brussel; Michigan State University; University of Chicago; Vrije Universiteit Brussel; Helmholtz Association; Deutsches Elektronen-Synchrotron (DESY); Whittier College; Pennsylvania Commonwealth System of Higher Education (PCSHE); Pennsylvania State University; Pennsylvania State University - University Park; University of Nebraska System; University of Nebraska Lincoln; Radboud University Nijmegen; Ghent University; University of Delaware; University of Groningen; University of Alabama System; University of Alabama Tuscaloosa; California State University System; California Polytechnic State University San Luis Obispo</t>
  </si>
  <si>
    <t>Smith, D (corresponding author), Univ Chicago, Enrico Fermi Inst, Kavli Inst Cosmol Phys, Dept Phys, Chicago, IL 60637 USA.</t>
  </si>
  <si>
    <t>danielsmith@uchicago.edu</t>
  </si>
  <si>
    <t>Hallmann, Steffen/HLQ-7871-2023; Saavedra, Juan Antonio Aguilar/F-1256-2016; Glaser, Christian/R-3021-2019; Williams, David/HKN-3732-2023; Nelles, Anna/AAU-1193-2020; Aguilar Sanchez, Juan Antonio/H-4467-2015</t>
  </si>
  <si>
    <t>Hallmann, Steffen/0000-0001-9847-7189; Glaser, Christian/0000-0001-5998-2553; Nelles, Anna/0000-0002-1720-6350; Oeyen, Bob/0000-0003-2940-3164; Clark, Brian/0000-0003-4089-2245; Pandya, Hershal/0000-0002-6138-4808; Zink, Adrian/0000-0002-5827-5547; besson, dave/0000-0001-6733-963X; Pyras, Lilly/0000-0003-1146-9659; Latif, Uzair/0000-0002-7609-1266; van Eijndhoven, Nick/0000-0001-5558-3328; de Vries, Krijn/0000-0002-9842-4068; Deaconu, Cosmin/0000-0002-4953-6397; Hughes, Kaeli/0000-0002-4551-9581; Lahmann, Robert/0009-0005-5493-1702; De Kockere, Simon/0000-0001-6724-012X; Curtis-Ginsberg, Zachary/0000-0002-0194-7576; Seikh, Mohammad Ful Hossain/0000-0002-4464-7354; Van den Broeck, Dieder/0000-0002-4442-6690; Wissel, Stephanie/0000-0003-0569-6978; Torres, Jorge/0000-0003-4385-6127; Aguilar Sanchez, Juan Antonio/0000-0003-2252-9514; Southall, Daniel/0000-0002-7577-6095; Buitink, Stijn/0000-0002-6177-497X</t>
  </si>
  <si>
    <t>FWO programme for International Research Infrastructure (IRI); National Science Foundation [2118315, 2112352]; IceCube EPSCoR Initiative [2019597]; German research foundation (DFG) [NE 2031/2-1]; Helmholtz Association (Initiative and Networking Fund, W2/W3 Program); University of Chicago Research Computing Center; European Research Council under the European Unions Horizon 2020 research and innovation programme [805486]; Belgian Funds for Scientific Research (FRS-FNRS); Belgian Funds for Scientific Research (FWO); European Research Council (ERC) [805486] Funding Source: European Research Council (ERC)</t>
  </si>
  <si>
    <t>FWO programme for International Research Infrastructure (IRI); National Science Foundation(National Science Foundation (NSF)); IceCube EPSCoR Initiative; German research foundation (DFG)(German Research Foundation (DFG)); Helmholtz Association (Initiative and Networking Fund, W2/W3 Program); University of Chicago Research Computing Center; European Research Council under the European Unions Horizon 2020 research and innovation programme(European Research Council (ERC)); Belgian Funds for Scientific Research (FRS-FNRS)(Fonds de la Recherche Scientifique - FNRS); Belgian Funds for Scientific Research (FWO); European Research Council (ERC)(European Research Council (ERC)Spanish Government)</t>
  </si>
  <si>
    <t>We would like to thank the staff at Summit Station and Polar Field Services for logistical support in every way possible and to our colleagues at the British Antarctic Survey for unending enthusiasm while building and operating the BigRAID borehole drill for RNO-G. We would like to acknowledge our home institutions and funding agencies for supporting the RNO-G work; in particular the Belgian Funds for Scientific Research (FRS-FNRS and FWO) and the FWO programme for International Research Infrastructure (IRI), the National Science Foundation through the NSF Awards 2118315 and 2112352 and the IceCube EPSCoR Initiative (Award ID 2019597), the German research foundation (DFG, Grant NE 2031/2-1), the Helmholtz Association (Initiative and Networking Fund, W2/W3 Program), the University of Chicago Research Computing Center and the European Research Council under the European Unions Horizon 2020 research and innovation programme (grant agreement No 805486).</t>
  </si>
  <si>
    <t>10.1017/jog.2022.40</t>
  </si>
  <si>
    <t>6S3ZU</t>
  </si>
  <si>
    <t>Green Submitted, Green Published, gold</t>
  </si>
  <si>
    <t>WOS:000802030500001</t>
  </si>
  <si>
    <t>Ivanova, EV; Borisov, DG; Murdmaa, IO; Ovsepyan, EA; Stow, D</t>
  </si>
  <si>
    <t>V. Ivanova, Elena; Borisov, Dmitrii G.; Murdmaa, Ivar O.; Ovsepyan, Ekaterina A.; Stow, Dorrik</t>
  </si>
  <si>
    <t>Contourite systems around the northern exit from the Vema Channel</t>
  </si>
  <si>
    <t>MARINE GEOLOGY</t>
  </si>
  <si>
    <t>Ioffe Drift; Santa Catarina Plateau; Sa ? o Paulo Plateau; LCDW and AABW; Sedimentation; Hiatuses; Bottom currents; Abyssal channel; Gateway</t>
  </si>
  <si>
    <t>RIO-GRANDE RISE; ANTARCTIC BOTTOM WATER; PLIOCENE-PLEISTOCENE STRATIGRAPHY; SOUTHERN BRAZIL BASIN; DEPOSITIONAL SYSTEM; ARGENTINE BASIN; CURRENT SPEED; SEDIMENTARY PROCESSES; CIRCULATION CHANGES; CONTINENTAL-MARGIN</t>
  </si>
  <si>
    <t>Several drifts of different types and sizes are identified near the northern exit of the Vema Channel, within the projects Neogene-Quaternary contourites of the Central and South Atlantic and Lateral sedimentation in the deep ocean (on the examples from the Central and South-Western Atlantic). Herein, we discuss new results of a multidisciplinary study of sixteen sediment cores and high-resolution sub-bottom (seismoacoustic) profiles, to address the impact of Lower Circumpolar Deep Water (LCDW) and Antarctic Bottom Water (AABW) passing through the Vema gateway on contourite accumulation and erosion. To the west of the northern exit from the Vema Channel, an anticyclonic gyre of LCDW is instrumental in the development of contourite drifts and sediment waves. The contourite origin of generally silty terrigenous sediments in the Santa Catarina Plateau - Sa similar to o Paulo Plateau area is ascertained by both morpho-seismic and sedimentary characteristics. Sedimentary features include: a lack of primary sedimentary structures and pervasive bioturbation; sharp erosional contacts, local hiatuses and stiff mud horizons; some sandy/silty layers and indistinct bedding; mostly fine grain-size, very poor sorting and distinctive bi-gradational sequences; a high degree of correlation between the content of sortable silt (SS) in the total &lt; 63 mu m size fraction and SS mean sizes in all eight cores studied. Biostratigraphy, oxygen isotope records and ten new accelerator mass-spectrometry (AMS) 14C dates reveal the mid to late Quaternary age of this mainly terrigenous contourite depositional system (CDS). By contrast, the dominantly calcareous Ioffe Drift, overlying the Florianopolis Fracture Zone (FFZ) ridge to the northeast of the Vema Channel, is far from any source of terrigenous material, and accumulated in an area of low biological productivity. The overall asymmetric geometry, mainly lenticular, upward-convex seismic units separated by erosional unconformities, reflection truncation, small-scale moats dissecting the drift surface collectively indicate its contourite origin. The interpretation of the drift as the CDS is supported by sediment characteristics including common hiatuses corresponding in some cases to erosional contacts, pervasive bioturbation, generally poor sediment sorting, and more or less well-developed bi-gradational sequences. The erosion and deposition in the drift area are mostly controlled by the main LCDW branch following northeastward along the FFZ. Extensive erosion by bottom currents has created numerous hiatuses and markedly reduced the thickness of drift's sediments. The stratigraphic record from the Ioffe Drift sediment cores reveals an Upper Pliocene - Quaternary succession. The results of detailed analyses of six cores from the Ioffe Drift area, compared with two cores and the upper part of DSDP Site 516 from the Rio Grande Rise, notably the use of a SS analogue, provide new information on calcareous biogenic contourites deposited in the pelagic realm of the South Atlantic.</t>
  </si>
  <si>
    <t>[V. Ivanova, Elena; Borisov, Dmitrii G.; Murdmaa, Ivar O.; Ovsepyan, Ekaterina A.] Russian Acad Sci, Shirshov Inst Oceanol, Moscow, Russia; [Stow, Dorrik] Heriot Watt Univ, Inst Geoenergy Engn, Edinburgh, Scotland</t>
  </si>
  <si>
    <t>Russian Academy of Sciences; Shirshov Institute of Oceanology; Heriot Watt University</t>
  </si>
  <si>
    <t>Ivanova, EV (corresponding author), Russian Acad Sci, Shirshov Inst Oceanol, Moscow, Russia.</t>
  </si>
  <si>
    <t>e_v_ivanova@ocean.ru; dborisov@ocean.ru; eovsepyan@ocean.ru; d.stow@hw.ac.uk</t>
  </si>
  <si>
    <t>Ivanova, Elena/B-2833-2015; Borisov, Dmitrii/Y-9194-2019; Ovsepyan, Ekaterina A./M-7743-2016; Murdmaa, Ivar/T-3538-2017</t>
  </si>
  <si>
    <t>Borisov, Dmitrii/0000-0001-8109-6603;</t>
  </si>
  <si>
    <t>Russian Science Foundation [18-17-00227, 22-27-00421]; Russian Science Foundation [18-17-00227] Funding Source: Russian Science Foundation</t>
  </si>
  <si>
    <t>Russian Science Foundation(Russian Science Foundation (RSF)); Russian Science Foundation(Russian Science Foundation (RSF))</t>
  </si>
  <si>
    <t>The authors are grateful to scientific parties, masters and crews of the R/V Akademik Ioffe (cruises 32, 33, 35, 37, 43, 46, 50, 52, 53) for their professional support in the material collection for this study. The grain-size analyses from the new cores were performed by E. Dorokhova, N. Nemchenko and E. Streltsova at the Shirshov Institute of Oceanology. The low-resolution oxygen isotope measurements from core AI-3321 were offered by D. Hodell (The Godwin Laboratory, Cambridge). We appreciate stimulating discussions with N. McCave. Special thanks to the Editors, Sara Rodrigues and two anonymous reviewers for their valuable comments and suggestions which helped us to improve the manuscript. The study was supported by the Russian Science Foundation grants 18-17-00227 and 22-27-00421.</t>
  </si>
  <si>
    <t>0025-3227</t>
  </si>
  <si>
    <t>1872-6151</t>
  </si>
  <si>
    <t>MAR GEOL</t>
  </si>
  <si>
    <t>Mar. Geol.</t>
  </si>
  <si>
    <t>10.1016/j.margeo.2022.106835</t>
  </si>
  <si>
    <t>Geosciences, Multidisciplinary; Oceanography</t>
  </si>
  <si>
    <t>Geology; Oceanography</t>
  </si>
  <si>
    <t>2G1ZR</t>
  </si>
  <si>
    <t>WOS:000813396900001</t>
  </si>
  <si>
    <t>Zeng, YX; Li, HR; Han, W; Luo, W</t>
  </si>
  <si>
    <t>Zeng, Yin-Xin; Li, Hui-Rong; Han, Wei; Luo, Wei</t>
  </si>
  <si>
    <t>Molecular dietary analysis of Adelie (Pygoscelis adeliae) and Gentoo (Pygoscelis papua) penguins breeding sympatrically on Antarctic Ardley Island using fecal DNA</t>
  </si>
  <si>
    <t>Diet; Pygoscelis adeliae; Pygoscelis papua; DNA-based; Feces; King George Island</t>
  </si>
  <si>
    <t>KING-GEORGE-ISLAND; SOUTH SHETLAND ISLANDS; EUPHAUSIA-VALLENTINI; CHINSTRAP PENGUINS; GENETIC DIVERSITY; SIGNY-ISLAND; WATER; KRILL; TREBOUXIOPHYCEAE; POPULATIONS</t>
  </si>
  <si>
    <t>Penguins are one of the key components of the Antarctic ecosystem. Changes in penguin population size can indicate Antarctic ecosystem change. The two species of pygoscelid penguins, Adelie (Pygoscelis adeliae) and Gentoo (Pygoscelis papua) penguins, breed sympatrically on Ardley Island, King George Island, Antarctica. However, there has been an increase in the Gentoo penguin breeding population and a decline in the Adelie penguin breeding population on the island. Whether the difference in population fluctuations between the two penguin groups is connected to their diet remains uncertain. Herein, the 18S ribosomal ribonucleic acid (18S rRNA) and mitochondrial cytochrome c oxidase subunit I (COI) genes were sequenced from penguin feces using the Illumina MiSeq platform to investigate the fecal eukaryote composition of the two pygoscelid penguin groups to obtain insight into their diets. Significant differences in the abundance of Tardigrada and Rotifera sequences in the fecal eukaryote composition were observed between the Adelie and Gentoo groups. A range of food groups, including Actinopteri, Bivalvia, Coscinodiscophyceae, Florideophyceae, Haptophyceae, Hydrozoa, Malacostraca, and Phaeophyceae, were discovered in the penguin diets. Euphausia was the most important component of the diets of both Pygoscelis penguins. Compared with Adelie penguins, which showed a higher abundance of Actinopteri, Gentoo penguins presented a higher percentage of Euphausiidae in their diet. The COI gene is a more suitable taxonomic marker than the 18S rRNA gene for the dietary analysis of penguins. The results allowed the dietary components of Adelie and Gentoo penguins on Ardley Island to be characterized.</t>
  </si>
  <si>
    <t>[Zeng, Yin-Xin; Li, Hui-Rong; Han, Wei; Luo, Wei] Polar Res Inst China, Key Lab Polar Sci, Minist Nat Resources, Shanghai 200136, Peoples R China; [Zeng, Yin-Xin] Shanghai Jiao Tong Univ, Sch Oceanog, Shanghai 200030, Peoples R China; [Zeng, Yin-Xin] Polar Res Inst China, Antarctic Great Wall Ecol Natl Observat &amp; Res Stn, Shanghai 201209, Peoples R China</t>
  </si>
  <si>
    <t>Ministry of Natural Resources of the People's Republic of China; Polar Research Institute of China; Shanghai Jiao Tong University; Polar Research Institute of China</t>
  </si>
  <si>
    <t>Zeng, YX (corresponding author), Polar Res Inst China, Key Lab Polar Sci, Minist Nat Resources, Shanghai 200136, Peoples R China.;Zeng, YX (corresponding author), Shanghai Jiao Tong Univ, Sch Oceanog, Shanghai 200030, Peoples R China.;Zeng, YX (corresponding author), Polar Res Inst China, Antarctic Great Wall Ecol Natl Observat &amp; Res Stn, Shanghai 201209, Peoples R China.</t>
  </si>
  <si>
    <t>zengyinxin@pric.org.cn</t>
  </si>
  <si>
    <t>Zeng, Yin-Xin/0000-0002-3689-7855; Luo, Wei/0000-0002-4472-2182</t>
  </si>
  <si>
    <t>National Key Research and Development Program of China [2018YFC1406903]; National Natural Science Foundation of China [91851201]</t>
  </si>
  <si>
    <t>National Key Research and Development Program of China; National Natural Science Foundation of China(National Natural Science Foundation of China (NSFC))</t>
  </si>
  <si>
    <t>We appreciate the assistance of Rong-Rong Wu of the Polar Research Institute of China and Li Zheng of the First Institute of Oceanography for collecting penguin fecal samples. We are also grateful to the anonymous reviewers for their constructive comments. This work was funded by the National Key Research and Development Program of China (Grant No. 2018YFC1406903) and the National Natural Science Foundation of China (Grant No. 91851201).</t>
  </si>
  <si>
    <t>10.1007/s00300-022-03051-2</t>
  </si>
  <si>
    <t>WOS:000802034900001</t>
  </si>
  <si>
    <t>Yook, S; Thompson, DWJ; Solomon, S</t>
  </si>
  <si>
    <t>Yook, Simchan; Thompson, David W. J.; Solomon, Susan</t>
  </si>
  <si>
    <t>Climate Impacts and Potential Drivers of the Unprecedented Antarctic Ozone Holes of 2020 and 2021</t>
  </si>
  <si>
    <t>GEOPHYSICAL RESEARCH LETTERS</t>
  </si>
  <si>
    <t>ozone hole; stratosphere; troposphere coupling; southern annular mode; wildfire smoke; volcanic emission</t>
  </si>
  <si>
    <t>VOLCANIC-ERUPTIONS; AEROSOL; SMOKE; DEPLETION; STRATOSPHERE; CIRCULATION; TROPOSPHERE; ALGORITHM</t>
  </si>
  <si>
    <t>The latter months of 2020 and 2021 were marked by two of the largest Antarctic ozone holes on record. That such large ozone holes occurred despite ongoing ozone recovery raises questions about their origins and climate impacts. Here we provide novel evidence that supports the hypothesis that the ozone holes were influenced by two distinct and extraordinary events: the Australian wildfires of early 2020 and the eruption of La Soufriere in 2021. We further reveal that both ozone holes were associated with widespread changes in Southern Hemisphere climate that are consistent with the established climate impacts of Antarctic ozone depletion, including a strengthening of the polar stratospheric vortex, enhanced surface westerlies over the Southern Ocean, and surface temperature changes over Antarctica and Australia. The results thus provide suggestive evidence that injections of both wildfire smoke and volcanic emissions into the stratosphere can lead to hemispheric-scale changes in surface climate.</t>
  </si>
  <si>
    <t>[Yook, Simchan; Thompson, David W. J.] Colorado State Univ, Dept Atmospher Sci, Ft Collins, CO 80523 USA; [Thompson, David W. J.] Univ East Anglia, Sch Environm Sci, Norwich, Norfolk, England; [Solomon, Susan] MIT, Dept Earth Atmospher &amp; Planetary Sci, 77 Massachusetts Ave, Cambridge, MA 02139 USA</t>
  </si>
  <si>
    <t>Colorado State University; University of East Anglia; Massachusetts Institute of Technology (MIT)</t>
  </si>
  <si>
    <t>Yook, S (corresponding author), Colorado State Univ, Dept Atmospher Sci, Ft Collins, CO 80523 USA.</t>
  </si>
  <si>
    <t>simchan.yook@colostate.edu</t>
  </si>
  <si>
    <t>Thompson, David W J/F-9627-2012; Thompson, David/C-3520-2008</t>
  </si>
  <si>
    <t>Thompson, David W J/0000-0002-5413-4376; Yook, Simchan/0000-0002-9206-4946</t>
  </si>
  <si>
    <t>NSF Climate and Large-Scale Dynamics program [AGS-1848863, AGS1848785]</t>
  </si>
  <si>
    <t>NSF Climate and Large-Scale Dynamics program(National Science Foundation (NSF)NSF - Directorate for Geosciences (GEO))</t>
  </si>
  <si>
    <t>D. W. J. Thompson and S. Yook are supported by the NSF Climate and Large-Scale Dynamics program (AGS1848785). S. Solomon is supported by NSF Climate and Large-Scale Dynamics program (AGS-1848863). We thank William Randel for comments on the results. S. Yook, D. W. J. Thompson, and S. Solomon designed the research and wrote the paper. S. Yook analyzed the data and produced the figures.</t>
  </si>
  <si>
    <t>0094-8276</t>
  </si>
  <si>
    <t>1944-8007</t>
  </si>
  <si>
    <t>GEOPHYS RES LETT</t>
  </si>
  <si>
    <t>Geophys. Res. Lett.</t>
  </si>
  <si>
    <t>MAY 28</t>
  </si>
  <si>
    <t>e2022GL098064</t>
  </si>
  <si>
    <t>10.1029/2022GL098064</t>
  </si>
  <si>
    <t>1Q7ID</t>
  </si>
  <si>
    <t>WOS:000802856000001</t>
  </si>
  <si>
    <t>Wright, JT; Kennedy, EJ; de Nys, R; Tatsumi, M</t>
  </si>
  <si>
    <t>Wright, Jeffrey T.; Kennedy, Elysha J.; de Nys, Rocky; Tatsumi, Masayuki</t>
  </si>
  <si>
    <t>Asexual propagation of Asparagopsis armata gametophytes: fragmentation, regrowth and attachment mechanisms for sea-based cultivation</t>
  </si>
  <si>
    <t>Asparagopsis; Rhodophyta; Asexual reproduction; Fragments; Red algae; Seaweed aquaculture</t>
  </si>
  <si>
    <t>SECONDARY ATTACHMENT; RHODOPHYTA; GIGARTINALES; BONNEMAISONIACEAE; REGENERATION; SYSTEMATICS; DISPERSAL; SURVIVAL; CULTURE; REEF</t>
  </si>
  <si>
    <t>The red algal genus Asparagopsis produces secondary metabolites that when fed to ruminants reduce methane production by up to 98%. However, cultivation methods for Asparagopsis are nascent and fundamental information on reproduction, which is essential for large-scale cultivation, is lacking. In this study we examined asexual propagation in Asparagopsis armata, the regrowth of fragments and mechanisms of attachment to assess the potential for fragments to be used in sea-based cultivation. Asparagopsis armata gametophytes grow specialised structures, barbs, that hook fragments onto substrata. Surveys revealed barbs were abundant occurring at similar to 1 barb every 3-4 cm on gametophyte branches. Barbs did not regrow, but fronds did, either when attached to a barb or on their own. In contrast, fronds doubled in size with most developing barbs within 4 weeks. Barbs were, however, critical for the reattachment of fragments: barbs attached to substrata at four times the rate of frond fragments without barbs and they also attached in higher proportions to mussel rope than polypropylene rope, and two types of net. Utilising fragmentation for the propagation of A. armata gametophytes in sea-based cultivation requires that fragments can attach to a substratum and regrow once attached. We have shown that A. armata fragments in Tasmania require barbs for attachment and frond tissue for growth, which has implications for cultivation. Optimising fragmentation, attachment and out-planting methods are important future steps in establishing fragmentation as a method for sea-based cultivation in A. armata.</t>
  </si>
  <si>
    <t>[Wright, Jeffrey T.; Kennedy, Elysha J.; Tatsumi, Masayuki] Univ Tasmania, Inst Marine &amp; Antarctic Studies, 20 Castray Esplanade, Battery Point, Tas 7004, Australia; [de Nys, Rocky; Tatsumi, Masayuki] Sea Forest Ltd, 488 Freestone Point Rd, Triabunna, Tas 7190, Australia; [de Nys, Rocky] James Cook Univ, Coll Sci &amp; Engn, Townsville, Qld 4811, Australia</t>
  </si>
  <si>
    <t>University of Tasmania; James Cook University</t>
  </si>
  <si>
    <t>Wright, JT (corresponding author), Univ Tasmania, Inst Marine &amp; Antarctic Studies, 20 Castray Esplanade, Battery Point, Tas 7004, Australia.</t>
  </si>
  <si>
    <t>jeffrey.wright@utas.edu.au</t>
  </si>
  <si>
    <t>Kennedy, Elysha/GQA-6621-2022</t>
  </si>
  <si>
    <t>CAUL</t>
  </si>
  <si>
    <t>Open Access funding enabled and organized by CAUL and its Member Institutions</t>
  </si>
  <si>
    <t>10.1007/s10811-022-02763-6</t>
  </si>
  <si>
    <t>WOS:000801132800001</t>
  </si>
  <si>
    <t>Holmes, CR; Bracegirdle, TJ; Holland, PR</t>
  </si>
  <si>
    <t>Holmes, C. R.; Bracegirdle, T. J.; Holland, P. R.</t>
  </si>
  <si>
    <t>Antarctic Sea Ice Projections Constrained by Historical Ice Cover and Future Global Temperature Change</t>
  </si>
  <si>
    <t>sea ice; emergent constraints; climate projections; uncertainty; CMIP5; CMIP6</t>
  </si>
  <si>
    <t>TRENDS; CMIP5; WATER</t>
  </si>
  <si>
    <t>There is low confidence in projections of Antarctic sea ice area (SIA), due to deficiencies in climate model sea ice processes. Ensemble regression techniques can help to reduce this uncertainty. We investigate relationships between SIA climatology and 21st century change in the Coupled Model Intercomparison Project, phase 6 (CMIP6) multi-model ensemble. In summer, under a strong forcing scenario, each model loses the majority of its sea ice. Therefore, models with greater historical SIA exhibit greater reductions, so the observed climatology of SIA strongly constrains projections. Ensemble spread in historical summer SIA is smaller than in CMIP phase 5 (CMIP5), and CMIP6 gives a more robust constraint on future SIA. In winter, by 2100 under a strong forcing scenario, 40% of SIA disappears on average, and ensemble spread in historical mean SIA explains approximately half the spread in projected change. A greater winter ice loss in CMIP6 than CMIP5 is explained by the higher climate sensitivities of some CMIP6 models.</t>
  </si>
  <si>
    <t>[Holmes, C. R.; Bracegirdle, T. J.; Holland, P. R.] British Antarctic Survey, Cambridge, England</t>
  </si>
  <si>
    <t>Holmes, CR (corresponding author), British Antarctic Survey, Cambridge, England.</t>
  </si>
  <si>
    <t>calmes@bas.ac.uk</t>
  </si>
  <si>
    <t>Holland, Paul R/G-2796-2012</t>
  </si>
  <si>
    <t>Bracegirdle, Thomas/0000-0002-8868-4739; Holmes, Caroline/0000-0002-3134-555X</t>
  </si>
  <si>
    <t>Natural Environment Research Council as part of the British Antarctic Survey Polar Science for Planet Earth Programme [NE/N01829X/1]</t>
  </si>
  <si>
    <t>Natural Environment Research Council as part of the British Antarctic Survey Polar Science for Planet Earth Programme</t>
  </si>
  <si>
    <t>The authors were funded by the Natural Environment Research Council as part of the British Antarctic Survey Polar Science for Planet Earth Programme and grant NE/N01829X/1. The World Climate Research Programme's Working Group on Coupled Modelling, which is responsible for CMIP, and the climate modeling groups, are thanked for producing and making available their model output.</t>
  </si>
  <si>
    <t>e2021GL097413</t>
  </si>
  <si>
    <t>10.1029/2021GL097413</t>
  </si>
  <si>
    <t>1P2DE</t>
  </si>
  <si>
    <t>WOS:000801825200001</t>
  </si>
  <si>
    <t>Antarctic Polar Vortex Dynamics Depending on Wind Speed Along the Vortex Edge</t>
  </si>
  <si>
    <t>PURE AND APPLIED GEOPHYSICS</t>
  </si>
  <si>
    <t>Stratospheric polar vortices; wind speed along the vortex edge; temperature inside the vortex; vortex area</t>
  </si>
  <si>
    <t>OZONE DEPLETION; STRATOSPHERE; DEEP</t>
  </si>
  <si>
    <t>The stratospheric polar vortices play a key role in springtime polar ozone depletion and can influence the stratospheric circulation. In this work, we use the method of vortex delineation based on geopotential values determined from the maximum temperature gradient and maximum wind speed, thus characterizing the edge of the Antarctic polar vortex. Using the vortex delineation method based on the ERA5 reanalysis data for 1979-2019, we characterized the dynamics of the Antarctic polar vortex in the lower stratosphere depending on the prevailing wind speed along the vortex edge. We filtered out cases of weakening of the dynamic barrier, which prevents the penetration of air masses into the polar vortex. We show that in the lower stratosphere the area of the Antarctic polar vortex usually exceeds 10 million km(2), the mean wind speed along the vortex edge typically exceeds 30 m/s, and the mean temperature inside the vortex is in most cases less than -50 degrees C.</t>
  </si>
  <si>
    <t>[Zuev, Vladimir V.; Savelieva, Ekaterina] Russian Acad Sci, Inst Monitoring Climat &amp; Ecol Syst, Siberian Branch, 10-3 Acad Sky Ave, Tomsk 634055, Russia</t>
  </si>
  <si>
    <t>Zuev, VV (corresponding author), Russian Acad Sci, Inst Monitoring Climat &amp; Ecol Syst, Siberian Branch, 10-3 Acad Sky Ave, Tomsk 634055, Russia.</t>
  </si>
  <si>
    <t>vzuev@list.ru; esav.pv@gmail.com</t>
  </si>
  <si>
    <t>Savelieva, Ekaterina/HCH-5908-2022; Zuev, Vladimir Vladimirovich/E-5470-2014; Savelieva, Ekaterina S/E-4782-2014</t>
  </si>
  <si>
    <t>Savelieva, Ekaterina S/0000-0002-6560-7386</t>
  </si>
  <si>
    <t>Russian Science Foundation [22-27-00002]</t>
  </si>
  <si>
    <t>This work was supported by the Russian Science Foundation (project No. 22-27-00002, https://rscf.ru/en/project/22-27-00002/).</t>
  </si>
  <si>
    <t>SPRINGER BASEL AG</t>
  </si>
  <si>
    <t>PICASSOPLATZ 4, BASEL, 4052, SWITZERLAND</t>
  </si>
  <si>
    <t>0033-4553</t>
  </si>
  <si>
    <t>1420-9136</t>
  </si>
  <si>
    <t>PURE APPL GEOPHYS</t>
  </si>
  <si>
    <t>Pure Appl. Geophys.</t>
  </si>
  <si>
    <t>6-7</t>
  </si>
  <si>
    <t>10.1007/s00024-022-03054-4</t>
  </si>
  <si>
    <t>3O2UM</t>
  </si>
  <si>
    <t>WOS:000801154900002</t>
  </si>
  <si>
    <t>Giorio, C; Doussin, JF; D'Anna, B; Mas, S; Filippi, D; Denjean, C; Mallet, MD; Bourrianne, T; Burnet, F; Cazaunau, M; Chikwililwa, C; Desboeufs, K; Feron, A; Michoud, V; Namwoonde, A; Andreae, MO; Piketh, SJ; Formenti, P</t>
  </si>
  <si>
    <t>Giorio, Chiara; Doussin, Jean-Francois; D'Anna, Barbara; Mas, Sebastien; Filippi, Daniele; Denjean, Cyrielle; Mallet, Marc Daniel; Bourrianne, Thierry; Burnet, Frederic; Cazaunau, Mathieu; Chikwililwa, Chibo; Desboeufs, Karine; Feron, Anais; Michoud, Vincent; Namwoonde, Andreas; Andreae, Meinrat O.; Piketh, Stuart J.; Formenti, Paola</t>
  </si>
  <si>
    <t>Butene Emissions From Coastal Ecosystems May Contribute to New Particle Formation</t>
  </si>
  <si>
    <t>VOLATILE ORGANIC-COMPOUNDS; MARINE BOUNDARY-LAYER; BIOGENIC SULFUR EMISSIONS; TROPICAL SOUTH-ATLANTIC; DIMETHYL SULFIDE; AEROSOL FORMATION; TROPOSPHERIC DEGRADATION; OCEANIC PHYTOPLANKTON; NUCLEATION; OXIDATION</t>
  </si>
  <si>
    <t>Marine ecosystems are important drivers of the global climate system. They emit volatile species into the atmosphere, involved in complex reaction cycles that influence the lifetime of greenhouse gases. Sea spray and marine biogenic aerosols affect Earth's climate by scattering solar radiation and controlling cloud microphysical properties. Here we show larger than expected marine biogenic emissions of butenes, three orders of magnitude higher than dimethyl sulfide, produced by the coastal part of the Benguela upwelling system, one of the most productive marine ecosystems in the world. We show that these emissions may contribute to new particle formation in the atmosphere within the marine boundary layer through production of Criegee intermediates that oxidize SO2 to H2SO4. Butene emissions from the marine biota may affect air quality and climate through ozone, secondary organic aerosol, and cloud condensation nuclei formation even in pristine regions of the world. Our results indicate a potentially important role of butene emissions in marine particle formation that requires investigation in other regions.</t>
  </si>
  <si>
    <t>[Giorio, Chiara; Filippi, Daniele] Univ Cambridge, Yusuf Hamied Dept Chem, Cambridge, England; [Giorio, Chiara; Filippi, Daniele] Univ Padua, Dipartimento Sci Chim, Padua, Italy; [Doussin, Jean-Francois; Mallet, Marc Daniel; Cazaunau, Mathieu; Desboeufs, Karine; Feron, Anais; Michoud, Vincent; Formenti, Paola] Univ Paris Cite, Paris, France; [Doussin, Jean-Francois; Mallet, Marc Daniel; Cazaunau, Mathieu; Desboeufs, Karine; Feron, Anais; Michoud, Vincent; Formenti, Paola] Univ Paris Est Creteil, LISA, CNRS, Paris, France; [D'Anna, Barbara] Aix Marseille Univ, UMR CNRS 7376, LCE, Marseille, France; [Mas, Sebastien] Univ Montpellier, CNRS IRD, Plateforme Ecol Marine Expt MEDIMEER, OSU OREME UMS3282, Sete, France; [Denjean, Cyrielle; Bourrianne, Thierry; Burnet, Frederic] Univ Toulouse, CNRS, Meteo France, CNRM, Toulouse, France; [Mallet, Marc Daniel] Univ Tasmania, Inst Marine &amp; Antarctic Studies, Australian Antarctic Program Partnership, Hobart, Tas, Australia; [Chikwililwa, Chibo; Namwoonde, Andreas] Univ Namibia, Sam Nujoma Marine &amp; Coastal Resources Res Ctr, Henties Bay, Namibia; [Andreae, Meinrat O.] Max Planck Inst Chem, Mainz, Germany; [Andreae, Meinrat O.] Univ Calif San Diego, Scripps Inst Oceanog, La Jolla, CA 92093 USA; [Andreae, Meinrat O.] King Saud Univ, Dept Geol &amp; Geophys, Riyadh, Saudi Arabia; [Piketh, Stuart J.] North West Univ, Unit Environm Sci &amp; Management, Potchefstroom, South Africa</t>
  </si>
  <si>
    <t>University of Cambridge; University of Padua; Universite Paris Cite; Centre National de la Recherche Scientifique (CNRS); Universite Paris Cite; Universite Paris-Est-Creteil-Val-de-Marne (UPEC); Aix-Marseille Universite; Institut de Recherche pour le Developpement (IRD); Universite de Montpellier; Meteo France; Centre National de la Recherche Scientifique (CNRS); Universite de Toulouse; University of Tasmania; University of Namibia; Max Planck Society; University of California System; University of California San Diego; Scripps Institution of Oceanography; King Saud University; North West University - South Africa</t>
  </si>
  <si>
    <t>Giorio, C (corresponding author), Univ Cambridge, Yusuf Hamied Dept Chem, Cambridge, England.;Giorio, C (corresponding author), Univ Padua, Dipartimento Sci Chim, Padua, Italy.</t>
  </si>
  <si>
    <t>chiara.giorio@atm.ch.cam.ac.uk</t>
  </si>
  <si>
    <t>DOUSSIN, Jean-Francois/AAT-3084-2021; Andreae, Meinrat O./B-1068-2008; Giorio, Chiara/O-1707-2015</t>
  </si>
  <si>
    <t>DOUSSIN, Jean-Francois/0000-0002-8042-7228; Giorio, Chiara/0000-0001-7821-7398; Mallet, Marc/0000-0003-2749-8833; Cazaunau, Mathieu/0000-0003-4024-8978; BURNET, Frederic/0000-0003-0572-4422; DESBOEUFS, Karine/0000-0002-7766-6877</t>
  </si>
  <si>
    <t>French National Research Agency [ANR-15-CE01-0014-01]; French national programme LEFE/INSU; French National Agency for Space Studies (CNES); South African National Research Foundation (NRF) [UID 105958]; Supporting TAlent in ReSearch@University of Padova STARS-StG MOCAA; MIUR-PRIN-2017 AMICO; Agence Nationale de la Recherche (ANR) [ANR-15-CE01-0014] Funding Source: Agence Nationale de la Recherche (ANR)</t>
  </si>
  <si>
    <t>French National Research Agency(Agence Nationale de la Recherche (ANR)); French national programme LEFE/INSU; French National Agency for Space Studies (CNES); South African National Research Foundation (NRF)(National Research Foundation - South Africa); Supporting TAlent in ReSearch@University of Padova STARS-StG MOCAA; MIUR-PRIN-2017 AMICO; Agence Nationale de la Recherche (ANR)(Agence Nationale de la Recherche (ANR))</t>
  </si>
  <si>
    <t>Authors are grateful to Dr Vijay Kanawade and Dr Bart Verheggen for assistance with the calculations of condensational growth rates and nucleation rates and with the use of the PARGAN codes. The authors wish to thank Edouard Pangui (LISA) for his technical support during the field campaign preparation and AERIS (), the French centre for atmospheric data and service, for providing the campaign website and organising the curation and open distribution of Aerosols, Radiation and Clouds in southern Africa (AEROCLO-sA) data. Authors are grateful to the AEROCLO-sA consortium for their work in the field and during the preparation of the field campaign, and Sam Nujoma Marine and Coastal Resources Research Centre for hosting the field campaign. This work was supported by the French National Research Agency under grant agreement no ANR-15-CE01-0014-01, the French national programme LEFE/INSU, the French National Agency for Space Studies (CNES), and the South African National Research Foundation (NRF) under grant UID 105958. DF's work was supported by the Supporting TAlent in ReSearch@University of Padova STARS-StG MOCAA and MIUR-PRIN-2017 AMICO awarded to CG. The GEOS data used in this study have been provided by the Global Modeling and Assimilation Office (GMAO) at NASA Goddard Space Flight Center through the online data portal in the NASA Center for Climate Simulation.</t>
  </si>
  <si>
    <t>e2022GL098770</t>
  </si>
  <si>
    <t>10.1029/2022GL098770</t>
  </si>
  <si>
    <t>1M6XG</t>
  </si>
  <si>
    <t>WOS:000800112100001</t>
  </si>
  <si>
    <t>Tankersley, MD; Horgan, HJ; Siddoway, CS; Tontini, FC; Tinto, KJ</t>
  </si>
  <si>
    <t>Tankersley, M. D.; Horgan, H. J.; Siddoway, C. S.; Tontini, F. Caratori; Tinto, K. J.</t>
  </si>
  <si>
    <t>Basement Topography and Sediment Thickness Beneath Antarctica's Ross Ice Shelf</t>
  </si>
  <si>
    <t>Antarctica; geology; basement; ice shelf; paleotopography; West Antarctic Rift System</t>
  </si>
  <si>
    <t>MARIE-BYRD-LAND; UPPER-MANTLE STRUCTURE; TRANSANTARCTIC MOUNTAINS; WEST ANTARCTICA; LATE OLIGOCENE; CONTINENT-WIDE; SEA SECTOR; SHEET; EAST; GROUNDWATER</t>
  </si>
  <si>
    <t>New geophysical data from Antarctica's Ross Embayment reveal the structure and subglacial geology of extended continental crust beneath the Ross Ice Shelf. We use airborne magnetic data from the ROSETTA-Ice Project to locate the contact between magnetic basement and overlying sediments. We delineate a broad, segmented basement high with thin (0-500m) non-magnetic sedimentary cover which trends northward into the Ross Sea's Central High. Before subsiding in the Oligocene, this feature likely facilitated early glaciation in the region and subsequently acted as a pinning point and ice flow divide. Flanking the high are wide sedimentary basins, up to 3700m deep, which parallel the Ross Sea basins and likely formed during Cretaceous-Neogene intracontinental extension. NW-SE basins beneath the Siple Coast grounding zone, by contrast, are narrow, deep, and elongate. They suggest tectonic divergence upon active faults that may localize geothermal heat and/or groundwater flow, both important components of the subglacial system.</t>
  </si>
  <si>
    <t>[Tankersley, M. D.; Horgan, H. J.] Victoria Univ Wellington, Antarctic Res Ctr, Wellington, New Zealand; [Tankersley, M. D.; Tontini, F. Caratori] GNS Sci, Lower Hutt, New Zealand; [Siddoway, C. S.] Colorado Coll, Colorado Springs, CO 80903 USA; [Tontini, F. Caratori] Univ Genoa, Genoa, Italy; [Tinto, K. J.] Columbia Univ, Lamont Doherty Earth Observ, Palisades, NY USA</t>
  </si>
  <si>
    <t>Victoria University Wellington; GNS Science - New Zealand; Colorado College; University of Genoa; Columbia University</t>
  </si>
  <si>
    <t>Tankersley, MD (corresponding author), Victoria Univ Wellington, Antarctic Res Ctr, Wellington, New Zealand.;Tankersley, MD (corresponding author), GNS Sci, Lower Hutt, New Zealand.</t>
  </si>
  <si>
    <t>matthew.tankersley@vuw.ac.nz</t>
  </si>
  <si>
    <t>Tontini, Fabio Caratori/S-4025-2018; Siddoway, Christine/HKV-0895-2023</t>
  </si>
  <si>
    <t>Tontini, Fabio Caratori/0000-0002-2000-416X; Siddoway, Christine Smith/0000-0003-0478-6138; Tankersley, Matt/0000-0003-4266-8554; Horgan, Huw/0000-0002-4836-0078</t>
  </si>
  <si>
    <t>New Zealand Ministry of Business and Innovation and Employment [ANTA1801, ASP-021-01]; National Science Foundation [1443497, 1443534]; Antarctica New Zealand</t>
  </si>
  <si>
    <t>New Zealand Ministry of Business and Innovation and Employment; National Science Foundation(National Science Foundation (NSF)); Antarctica New Zealand</t>
  </si>
  <si>
    <t>Funding support from the New Zealand Ministry of Business and Innovation and Employment through the Antarctic Science Platform contract (ANTA1801) Antarctic Ice Dynamics Project (ASP-021-01), the National Science Foundation (1443497 and 1443534), and Antarctica New Zealand. We are grateful to Robin Bell, Isabel Cordero, Alec Lockett, Joel Wilner, Zoe Krauss, and the entire ROSETTA-Ice team for undertaking the ambitious data acquisition and processing effort. We thank Katharina Hochmuth and Guy Paxman for thoughtful reviews which greatly improved the manuscript, as well as Chris Sorlien, Tim Stern, Simon Lamb, Lara Perez, Ryan Venturelli, Wei Ji Leong, and Dan Lowry for valuable input. Figures used GMT6/PyGMT (Uieda et al., 2021; Wessel et al., 2019), with a script adapted from Venturelli et al. (2020). Geosoft Oasis MontajTM was used for magnetics processing and Werner deconvolution. Open access publishing facilitated by Victoria University of Wellington, as part of the Wiley - Victoria University of Wellington agreement via the Council of Australian University Librarians.</t>
  </si>
  <si>
    <t>e2021GL097371</t>
  </si>
  <si>
    <t>10.1029/2021GL097371</t>
  </si>
  <si>
    <t>1M6YO</t>
  </si>
  <si>
    <t>WOS:000800115500001</t>
  </si>
  <si>
    <t>Luo, LP; Zhang, J</t>
  </si>
  <si>
    <t>Luo, Liping; Zhang, Jing</t>
  </si>
  <si>
    <t>Blowing Snow Contributes to Positive Surface Energy Budget and Negative Surface Mass Balance During a Melting Season of Larsen C Ice Shelf, Antarctic Peninsula</t>
  </si>
  <si>
    <t>CLIMATE; IMPLEMENTATION; SUBLIMATION; MELTWATER; IMPACTS; SCHEME; SHEET</t>
  </si>
  <si>
    <t>The impacts of blowing snow, a very common snow-air interactive process over Antarctica, are investigated with a snow/ice enhanced Weather Research and Forecasting (WRF-ice) model for the surface energy budget (SEB) and surface mass balance (SMB) modeling over the Larsen C Ice Shelf (LCIS), Antarctic Peninsula. The net effect of blowing snow on LCIS' SMB is negative, because the positive effect of enhanced precipitation, reduced surface sublimation, and blowing snow transport is more than compensated by the negative effect of blowing snow sublimation, enhanced surface melt, and runoff. In sum, blowing snow contributes to positive anomalies in LCIS' SEB and negative anomalies in SMB.</t>
  </si>
  <si>
    <t>[Luo, Liping] Nanjing Univ Aeronaut &amp; Astronaut, Coll Civil Aviat, Nanjing, Peoples R China; [Luo, Liping] Chinese Acad Sci, Inst Atmospher Phys, State Key Lab Numer Modeling Atmospher Sci &amp; Geop, Beijing, Peoples R China; [Zhang, Jing] North Carolina A&amp;T State Univ, Dept Phys, Greensboro, NC USA</t>
  </si>
  <si>
    <t>Nanjing University of Aeronautics &amp; Astronautics; Chinese Academy of Sciences; Institute of Atmospheric Physics, CAS; University of North Carolina; North Carolina A&amp;T State University</t>
  </si>
  <si>
    <t>Luo, LP (corresponding author), Nanjing Univ Aeronaut &amp; Astronaut, Coll Civil Aviat, Nanjing, Peoples R China.;Luo, LP (corresponding author), Chinese Acad Sci, Inst Atmospher Phys, State Key Lab Numer Modeling Atmospher Sci &amp; Geop, Beijing, Peoples R China.</t>
  </si>
  <si>
    <t>lpingluo@yeah.net</t>
  </si>
  <si>
    <t>Zhang, Jing/B-3465-2009</t>
  </si>
  <si>
    <t>Zhang, Jing/0000-0001-7530-1121</t>
  </si>
  <si>
    <t>NSF [OPP-1649713, OPP-1543445]; NSFC [419505044, 41941007]</t>
  </si>
  <si>
    <t>NSF(National Science Foundation (NSF)); NSFC(National Natural Science Foundation of China (NSFC))</t>
  </si>
  <si>
    <t>This work was sponsored by the NSF Grant nos. OPP-1649713 and OPP-1543445 and the NSFC Grants 419505044 and 41941007.</t>
  </si>
  <si>
    <t>e2022GL098864</t>
  </si>
  <si>
    <t>10.1029/2022GL098864</t>
  </si>
  <si>
    <t>1M6ZT</t>
  </si>
  <si>
    <t>WOS:000800118600001</t>
  </si>
  <si>
    <t>Ellerhoff, B; Kirschner, MJ; Ziegler, E; Holloway, MD; Sime, L; Rehfeld, K</t>
  </si>
  <si>
    <t>Ellerhoff, Beatrice; Kirschner, Moritz J.; Ziegler, Elisa; Holloway, Max D.; Sime, Louise; Rehfeld, Kira</t>
  </si>
  <si>
    <t>Contrasting State-Dependent Effects of Natural Forcing on Global and Local Climate Variability</t>
  </si>
  <si>
    <t>climate variability; climate modeling; volcanism; palaeoclimate; last glacial maximum</t>
  </si>
  <si>
    <t>MODEL INTERCOMPARISON PROJECT; CENTER COUPLED MODEL; TEMPERATURE VARIABILITY; VOLCANIC-ERUPTIONS; LAST MILLENNIUM; ENERGY-BALANCE; INTERNAL VARIABILITY; SCALING REGIMES; ICE CORES; IMPACT</t>
  </si>
  <si>
    <t>Natural forcing from solar and volcanic activity contributes significantly to climate variability. The post-eruption cooling of strong volcanic eruptions was hypothesized to have led to millennial-scale variability during Glacials. Cooling induced by volcanic eruption is potentially weaker in the warmer climate. The underlying question is whether the climatic response to natural forcing is state-dependent. Here, we quantify the response to natural forcing under Last Glacial and Pre-Industrial conditions in an ensemble of climate model simulations. We evaluate internal and forced variability on annual to multicentennial scales. The global temperature response reveals no state dependency. Small local differences result mainly from state-dependent sea ice changes. Variability in forced simulations matches paleoclimate reconstructions significantly better than in unforced scenarios. Considering natural forcing is therefore important for model-data comparison and future projections.</t>
  </si>
  <si>
    <t>[Ellerhoff, Beatrice; Ziegler, Elisa; Rehfeld, Kira] Tubingen Univ, Dept Geosci, Tubingen, Germany; [Ellerhoff, Beatrice; Ziegler, Elisa; Rehfeld, Kira] Tubingen Univ, Dept Phys, Tubingen, Germany; [Ellerhoff, Beatrice; Kirschner, Moritz J.; Ziegler, Elisa; Rehfeld, Kira] Heidelberg Univ, Inst Environm Phys, Heidelberg, Germany; [Holloway, Max D.] Scottish Assoc Marine Sci, Oban, Argyll, Scotland; [Sime, Louise] British Antarctic Survey, Cambridge, England</t>
  </si>
  <si>
    <t>Eberhard Karls University of Tubingen; Eberhard Karls University of Tubingen; Ruprecht Karls University Heidelberg; UHI Millennium Institute; UK Research &amp; Innovation (UKRI); Natural Environment Research Council (NERC); NERC British Antarctic Survey</t>
  </si>
  <si>
    <t>Rehfeld, K (corresponding author), Tubingen Univ, Dept Geosci, Tubingen, Germany.;Rehfeld, K (corresponding author), Tubingen Univ, Dept Phys, Tubingen, Germany.;Rehfeld, K (corresponding author), Heidelberg Univ, Inst Environm Phys, Heidelberg, Germany.</t>
  </si>
  <si>
    <t>kira.rehfeld@uni-tuebingen.de</t>
  </si>
  <si>
    <t>Rehfeld, Kira/O-1781-2019</t>
  </si>
  <si>
    <t>Rehfeld, Kira/0000-0002-9442-5362; Ziegler, Elisa/0000-0002-7252-3332; Ellerhoff, Beatrice/0000-0002-3200-8280; Kirschner, Moritz/0000-0003-3946-2395; Holloway, Max/0000-0003-0709-3644; Sime, Louise/0000-0002-9093-7926</t>
  </si>
  <si>
    <t>PalMod project [01LP1926C]; Deutsche Forschungsgemeinschaft (German Research Foundation) [395588486, 316076679]; Heinrich-Boll-Stiftung; Projekt DEAL</t>
  </si>
  <si>
    <t>PalMod project; Deutsche Forschungsgemeinschaft (German Research Foundation)(German Research Foundation (DFG)); Heinrich-Boll-Stiftung; Projekt DEAL</t>
  </si>
  <si>
    <t>This research used the Archer UK National Supercomputing Services. It benefited from discussions within the CVAS working group, a working group of the Past Global Changes (PAGES) project. We thank M. Casado, T. Laepple and A. Schurer for discussion, and C. Wirths for setting up volcanic forcing over latitude intervals in TransEBM. Funding is acknowledged by the PalMod project (, subproject no. 01LP1926C), the Deutsche Forschungsgemeinschaft (German Research Foundation) - project no. 395588486 and no. 316076679, and by the Heinrich-Boll-Stiftung. Open access funding enabled and organized by Projekt DEAL.</t>
  </si>
  <si>
    <t>e2022GL098335</t>
  </si>
  <si>
    <t>10.1029/2022GL098335</t>
  </si>
  <si>
    <t>1L0NY</t>
  </si>
  <si>
    <t>WOS:000798990800001</t>
  </si>
  <si>
    <t>Moore, BR; Parker, SJ; Pinkerton, MH</t>
  </si>
  <si>
    <t>Moore, Bradley R.; Parker, Steven J.; Pinkerton, Matthew H.</t>
  </si>
  <si>
    <t>Otolith shape as a tool for species identification of the grenadiers Macrourus caml and M. whitsoni</t>
  </si>
  <si>
    <t>FISHERIES RESEARCH</t>
  </si>
  <si>
    <t>Macrouridae; Otolith morphology; Cryptic species; Species validation; Fishery observers; Antarctica</t>
  </si>
  <si>
    <t>TOOTHFISH DISSOSTICHUS-MAWSONI; ROSS SEA; CRYPTIC SPECIATION; CONTINENTAL-SLOPE; MARINE FISH; MORPHOLOGY; ATLANTIC; FISHERIES; STOCK; DISCRIMINATION</t>
  </si>
  <si>
    <t>Accurate species identification of harvested fishes is a central, yet often overlooked, component of fishery monitoring. This study examined the efficacy of using otolith shape to differentiate between the morphologically similar grenadiers Macrourus caml and M. whitsoni and validate species identifications by fishery observers within and adjacent to the Ross Sea region, Antarctica. Otolith shape information was collected from 610 M. caml and 329 M. whitsoni otoliths from research collections, where confidence in species identification was high, and 2558 samples collected by fishery observers from commercial longline catches. Univariate and linear discriminant analyses of research-collected samples revealed consistent differences in otolith shape between the two species, with otoliths of M. cam! being larger and more elongate than those of M. whitsoni. No significant effect of collection depth or fishing season on otolith shape was evident for either species, and no significant effect of sampling location on otolith shape was evident for M. caml. Otolith shape of M. whitsoni varied slightly among sampling regions, although the extent of these differences was less than those between species. To validate observer identifications, a random forest (RF) model was trained using otolith shape data of 75% of the research collection samples, validated on the remaining 25%, and used to predict the species of fishery observer-collected samples. The RF model achieved high classification success for individuals from the research collections, with an Out-Of-Bag error rate of 5.97% for the training dataset. Overall classification success of individuals in the validation dataset was 96.2%, with 96.8% of M. caml and 94.8% of M. whitsoni correctly classified. Using this model, 90.6% of M. caml and 85.7% of M. whitsoni sampled by fishery observers were predicted as being correctly identified. Individual observer identification success ranged from 50.5% to 98.2%. The reliable and predictable differences in otolith shape observed between the two species indicates that our approach can be applied to ongoing or archived otolith collections to confirm species identification of fishery-sourced samples to improve the accuracy of fisheries monitoring, facilitate assignment of previously collected material to species level, develop high-confidence datasets for further biological analyses, and to understand and prioritise observer training needs. More broadly, our results highlight the potential for using otolith shape as an effective tool for assessing the accuracy of species identifications in fisheries sampling programs.</t>
  </si>
  <si>
    <t>[Moore, Bradley R.; Parker, Steven J.] Natl Inst Water &amp; Atmospher Res Ltd, Nelson, New Zealand; [Moore, Bradley R.] Univ Tasmania, Inst Marine &amp; Antarctic Studies, Hobart, Tas 7001, Australia; [Pinkerton, Matthew H.] Natl Inst Water &amp; Atmospher Res Ltd, Wellington, New Zealand</t>
  </si>
  <si>
    <t>National Institute of Water &amp; Atmospheric Research (NIWA) - New Zealand; University of Tasmania; National Institute of Water &amp; Atmospheric Research (NIWA) - New Zealand</t>
  </si>
  <si>
    <t>Moore, BR (corresponding author), Natl Inst Water &amp; Atmospher Res Ltd, Nelson, New Zealand.</t>
  </si>
  <si>
    <t>bradley.moore@niwa.co.nz</t>
  </si>
  <si>
    <t>New Zealand Ministry for Primary Industries (MPI) [ANT2019/01]; New Zealand Ministry of Business, Innovation and Employment (MBIE) through the Endeavour Fund Ross Sea Research and Monitoring Programme (Ross-RAMP) [C01X1710]; New Zealand Ministry of Business, Innovation &amp; Employment (MBIE) [C01X1710] Funding Source: New Zealand Ministry of Business, Innovation &amp; Employment (MBIE)</t>
  </si>
  <si>
    <t>New Zealand Ministry for Primary Industries (MPI); New Zealand Ministry of Business, Innovation and Employment (MBIE) through the Endeavour Fund Ross Sea Research and Monitoring Programme (Ross-RAMP)(New Zealand Ministry of Business, Innovation and Employment (MBIE)); New Zealand Ministry of Business, Innovation &amp; Employment (MBIE)</t>
  </si>
  <si>
    <t>We thank the scientific observers and the staff onboard New Zealand commercial vessels, and the staff onboard the RV Tangaroa, for the collection of data and otolith samples. Jennifer Devine and the CCAMLR Secretariat assisted with the extraction of the commercial fishery data. Caoimhghin ' O Maolag ' ain provided the otolith images from Pinkerton et al. (2015). We thank members of the New Zealand Antarctic Working Group for helpful discussions and input into this paper. Comments by Richard Saunders (NIWA), Nathan Walker (Fisheries New Zealand) and two anonymous reviewers helped to improve the manuscript. The project was funded by the New Zealand Ministry for Primary Industries (MPI) under project ANT2019/01 and the New Zealand Ministry of Business, Innovation and Employment (MBIE) through the Endeavour Fund Ross Sea Research and Monitoring Programme (Ross-RAMP; MBIE contract C01X1710).</t>
  </si>
  <si>
    <t>0165-7836</t>
  </si>
  <si>
    <t>1872-6763</t>
  </si>
  <si>
    <t>FISH RES</t>
  </si>
  <si>
    <t>Fish Res.</t>
  </si>
  <si>
    <t>10.1016/j.fishres.2022.106370</t>
  </si>
  <si>
    <t>Fisheries</t>
  </si>
  <si>
    <t>3I6OS</t>
  </si>
  <si>
    <t>WOS:000832834100001</t>
  </si>
  <si>
    <t>Marba, N; Jorda, G; Bennett, S; Duarte, CM</t>
  </si>
  <si>
    <t>Marba, Nuria; Jorda, Gabriel; Bennett, Scott; Duarte, Carlos M.</t>
  </si>
  <si>
    <t>Seagrass Thermal Limits and Vulnerability to Future Warming</t>
  </si>
  <si>
    <t>temperature; heat waves; climate change; seagrass; thresholds; mortality; growth</t>
  </si>
  <si>
    <t>WATER-TEMPERATURE TOLERANCE; ZOSTERA-MARINA; POSIDONIA-OCEANICA; PHOTOSYNTHETIC ACTIVITY; MIE PREFECTURE; CLIMATE-CHANGE; BAY; HEATWAVES; SULFIDE; GROWTH</t>
  </si>
  <si>
    <t>Seagrasses have experienced major losses globally mostly attributed to human impacts. Recently they are also associated with marine heat waves. The paucity of information on seagrass mortality thermal thresholds prevents the assessment of the risk of seagrass loss under marine heat waves. We conducted a synthesis of reported empirically- or experimentally-determined seagrass upper thermal limits (T-limit) and tested the hypothesis that they increase with increasing local annual temperature. We found that T-limit increases 0.42 +/- 0.07 degrees C per degrees C increase in in situ annual temperature (R-2 = 0.52). By combining modelled seagrass T-limit across global coastal areas with current and projected thermal regimes derived from an ocean reanalysis and global climate models (GCMs), we assessed the proximity of extant seagrass meadows to their T-limit and the time required for T-limit to be met under high (RCP8.5) and moderate (RCP4.5) emission scenarios of greenhouse gases. Seagrass meadows worldwide showed a modal difference of 5 degrees C between present T-max and seagrass T-limit. This difference was lower than 3 degrees C at the southern Red Sea, the Arabian Gulf, the Gulf of Mexico, revealing these are the areas most in risk of warming-derived seagrass die-off, and up to 24 degrees C at high latitude regions. Seagrasses could meet their T-limit regularly in summer within 50-60 years or 100 years under, respectively, RCP8.5 or RCP4.5 scenarios for the areas most at risk, to more than 200 years for the Arctic under both scenarios. This study shows that implementation of the goals under the Paris Agreement would safeguard much of global seagrass from heat-derived mass mortality and identifies regions where actions to remove local anthropogenic stresses would be particularly relevant to meet the Target 10 of the Aichi Targets of the Convention of the Biological Diversity.</t>
  </si>
  <si>
    <t>[Marba, Nuria; Bennett, Scott] Univ Illes Balears UIB, Inst Mediterrani Estudis Avancats IMEDEA, Consejo Super Invest Cient CSIC, Global Change Res Grp, Esporles, Spain; [Jorda, Gabriel] Inst Espanol Oceanog IEO CSIC, Ctr Oceanograf Balears, Palma De Mallorca, Spain; [Bennett, Scott] Univ Tasmania UTAS, Inst Marine &amp; Antarctic Studies IMAS, Hobart, Tas, Australia; [Duarte, Carlos M.] King Abdullah Univ Sci &amp; Technol KAUST, Red Sea Resarch Ctr RSRC, Thuwal, Saudi Arabia; [Duarte, Carlos M.] King Abdullah Univ Sci &amp; Technol KAUST, Computat Biosci Res Ctr CBRC, Thuwal, Saudi Arabia</t>
  </si>
  <si>
    <t>Consejo Superior de Investigaciones Cientificas (CSIC); ATTITUS Educacao; University of Tasmania; King Abdullah University of Science &amp; Technology; King Abdullah University of Science &amp; Technology</t>
  </si>
  <si>
    <t>Marba, N (corresponding author), Univ Illes Balears UIB, Inst Mediterrani Estudis Avancats IMEDEA, Consejo Super Invest Cient CSIC, Global Change Res Grp, Esporles, Spain.</t>
  </si>
  <si>
    <t>nmarba@medea.uib-csic.es</t>
  </si>
  <si>
    <t>Duarte, Carlos M/A-7670-2013; Marba, Nuria/H-8136-2015; Bennett, Scott/A-8747-2016</t>
  </si>
  <si>
    <t>Duarte, Carlos M/0000-0002-1213-1361; Marba, Nuria/0000-0002-8048-6789; Bennett, Scott/0000-0003-2969-7430</t>
  </si>
  <si>
    <t>MAY 27</t>
  </si>
  <si>
    <t>10.3389/fmars.2022.860826</t>
  </si>
  <si>
    <t>2D1FZ</t>
  </si>
  <si>
    <t>Green Submitted, gold, Green Published</t>
  </si>
  <si>
    <t>WOS:000811303100001</t>
  </si>
  <si>
    <t>Appleyard, SA; Maher, S; Miskiewicz, AG; Lara-Lopez, A; Matis, P; Fielder, DS; Suthers, IM</t>
  </si>
  <si>
    <t>Appleyard, Sharon A.; Maher, Safia; Miskiewicz, Anthony G.; Lara-Lopez, Ana; Matis, Paloma; Fielder, D. Stewart; Suthers, Iain M.</t>
  </si>
  <si>
    <t>Genetic and morphological identification of formalin fixed, preserved larval fishes; can we have the best of both worlds?</t>
  </si>
  <si>
    <t>JOURNAL OF EXPERIMENTAL MARINE BIOLOGY AND ECOLOGY</t>
  </si>
  <si>
    <t>COI barcoding; Ichthyoplankton; Ocean observing; Barcode of life data system; Species identification</t>
  </si>
  <si>
    <t>DNA BARCODE; TAXONOMY; QUALITY; EGGS</t>
  </si>
  <si>
    <t>Surveys of larval fishes require accurate identifications of larvae, which are essential to understand early life history of fish, fish ecology and fisheries. However, the identification of larval fishes requires microscopic examination that is substantially more difficult than that of juvenile and adult fishes, as many larval stages remain undescribed. Furthermore, the traditional, formalin fixation of larval fishes were previously thought to prevent genetic sequencing compared to ethanol preserved larvae. In this study, we used an integrative taxonomic approach based on morphology, imaging and DNA barcoding of the mitochondrial (mtDNA) cytochrome c oxidase subunit (COI) gene. We used this approach in both cultured yellowtail kingfish, Seriola lalandi and wild sourced fish larvae that had been fixed in 5% formalin. Based on controlled and in-field formalin treatments, DNA barcoding and genetic species identification was 100% successful in cultured yellowtail kingfish fixed in formalin for up to 6 months, while barcoding of wild caught fish larvae enabled species identification of 93% of up to 8-weeks formalin fixed specimens. Furthermore, we demonstrated the viability of using either whole larval individuals or a single eyeball (&lt;1 mm diameter, thus retaining the specimen intact) from formalin fixed larval fish for genetic species identification. While COI genetic identifications from the in-field experiments were patchier than the controlled experiments, our study highlights the possibility of recovering suitable DNA from larvae that have been fixed in formalin for up to six months. This was achieved by applying DNA extraction methods that use de-cross-linking steps and species identification based on both full-length reference and minibarcodes. Our study provides the larval fish research community with a practical framework for undertaking both morphological and genetic identifications of larval fish assemblages, particularly when geographic relevant reference sequence databases (based on vouchered adult fishes) are available for interrogation. It also simplifies field-based collection of samples allowing their preservation in formalin without compromising the genetic identification of species.</t>
  </si>
  <si>
    <t>[Appleyard, Sharon A.; Maher, Safia] Natl Res Collect Australia, CSIRO Australian Natl Fish Collect, Hobart, Tas 7000, Australia; [Miskiewicz, Anthony G.; Matis, Paloma; Suthers, Iain M.] Univ New South Wales, Sch Biol Earth &amp; Environm Sci, Sydney, NSW 2052, Australia; [Miskiewicz, Anthony G.] Australian Museum, Australian Museum Res Inst, Ichthyol Dept, Sydney, NSW 2010, Australia; [Matis, Paloma; Suthers, Iain M.] Sydney Inst Marine Sci, Chowder Bay Rd, Mosman, NSW 2088, Australia; [Lara-Lopez, Ana] Univ Tasmania, Inst Marine &amp; Antarctic Studies, Hobart, Tas 7000, Australia; [Fielder, D. Stewart] Port Stephens Fisheries Inst, NSW Dept Primary Ind, Taylors Beach Rd, Taylors Beach, NSW 2316, Australia; [Appleyard, Sharon A.] CSIRO Australian Natl Fish Collect, GPO Box 1538, Hobart, Tas 7000, Australia</t>
  </si>
  <si>
    <t>Commonwealth Scientific &amp; Industrial Research Organisation (CSIRO); University of New South Wales Sydney; Australian Museum; Sydney Institute of Marine Science; University of Tasmania; NSW Department of Primary Industries; Commonwealth Scientific &amp; Industrial Research Organisation (CSIRO)</t>
  </si>
  <si>
    <t>Appleyard, SA (corresponding author), CSIRO Australian Natl Fish Collect, GPO Box 1538, Hobart, Tas 7000, Australia.</t>
  </si>
  <si>
    <t>Sharon.Appleyard@csiro.au</t>
  </si>
  <si>
    <t>Suthers, Iain M/C-4559-2008; Fielder, Donald Stewart/K-7911-2017; Appleyard, Sharon/D-6076-2012</t>
  </si>
  <si>
    <t>Appleyard, Sharon/0000-0002-3105-1690; Lara-Lopez, Ana/0000-0003-2896-1367</t>
  </si>
  <si>
    <t>Commonwealth Scientific Industrial Research Organisation; Sydney Institute of Marine Science; University of New South Wales; Australia's Integrated Marine Observing System (IMOS)</t>
  </si>
  <si>
    <t>Commonwealth Scientific Industrial Research Organisation(Commonwealth Scientific &amp; Industrial Research Organisation (CSIRO)); Sydney Institute of Marine Science; University of New South Wales; Australia's Integrated Marine Observing System (IMOS)</t>
  </si>
  <si>
    <t>This research was funded by the Commonwealth Scientific Industrial Research Organisation, Sydney Institute of Marine Science and co-funding from the University of New South Wales, and Australia's Integrated Marine Observing System (IMOS). Data was sourced from IMOS - IMOS is enabled by the National Collaborative Research Infrastructure Strategy (NCRIS).</t>
  </si>
  <si>
    <t>0022-0981</t>
  </si>
  <si>
    <t>1879-1697</t>
  </si>
  <si>
    <t>J EXP MAR BIOL ECOL</t>
  </si>
  <si>
    <t>J. Exp. Mar. Biol. Ecol.</t>
  </si>
  <si>
    <t>10.1016/j.jembe.2022.151763</t>
  </si>
  <si>
    <t>Ecology; Marine &amp; Freshwater Biology</t>
  </si>
  <si>
    <t>1X9EZ</t>
  </si>
  <si>
    <t>WOS:000807753300001</t>
  </si>
  <si>
    <t>Boreddy, SKR; Hegde, P; Aswini, AR</t>
  </si>
  <si>
    <t>Boreddy, Suresh K. R.; Hegde, Prashant; Aswini, A. R.</t>
  </si>
  <si>
    <t>Summertime High Abundances of Succinic, Citric, and Glyoxylic Acids in Antarctic Aerosols: Implications to Secondary Organic Aerosol Formation</t>
  </si>
  <si>
    <t>JOURNAL OF GEOPHYSICAL RESEARCH-ATMOSPHERES</t>
  </si>
  <si>
    <t>dicarboxylic acids; citric acid; Antarctic; sea-to-air emission; air masses</t>
  </si>
  <si>
    <t>SOLUBLE DICARBOXYLIC-ACIDS; OMEGA-OXOCARBOXYLIC ACIDS; WESTERN NORTH PACIFIC; GREENLAND ICE CORE; MARINE AEROSOLS; ALPHA-DICARBONYLS; ATMOSPHERIC AEROSOLS; OXALIC-ACID; MOLECULAR-DISTRIBUTIONS; PHOTOCHEMICAL FORMATION</t>
  </si>
  <si>
    <t>Observations of organic compounds associated with natural sources are scarce in Antarctica, which limits our understanding of their sources and formation processes over the pristine region. Summertime Antarctic PM10 samples collected from Bharati station were studied for a homologous series of dicarboxylic acids (C-2-C-12), omega-oxoacids (C-2-C-9), alpha-dicarbonyls (C-2-C-3) as well as citric and pyruvic acids by employing a water-extraction followed by dibutyl ester derivatization technique and analyzed using capillary gas chromatography (GC). Results show that succinic (C-4) and citric acids are the foremost abundant among the measured organic acids followed by glyoxylic (omega C-2), azelaic (C-9), and adipic (C-6) acids. Such a typical molecular distribution of organic acids suggests the dominance of natural sources over the Antarctic. Two distinct air masses arrived from different altitudes, high and low altitude-troposphere (HTAs and LTAs), showed a significant difference in mass concentrations of organic acids with higher values in LTAs. Total diacids-C accounted for similar to 9% of total carbon in HTAs, which is linked to chemical aging during long-range transport. The higher abundance of C-4 and citric acids are likely produced through secondary photooxidation of marine-derived organic precursors, such as unsaturated fatty acids, phenolic, and biogenic isoprene compounds enriched in sea-surface microlayer, via sea-to-air emission as confirmed by the significant (p &lt; 0.05) correlations among the organic tracer compounds. Minor concentrations of oxalic and malonic (C-2 and C-3) acids were attributed to photo iron-complex reactions in the aqueous-phase atmosphere. These findings may help in reducing model uncertainties and present new insights into the secondary formation of organic aerosols in the polar environment.</t>
  </si>
  <si>
    <t>[Boreddy, Suresh K. R.; Hegde, Prashant; Aswini, A. R.] Vikram Sarabhai Space Ctr, Space Phys Lab, Thiruvananthapuram, Kerala, India; [Boreddy, Suresh K. R.] SRM Inst Sci &amp; Technol SRMIST, Dept Phys &amp; Nanotechnol, Kattankulathur, Tamil Nadu, India</t>
  </si>
  <si>
    <t>Department of Space (DoS), Government of India; Indian Space Research Organisation (ISRO); Vikram Sarabhai Space Center (VSSC); SRM Institute of Science &amp; Technology Chennai</t>
  </si>
  <si>
    <t>Hegde, P (corresponding author), Vikram Sarabhai Space Ctr, Space Phys Lab, Thiruvananthapuram, Kerala, India.</t>
  </si>
  <si>
    <t>hegdeprashant@yahoo.com</t>
  </si>
  <si>
    <t>; BOREDDY, Suresh Kumar Reddy/C-9713-2012</t>
  </si>
  <si>
    <t>Hegde, Prashant/0000-0002-1905-2148; BOREDDY, Suresh Kumar Reddy/0000-0002-0619-2942; A R, Aswini/0000-0002-9324-3890</t>
  </si>
  <si>
    <t>ISRO</t>
  </si>
  <si>
    <t>This work has been carried out as a part of the National Centre for Antarctic and Ocean Research (NCAOR), Goa during 36th Indian Scientific Expedition to Antarctica (ISEA). The authors sincerely thank the Director, NCAOR, and his team for arranging the necessary logistics and support for conducting the sampling at Bharati station in Antarctica. The authors extend special thanks to Mr. S. Muralidharan, Dr. I. A. Girach, Dr. N. Koushik, and Dr. K. Nalini for their valuable support during sampling at Bharati station over East Antarctica. The authors also acknowledge NOAA Air Resources Laboratory for free access to the HYSPLIT transport dispersion model from the website, . Dr. Boreddy has acknowledged ISRO for his research fellowship.</t>
  </si>
  <si>
    <t>2169-897X</t>
  </si>
  <si>
    <t>2169-8996</t>
  </si>
  <si>
    <t>J GEOPHYS RES-ATMOS</t>
  </si>
  <si>
    <t>J. Geophys. Res.-Atmos.</t>
  </si>
  <si>
    <t>e2021JD036172</t>
  </si>
  <si>
    <t>10.1029/2021JD036172</t>
  </si>
  <si>
    <t>1Q6LY</t>
  </si>
  <si>
    <t>WOS:000802797500001</t>
  </si>
  <si>
    <t>Cubaynes, HC; Fretwell, PT</t>
  </si>
  <si>
    <t>Cubaynes, Hannah C.; Fretwell, Peter T.</t>
  </si>
  <si>
    <t>Whales from space dataset, an annotated satellite image dataset of whales for training machine learning models</t>
  </si>
  <si>
    <t>Monitoring whales in remote areas is important for their conservation; however, using traditional survey platforms (boat and plane) in such regions is logistically difficult. The use of very high-resolution satellite imagery to survey whales, particularly in remote locations, is gaining interest and momentum. However, the development of this emerging technology relies on accurate automated systems to detect whales, which are currently lacking. Such detection systems require access to an open source library containing examples of whales annotated in satellite images to train and test automatic detection systems. Here we present a dataset of 633 annotated whale objects, created by surveying 6,300 km2 of satellite imagery captured by various very high-resolution satellites (i.e. WorldView-3, WorldView-2, GeoEye-1 and Quickbird-2) in various regions across the globe (e.g. Argentina, New Zealand, South Africa, United States, Mexico). The dataset covers four different species: southern right whale (Eubalaena glacialis), humpback whale (Megaptera novaeangliae), fin whale (Balaenoptera physalus), and grey whale (Eschrichtius robustus).</t>
  </si>
  <si>
    <t>[Cubaynes, Hannah C.; Fretwell, Peter T.] British Antarctic Survey, Madingley Rd, Cambridge CB3 0ET, England; [Cubaynes, Hannah C.] Univ Cambridge, Scott Polar Res Inst, Lensfield Rd, Cambridge CB2 1ER, England</t>
  </si>
  <si>
    <t>UK Research &amp; Innovation (UKRI); Natural Environment Research Council (NERC); NERC British Antarctic Survey; University of Cambridge</t>
  </si>
  <si>
    <t>Cubaynes, HC (corresponding author), British Antarctic Survey, Madingley Rd, Cambridge CB3 0ET, England.;Cubaynes, HC (corresponding author), Univ Cambridge, Scott Polar Res Inst, Lensfield Rd, Cambridge CB2 1ER, England.</t>
  </si>
  <si>
    <t>hannah.cubaynes@gmail.com</t>
  </si>
  <si>
    <t>Cubaynes, Hannah/0000-0002-9497-154X</t>
  </si>
  <si>
    <t>Innovation Voucher from the British Antarctic Survey; NC-International NERC [NE/T012439/1]</t>
  </si>
  <si>
    <t>Innovation Voucher from the British Antarctic Survey; NC-International NERC</t>
  </si>
  <si>
    <t>This work was supported by an Innovation Voucher from the British Antarctic Survey and a grant from NC-International NERC (NE/T012439/1). We are thankful to Ellen Bowler for her advice on the best format of the boxes, for this database to be useful for machine learning. We are also grateful to the insightful knowledge from the teams of machine learning experts from the GAIA (Geospatial Artificial Intelligence for Animals) and the GSTS smartWhales projects, and the Cambridge Image Analysis and the AI for the study of Environmental Risk research groups from the Department of Applied Mathematics and Theoretical Physics at the University of Cambridge, which used and confirmed the application of these datasets to machine learning.</t>
  </si>
  <si>
    <t>10.1038/s41597-022-01377-4</t>
  </si>
  <si>
    <t>1P9SJ</t>
  </si>
  <si>
    <t>WOS:000802340900001</t>
  </si>
  <si>
    <t>González-Herrero, S; Barriopedro, D; Trigo, RM; López-Bustins, JA; Oliva, M</t>
  </si>
  <si>
    <t>Gonzalez-Herrero, Sergi; Barriopedro, David; Trigo, Ricardo M.; Albert Lopez-Bustins, Joan; Oliva, Marc</t>
  </si>
  <si>
    <t>Climate warming amplified the 2020 record-breaking heatwave in the Antarctic Peninsula</t>
  </si>
  <si>
    <t>ICE SHELF; SURFACE MELT; TEMPERATURE; CIRCULATION; SUMMER; ENSO; SAM; ATTRIBUTION</t>
  </si>
  <si>
    <t>February 2020 was anomalously warm in the Antarctic Peninsula region and registered one of the most intense heatwaves ever recorded in Western Antarctica. The event featured unprecedented regional mean temperature anomalies (+4.5 degrees C) over the Antarctic Peninsula between 6 and 11 February 2020 and the highest local temperature of the continental Antarctic region. Taking flow analogs of the event from past (1950-1984) and recent (1985-2019) periods of the ERA5 reanalysis, here we quantify the role of recent climate change in the magnitude of this 6-day regional heatwave. Results show that 2020-like heatwaves over the Antarctic Peninsula are now at least similar to 0.4 degrees C warmer than in the past period, which represents a similar to 25% increase in magnitude. Given the observed atmospheric circulation conditions, the probability of experiencing 6-day regional mean anomalies above similar to 2 degrees C has increased ten times since 1950-1984. The aggravated severity of the event can be largely ascribed to long-term summer warming of the Antarctic Peninsula rather than recent atmospheric circulation trends.</t>
  </si>
  <si>
    <t>[Gonzalez-Herrero, Sergi] Agencia Estatal Meteorol AEMET, Antarctic Grp, Barcelona, Spain; [Gonzalez-Herrero, Sergi] Univ Barcelona, Dept Appl Phys Meteorol, Barcelona, Spain; [Barriopedro, David] Univ Complutense Madrid, Consejo Super Invest Cient, Inst Geociencias IGEO, Madrid, Spain; [Trigo, Ricardo M.] Univ Lisbon, Fac Ciencias, Inst Dom Luiz IDL, Lisbon, Portugal; [Trigo, Ricardo M.] Univ Fed Rio de Janeiro, Dept Meteorol, BR-21941916 Rio De Janeiro, Brazil; [Albert Lopez-Bustins, Joan; Oliva, Marc] Univ Barcelona, Dept Geog, Barcelona, Spain</t>
  </si>
  <si>
    <t>Agencia Estatal de Meteorologia (AEMET); University of Barcelona; Complutense University of Madrid; Consejo Superior de Investigaciones Cientificas (CSIC); CSIC-UCM - Instituto de Geociencias (IGEO); Universidade de Lisboa; Universidade Federal do Rio de Janeiro; University of Barcelona</t>
  </si>
  <si>
    <t>González-Herrero, S (corresponding author), Agencia Estatal Meteorol AEMET, Antarctic Grp, Barcelona, Spain.;González-Herrero, S (corresponding author), Univ Barcelona, Dept Appl Phys Meteorol, Barcelona, Spain.</t>
  </si>
  <si>
    <t>sgonzalezh@aemet.es</t>
  </si>
  <si>
    <t>Barriopedro, David/C-1421-2008; Gonzalez-Herrero, Sergi/Y-7279-2018; Oliva, Marc/K-5423-2014; Trigo, Ricardo/B-7044-2008</t>
  </si>
  <si>
    <t>Barriopedro, David/0000-0001-6476-944X; Gonzalez-Herrero, Sergi/0000-0002-2505-2435; Trigo, Ricardo/0000-0002-4183-9852</t>
  </si>
  <si>
    <t>ANTALP Research Group, Generalitat de Catalunya; Ministerio de Ciencia e Innovacion [PID2020-116520RB-I00, RTI2018-098693-B-C32]; Fundacao para a Ciencia e a Tecnologia of Portugal [RYC-2015-17597, PTDC/CTA-GFI/32002/2017]; H2020 EU project CLINT [101003876]; Portuguese Foundation for Science and Technology through the FCT [JPIOCEANS/0001/2019]; Ministerio para la Transicion Ecologica y Reto Demografico; Ministerio de Ciencia e Innovacion of the Spanish Goverment; Fundação para a Ciência e a Tecnologia [PTDC/CTA-GFI/32002/2017, JPIOCEANS/0001/2019] Funding Source: FCT</t>
  </si>
  <si>
    <t>ANTALP Research Group, Generalitat de Catalunya(Generalitat de Catalunya); Ministerio de Ciencia e Innovacion(Instituto de Salud Carlos IIISpanish Government); Fundacao para a Ciencia e a Tecnologia of Portugal(Fundacao para a Ciencia e a Tecnologia (FCT)); H2020 EU project CLINT; Portuguese Foundation for Science and Technology through the FCT(Fundacao para a Ciencia e a Tecnologia (FCT)); Ministerio para la Transicion Ecologica y Reto Demografico; Ministerio de Ciencia e Innovacion of the Spanish Goverment; Fundação para a Ciência e a Tecnologia(Fundacao para a Ciencia e a Tecnologia (FCT))</t>
  </si>
  <si>
    <t>We thank David Bromwich for his useful comments and discussions on this research. We want to acknowledge the contribution of the two anonymous reviewers, which provided constructive comments that helped to substantially improve the final form of this manuscript. The AEMET Antarctic program is supported by the Ministerio para la Transicion Ecologica y Reto Demografico and Ministerio de Ciencia e Innovacion of the Spanish Goverment. Research activities of S.G. and M.O. are partly funded by ANTALP Research Group, Generalitat de Catalunya. S.G. is supported by the Ministerio de Ciencia e Innovacion project - PID2020-116520RB-I00 (MICROAIRPOLAR2) and RTI2018-098693-B-C32 (WISE-PreP). M.O. is supported by the Ramon y Cajal Program (RYC-2015-17597) and the NUNANTAR (PTDC/CTA-GFI/32002/2017) from the FundacAo para a Ciencia e a Tecnologia of Portugal. D.B. acknowledges support from the H2020 EU project CLINT (Grant Agreement No. 101003876). R.M.T. was supported of the Portuguese Foundation for Science and Technology through the FCT - project JPIOCEANS/0001/2019 (ROADMAP). This research is part of the CSIC Interdisciplinary Thematic Platform (PTI) Clima y Servicios Climaticos (PTI-CLIMA) and POLARCSIC (PTI-POLAR) activities.</t>
  </si>
  <si>
    <t>10.1038/s43247-022-00450-5</t>
  </si>
  <si>
    <t>1N6JL</t>
  </si>
  <si>
    <t>WOS:000800759500001</t>
  </si>
  <si>
    <t>Schuster, FM</t>
  </si>
  <si>
    <t>Schuster, Frank M.</t>
  </si>
  <si>
    <t>In search of the origin of an Antarctic ghost ship: The legend of the Jenny re-evaluated</t>
  </si>
  <si>
    <t>POLAR RECORD</t>
  </si>
  <si>
    <t>Antarctic; Arctic; Ghostship Jenny (Ship); Legend; Flying Dutchman; Sir John Frankin</t>
  </si>
  <si>
    <t>FLYING-DUTCHMAN</t>
  </si>
  <si>
    <t>When Sir John Franklin's expedition ships, lost since 1845, were found in the Arctic in 2014 and 2016, respectively, they were referred to several times in the media as ghost ships. However, such a comparison is not new. In 1862, an article linking the disappearance of the Franklin expedition to that of a ghost ship in Antarctic waters appeared in a newly founded German geographic journal aimed at a general audience. The story of the ghost ship Jenny in the Drake Passage between South America and Antarctica would probably have been long forgotten had it not appeared again in this journal in English translation a century later. Since then, the story has appeared again and again in publications about mysterious phenomena, without succeeding in answering the question of whether such a ship ever existed at all. Instead of continuing to look for evidence of the actual existence of the ship, the following article not only presents the sources of the 1862 journal article but also examines how the story itself might have originated. In addition to a well-known legend about a ghost ship in the Arctic waters of Greenland, which will also be analysed in greater detail, oral tales and tradition about two almost forgotten voyages into Antarctic waters and a well-known one have probably also been incorporated into the tale of the ghost ship Jenny. All translations from German are by the author.</t>
  </si>
  <si>
    <t>[Schuster, Frank M.] Justus Liebig Univ Giessen, Hist Inst, Osteuropa Geschichte, Otto Behaghel Str 10d, D-35394 Giessen, Germany</t>
  </si>
  <si>
    <t>Justus Liebig University Giessen</t>
  </si>
  <si>
    <t>Schuster, FM (corresponding author), Justus Liebig Univ Giessen, Hist Inst, Osteuropa Geschichte, Otto Behaghel Str 10d, D-35394 Giessen, Germany.</t>
  </si>
  <si>
    <t>frank.m.schuster@geschichte.uni-giessen.de</t>
  </si>
  <si>
    <t>Schuster, Frank M./0000-0002-1590-2870</t>
  </si>
  <si>
    <t>0032-2474</t>
  </si>
  <si>
    <t>1475-3057</t>
  </si>
  <si>
    <t>POLAR REC</t>
  </si>
  <si>
    <t>POLAR REC.</t>
  </si>
  <si>
    <t>e13</t>
  </si>
  <si>
    <t>10.1017/S0032247422000110</t>
  </si>
  <si>
    <t>1N4BV</t>
  </si>
  <si>
    <t>WOS:000800603400001</t>
  </si>
  <si>
    <t>Feng, JL; Li, DL; Zhang, J; Zhao, L</t>
  </si>
  <si>
    <t>Feng, Jianlong; Li, Delei; Zhang, Jing; Zhao, Liang</t>
  </si>
  <si>
    <t>Variations and Environmental Controls of Primary Productivity in the Amundsen Sea</t>
  </si>
  <si>
    <t>Amundsen Sea; primary productivity; bioregions; dissolved iron; climate change</t>
  </si>
  <si>
    <t>PHYTOPLANKTON BIOMASS; TROPHIC REGIMES; NEW-ZEALAND; IRON; POLYNYA; ICE; CLASSIFICATION; COASTAL; DISTRIBUTIONS; VARIABILITY</t>
  </si>
  <si>
    <t>The Amundsen Sea is one of the regions with the highest primary productivity in the Antarctic. To better understand the role of the Southern Ocean in the global carbon cycle and in climate regulation, a better understanding of the variations and environmental controls of primary productivity is needed. Using cluster analysis, the Amundsen Sea was divided into nine bioregions. The biophysical differences among bioregions enhanced confidence to identify priorities and regions to study the temporal and spatial variations in primary production. Four nearshore bioregions with high net primary productivity or rapidly increasing rates were selected to analyze temporal and spatial variations in primary productivity in the Amundsen Sea. Due to changes in net solar radiation and sea ice, primary production had significant seasonal variation in these four bioregions. The phenology had changed at two bioregions (6 and 7), which has the third and fourth highest primary production, due to changes in the dissolved iron. Annual primary production showed increasing trends in these four bioregions, and it was significant at three bioregions. The variation in primary production in the bioregion (9), which has the highest primary production, was mainly affected by variations in sea surface temperatures. In the bioregion (8), which has the second-highest primary production, the primary production was significantly positively correlated with sea surface temperature and significantly negatively correlated with sea ice thickness. The long-term changes of primary productivity in bioregions 6 and 7 were thought to be related to changes in the dissolved iron, and dissolved iron was the limiting factor in these two bioregions. Bioregionalization not only disentangles multiple factors that control the spatial differences, but also disentangles limiting factors that affect the phenology, decadal and long-term changes in primary productivity.</t>
  </si>
  <si>
    <t>[Feng, Jianlong; Zhang, Jing; Zhao, Liang] Tianjin Univ Sci &amp; Technol, Key Lab Marine Resource Chem &amp; Food Technol TUST, Minist Educ, Tianjin, Peoples R China; [Feng, Jianlong] Pilot Natl Lab Marine Sci &amp; Technol Qingdao, Lab Marine Fisheries Sci &amp; Food Prod Proc, Qingdao, Peoples R China; [Li, Delei] Chinese Acad Sci, Inst Oceanol, Key Lab Ocean Circulat &amp; Waves, Qingdao, Peoples R China; [Li, Delei] Chinese Acad Sci, Ctr Ocean Mega Sci, Qingdao, Peoples R China; [Zhao, Liang] Tianjin Univ, Sch Marine Sci &amp; Technol, Tianjin, Peoples R China</t>
  </si>
  <si>
    <t>Tianjin University Science &amp; Technology; Laoshan Laboratory; Chinese Academy of Sciences; Institute of Oceanology, CAS; Chinese Academy of Sciences; Tianjin University</t>
  </si>
  <si>
    <t>Zhao, L (corresponding author), Tianjin Univ Sci &amp; Technol, Key Lab Marine Resource Chem &amp; Food Technol TUST, Minist Educ, Tianjin, Peoples R China.;Zhao, L (corresponding author), Tianjin Univ, Sch Marine Sci &amp; Technol, Tianjin, Peoples R China.</t>
  </si>
  <si>
    <t>zhaoliang@tust.edu.cn</t>
  </si>
  <si>
    <t>LI, Delei/S-1564-2019; Wang, Xingyi/KHT-7171-2024</t>
  </si>
  <si>
    <t>Zhang, Jing/0000-0003-0647-1690</t>
  </si>
  <si>
    <t>Project of Scientific Research Program of Tianjin Municipal Education Commission [RFSOCC2020-2022-No.18]; National Science Foundation of Tianjin [2017KJ181]; [19JCZDJC40600]</t>
  </si>
  <si>
    <t>Project of Scientific Research Program of Tianjin Municipal Education Commission; National Science Foundation of Tianjin(Natural Science Foundation of Tianjin);</t>
  </si>
  <si>
    <t>Funding This study was supported by impact and response of Antarctic seas to climate change under contract RFSOCC2020-2022-No.18, Project of Scientific Research Program of Tianjin Municipal Education Commission (2017KJ181) and National Science Foundation of Tianjin (19JCZDJC40600).</t>
  </si>
  <si>
    <t>MAY 26</t>
  </si>
  <si>
    <t>10.3389/fmars.2022.891663</t>
  </si>
  <si>
    <t>1Y6LG</t>
  </si>
  <si>
    <t>WOS:000808253300001</t>
  </si>
  <si>
    <t>Taucher, J; Bach, LT; Prowe, AEF; Boxhammer, T; Kvale, K; Riebesell, U</t>
  </si>
  <si>
    <t>Taucher, Jan; Bach, Lennart T.; Prowe, A. E. Friederike; Boxhammer, Tim; Kvale, Karin; Riebesell, Ulf</t>
  </si>
  <si>
    <t>Enhanced silica export in a future ocean triggers global diatom decline</t>
  </si>
  <si>
    <t>NATURE</t>
  </si>
  <si>
    <t>PARTICULATE ORGANIC-CARBON; BIOGENIC-SILICA; TECHNICAL NOTE; ELEVATED CO2; WORLD OCEAN; DISSOLUTION; ACIDIFICATION; MODEL; NUTRIENT; RATIOS</t>
  </si>
  <si>
    <t>Diatoms account for up to 40% of marine primary production(1,2) and require silicic acid to grow and build their opal shell(3). On the physiological and ecological level, diatoms are thought to be resistant to, or even benefit from, ocean acidification(4-6). Yet, global-scale responses and implications for biogeochemical cycles in the future ocean remain largely unknown. Here we conducted five in situ mesocosm experiments with natural plankton communities in different biomes and find that ocean acidification increases the elemental ratio of silicon (Si) to nitrogen (N) of sinking biogenic matter by 17 +/- 6 per cent under p(CO2) conditions projected for the year 2100. This shift in Si:N seems to be caused by slower chemical dissolution of silica at decreasing seawater pH. We test this finding with global sediment trap data, which confirm a widespread influence of pH on Si:N in the oceanic water column. Earth system model simulations show that a future pH-driven decrease in silica dissolution of sinking material reduces the availability of silicic acid in the surface ocean, triggering a global decline of diatoms by 13-26 per cent due to ocean acidification by the year 2200. This outcome contrasts sharply with the conclusions of previous experimental studies, thereby illustrating how our current understanding of biological impacts of ocean change can be considerably altered at the global scale through unexpected feedback mechanisms in the Earth system.</t>
  </si>
  <si>
    <t>[Taucher, Jan; Prowe, A. E. Friederike; Boxhammer, Tim; Kvale, Karin; Riebesell, Ulf] GEOMAR Helmholtz Ctr Ocean Res Kiel, Kiel, Germany; [Bach, Lennart T.] Univ Tasmania, Inst Marine &amp; Antarctic Studies, Hobart, Tas, Australia; [Kvale, Karin] GNS Sci, Lower Hutt, New Zealand</t>
  </si>
  <si>
    <t>Helmholtz Association; GEOMAR Helmholtz Center for Ocean Research Kiel; University of Tasmania; GNS Science - New Zealand</t>
  </si>
  <si>
    <t>Taucher, J (corresponding author), GEOMAR Helmholtz Ctr Ocean Res Kiel, Kiel, Germany.</t>
  </si>
  <si>
    <t>jtaucher@geomar.de</t>
  </si>
  <si>
    <t>Kvale, Karin/T-1231-2018</t>
  </si>
  <si>
    <t>Kvale, Karin/0000-0001-8043-5431; Bach, Lennart/0000-0003-0202-3671; Prowe, Friederike/0000-0001-5281-4696; Taucher, Jan/0000-0001-9944-0775; Boxhammer, Tim/0000-0002-9632-5947</t>
  </si>
  <si>
    <t>German Federal Ministry of Science and Education (BMBF) [FKZ 03F0728, FKZ 03F0662]; 'European Project on Ocean Acidification' (EPOCA) from the European Community's Seventh Framework Programme (FP7/2007-2013) [211384]; EU project MESOAQUA [228224]; BIOACIDII [FKZ 03F06550]; SOPRANII [03F0611]</t>
  </si>
  <si>
    <t>German Federal Ministry of Science and Education (BMBF)(Federal Ministry of Education &amp; Research (BMBF)); 'European Project on Ocean Acidification' (EPOCA) from the European Community's Seventh Framework Programme (FP7/2007-2013); EU project MESOAQUA; BIOACIDII; SOPRANII</t>
  </si>
  <si>
    <t>This study was supported by the German Federal Ministry of Science and Education (BMBF) in the framework of the projects BIOACIDIII ('Biological Impacts of Ocean Acidification', FKZ 03F0728) and SOPRANIII ('Surface Ocean Processes in the Anthropocene', FKZ 03F0662). Funding for the different mesocosm studies was also provided by the 'European Project on Ocean Acidification' (EPOCA, grant no. 211384) from the European Community's Seventh Framework Programme (FP7/2007-2013), the EU project MESOAQUA (grant no. 228224), as well as BIOACIDII (FKZ 03F06550) and SOPRANII (03F0611). Furthermore, we thank all participating scientists and technicians for their efforts in realizing the different studies. We also thank the staff of the marine biological stations in the different study locations for providing logistics, technical assistance and support at all times. We thank the captains and crews of RV Viking Explorer, MV Esperanza of Greenpeace, RV Hakon Mosby (2011609), RV Alkor (AL376, AL394, AL397, AL406, AL420), RV Heincke (HE360), RV Poseidon (POS463), and RV Hesperides (29HE20140924) for support during transport, deployment and recovery of the mesocosm facilities.</t>
  </si>
  <si>
    <t>0028-0836</t>
  </si>
  <si>
    <t>1476-4687</t>
  </si>
  <si>
    <t>Nature</t>
  </si>
  <si>
    <t>10.1038/s41586-022-04687-0</t>
  </si>
  <si>
    <t>1P5ES</t>
  </si>
  <si>
    <t>WOS:000802032400020</t>
  </si>
  <si>
    <t>Kepski, D; Kubicki, M</t>
  </si>
  <si>
    <t>Kepski, Daniel; Kubicki, Marek</t>
  </si>
  <si>
    <t>Thunderstorm activity at high latitudes observed at manned WMO weather stations</t>
  </si>
  <si>
    <t>INTERNATIONAL JOURNAL OF CLIMATOLOGY</t>
  </si>
  <si>
    <t>Antarctic; Arctic; high latitudes; lightning activity; meteorological observations; SYNOP; thunderstorm</t>
  </si>
  <si>
    <t>GLOBAL PRECIPITATION; CONVECTIVE CLOUD; NORTHERN EURASIA; CLIMATE; PART; TRENDS; ALASKA; FIRES; VARIABILITY; FREQUENCIES</t>
  </si>
  <si>
    <t>Ongoing global warming particularly affects the coldest regions of our planet, where thunderstorm activity is considered to be the lowest. Scientific studies usually predict that lightning will become more frequent in polar areas in a warmer world. The aim of this study is to test this hypothesis and present the current knowledge on thunderstorm occurrence at high latitudes (&gt;60 degrees) based on SYNOP data from manned WMO stations operating from 2000 to 2019. According to this source, most thunderstorm events at high latitudes occur in summer (85%), when the air temperature ranges from 15 to 25 degrees C (70%), during the days with positive temperature anomalies (75%) and negative sea-level pressure anomalies (65%). The highest thunderstorm activity is observed over inland areas, especially in the European part of Russia. The changes in thunderstorm frequency are only visible at certain WMO manned stations and mostly during the summer months. The regional Kendall test revealed a statistically significant increase in the number of thunderstorm days north of 60 degrees N in Interior Alaska, northwestern Canada, much of Siberia and European Russia. A decrease in thunderstorm frequency over a larger area was detected only on the shores of the southern Norwegian Sea, and seasonally in spring in the northern Urals. The observed trends were strongest in the Central Siberia and Interior Alaska regions, where the increase in the number of thunderstorm days exceeded 5 per decade. For the entire high-latitude area, the change in the number of days with thunderstorms was statistically insignificant, but for stations located 250-1,000 km from the coastline, the averaged increase amounted 1 day per decade.</t>
  </si>
  <si>
    <t>[Kepski, Daniel; Kubicki, Marek] Polish Acad Sci, Inst Geophys, Ksiecia Janusza 64, PL-01452 Warsaw, Poland</t>
  </si>
  <si>
    <t>Polish Academy of Sciences; Institute of Geophysics of the Polish Academy of Sciences</t>
  </si>
  <si>
    <t>Kepski, D (corresponding author), Polish Acad Sci, Inst Geophys, Ksiecia Janusza 64, PL-01452 Warsaw, Poland.</t>
  </si>
  <si>
    <t>d.kepski@igf.edu.pl</t>
  </si>
  <si>
    <t>Kępski, Daniel/AAE-7205-2020</t>
  </si>
  <si>
    <t>Kępski, Daniel/0000-0001-7903-2942; Kubicki, Marek/0000-0001-8664-4939</t>
  </si>
  <si>
    <t>Ministry of Education and Science</t>
  </si>
  <si>
    <t>Ministry of Education and Science(Ministry of Education, Culture, Sports, Science and Technology, Japan (MEXT))</t>
  </si>
  <si>
    <t>0899-8418</t>
  </si>
  <si>
    <t>1097-0088</t>
  </si>
  <si>
    <t>INT J CLIMATOL</t>
  </si>
  <si>
    <t>Int. J. Climatol.</t>
  </si>
  <si>
    <t>DEC 15</t>
  </si>
  <si>
    <t>10.1002/joc.7678</t>
  </si>
  <si>
    <t>7A3PU</t>
  </si>
  <si>
    <t>WOS:000800416600001</t>
  </si>
  <si>
    <t>Brandon, M; Duchamp-Alphonse, S; Michel, E; Landais, A; Isguder, G; Richard, P; Pige, N; Bassinot, F; Jaccard, SL; Bartolini, A</t>
  </si>
  <si>
    <t>Brandon, Margaux; Duchamp-Alphonse, Stephanie; Michel, Elisabeth; Landais, Amaelle; Isguder, Gulay; Richard, Patricia; Pige, Nicolas; Bassinot, Franck; Jaccard, Samuel L.; Bartolini, Annachiara</t>
  </si>
  <si>
    <t>Enhanced Carbonate Counter Pump and upwelling strengths in the Indian sector of the Southern Ocean during MIS 11</t>
  </si>
  <si>
    <t>Southern Ocean; Marine Isotope Stage 11; Coccolith; Planktonic foraminifera; Geochemistry; Carbonate Counter Pump; Upwelling; Atmospheric CO2 concentration</t>
  </si>
  <si>
    <t>CALCAREOUS NANNOFOSSIL ASSEMBLAGES; NATURAL IRON FERTILIZATION; ANTARCTIC SEA-ICE; ISOTOPE STAGE 11; ATMOSPHERIC CO2; POLAR FRONT; FORAMINIFERAL CALCIFICATION; CLIMATE VARIABILITY; AUSTRALIAN SECTOR; CALCIUM-CARBONATE</t>
  </si>
  <si>
    <t>While numerous studies have highlighted the central role of Southern Ocean (SO) dynamics in modulating rapid increases in atmospheric CO2 concentrations during deglaciations, fewer studies have yet focused on the impact of the Biological Carbon Pump - and more specifically the Carbonate Counter Pump (CCP) - in contributing to increase the CO2 concentration in oceanic surface waters and thus, in the atmosphere. Here, we present micropaleontological (coccolith, planktonic foraminifera) and geochemical (CaCO3, Ca-XRF, delta C-13(N). (pachyderma)) constraints from sediment core MD04-2718 retrieved in the Polar Front Zone of the Indian Ocean covering the time interval spanning Marine Isotope Stage (MIS) 12 to MIS 10 (440,000-360,000 years). We compare our results with published records from the SO to reconstruct past changes in CCP and upwelling dynamics and understand their leverage on the ocean-atmosphere portioning of CO2. We demonstrate that the sharp increase in atmospheric pCO(2) during Termination V was likely associated with enhanced deep-water ventilation in the SO, that promoted the release of previously sequestered CO2 to the ocean surface as the westerly wind belt and the frontal system migrated southwards. Enhanced CCP is observed later, during MIS 11, and is likely the consequence of higher sea surface temperature and higher nutrient availability due to the reinvigoration of SO upwelling leading to increased coccolith (and to a lesser degree, planktonic foraminifera) production and export. The low eccentricity signal recorded during MIS 11 might have additionally strengthened the CCP, exerting a specific control on Gephyrocapsa morphotypes. In addition to the strong global biological productivity and higher carbon storage on land, these synergistic mechanisms may have permitted to shape the distinctive 30 ka-long pCO(2) plateau characteristic of MIS 11. (C) 2022 Elsevier Ltd. All rights reserved.</t>
  </si>
  <si>
    <t>[Brandon, Margaux; Duchamp-Alphonse, Stephanie] Univ Paris Saclay, GEOPS, CNRS, F-91405 Orsay, France; [Brandon, Margaux; Michel, Elisabeth; Landais, Amaelle; Isguder, Gulay; Richard, Patricia; Bassinot, Franck] Univ Paris Saclay, Lab Sci Climat &amp; Environm, CEA, CNRS,UVSQ, F-91191 Gif Sur Yvette, France; [Pige, Nicolas] Univ Lyon, LGL TPE, CNRS, UJM,UCBL,ENSL, F-69622 Villeurbanne, France; [Jaccard, Samuel L.] Univ Lausanne, Inst Earth Sci, CH-1015 Lausanne, Switzerland; [Bartolini, Annachiara] Sorbonne Univ, Dept Origines &amp; Evolut, CNRS, CR2P MNHN,Museum Natl Hist Nat, 8 Rue Buffon CP3, F-75005 Paris, France</t>
  </si>
  <si>
    <t>Universite Paris Saclay; Universite Paris Cite; Centre National de la Recherche Scientifique (CNRS); Universite Paris Saclay; CEA; Centre National de la Recherche Scientifique (CNRS); Universite Paris Cite; Universite Claude Bernard Lyon 1; Centre National de la Recherche Scientifique (CNRS); Ecole Normale Superieure de Lyon (ENS de LYON); University of Lausanne; Centre National de la Recherche Scientifique (CNRS); Sorbonne Universite; Museum National d'Histoire Naturelle (MNHN)</t>
  </si>
  <si>
    <t>Brandon, M (corresponding author), Univ Paris Saclay, GEOPS, CNRS, F-91405 Orsay, France.;Brandon, M (corresponding author), Univ Paris Saclay, Lab Sci Climat &amp; Environm, CEA, CNRS,UVSQ, F-91191 Gif Sur Yvette, France.</t>
  </si>
  <si>
    <t>margaux.brandon@locean.ipsl.fr</t>
  </si>
  <si>
    <t>Jaccard, Samuel/G-3447-2014</t>
  </si>
  <si>
    <t>Jaccard, Samuel/0000-0002-5793-0896; Richard, Patricia/0000-0003-3943-5178; Brandon, Margaux/0000-0001-5256-3700</t>
  </si>
  <si>
    <t>European Research Council under the European Union H2020 Programme (H2020/2019-2024)/ERC grant [817493 ERC ICORDA]; French National research Agency (ANR) as part of the Investissement d'Avenir program - IDEX Paris-Saclay [IDI 201700, ANR-11-IDEX-0003-02]; Swiss National Science Foundation [PP00P2_144811, PP00P2_163003]</t>
  </si>
  <si>
    <t>European Research Council under the European Union H2020 Programme (H2020/2019-2024)/ERC grant(European Research Council (ERC)); French National research Agency (ANR) as part of the Investissement d'Avenir program - IDEX Paris-Saclay(Agence Nationale de la Recherche (ANR)); Swiss National Science Foundation(Swiss National Science Foundation (SNSF))</t>
  </si>
  <si>
    <t>This work benefited from founding from the INSU-LEFE-IMAGO program BIOCOD, from the European Research Council under the European Union H2020 Programme (H2020/2019-2024)/ERC grant agreement no. 817493 ERC ICORDA as well as from the Institut Pierre Simon Laplace (IPSL). M.B. doctoral scholarship is supported by a public grant overseen by the French National research Agency (ANR) as part of the &lt;&lt; Investissement d'Avenir &gt;&gt; program, through the IDI 201700 project funded by the IDEX Paris-Saclay (grant ANR-11-IDEX-0003-02). S.L.J. acknowledges support from the Swiss National Science Foundation (grants PP00P2_144811 and PP00P2_163003). We are thankful to the Paul-~Emile Victor Institute (IPEV), the captain and the crew of RV Marion Dufresne and the scientific team of the MD136/VIGO cruise for help collecting sediment core MD04-2718. We thank Sylvain Pont and the Plateau technique de Microscopie Electronique (PtME, MNHN, Paris, France) for their assistance in providing SEM images, which helped for the estimation of the preservation of the carbonate fraction. We also thank Yvonne Hamann for instructions for the XRF core scanner at ETH, Zurich. We are grateful to Mathis Hain and one anonymous reviewer for constructive feedbacks that helped improving the manuscript as well as to editor Antje H. L. Voelker.</t>
  </si>
  <si>
    <t>10.1016/j.quascirev.2022.107556</t>
  </si>
  <si>
    <t>2X7RS</t>
  </si>
  <si>
    <t>WOS:000825397400004</t>
  </si>
  <si>
    <t>Jiang, JG; He, BY; Wei, YM; Cui, JN; Zhang, Q; Liu, XK; Liu, DH; Wang, P; Zhou, ZQ</t>
  </si>
  <si>
    <t>Jiang, Jiangong; He, Bingying; Wei, Yimu; Cui, Jingna; Zhang, Qiang; Liu, Xueke; Liu, Donghui; Wang, Peng; Zhou, Zhiqiang</t>
  </si>
  <si>
    <t>The toxic effects of combined exposure of chlorpyrifos and p, p′-DDE to zebrafish (Danio rerio) and tissue bioaccumulation</t>
  </si>
  <si>
    <t>AQUATIC TOXICOLOGY</t>
  </si>
  <si>
    <t>Chlorpyrifos; p,p '-DDE; Combined exposure; Zebrafish; Enzyme toxicity; Bioaccumulation</t>
  </si>
  <si>
    <t>EARLY-LIFE STAGES; EUPHAUSIA-SUPERBA; ANTARCTIC KRILL; PESTICIDES; BIOMARKERS; POLLUTION; ATRAZINE; SINGLE</t>
  </si>
  <si>
    <t>Pesticides are widely used and frequently detected in the environment. The evaluation on the toxic effects of the co-exposure of two or more pesticides or related metabolites could reflect the real situation of the exposing risks. In this study, zebrafish was used as a model to investigate the potential toxic interactions of chlorpyrifos and 1,1-dichloro-2,2-bis(p-chlorophenyl)ethylene (p,p'-DDE) on the survival rate, oxidative stress response and neurotoxicity, as well as their bioaccumulation and distribution in tissues. Co-exposure of chlorpyrifos and p,p'-DDE resulted in significant additive acute toxic effects on adult zebrafish with model deviation ratio (MDR) = 1.64. Both 7-day short-term at 1% LC50 and 35-day long-term at 0.5% LC50 co-exposure of chlorpyrifos with p,p'-DDE (50 and 100 mu g/L) significantly reduced the survival rate of zebrafish colony to 75 and 82.5%. Co-exposure of chlorpyrifos and p,p'-DDE contributed to increased activity of antioxidant enzyme CAT, SOD and GST and excessive MDA generation, and decreased activity of CarE, CYP450 and AChE, compared with either single exposure of them. In co-exposure, the bioaccumulation of chlorpyrifos and p,p'-DDE was significantly different from the single exposure group. Overall, this study unraveled the potential toxic interaction of chlorpyrifos and p, p'-DDE on zebrafish and provided reference for environmental risk assessment of pesticide mixture.</t>
  </si>
  <si>
    <t>[Jiang, Jiangong; He, Bingying; Wei, Yimu; Cui, Jingna; Zhang, Qiang; Liu, Xueke; Liu, Donghui; Wang, Peng; Zhou, Zhiqiang] China Agr Univ, Coll Sci, Dept Appl Chem, Beijing Adv Innovat Ctr Food Nutr &amp; Human Hlth, Beijing 100193, Peoples R China</t>
  </si>
  <si>
    <t>China Agricultural University</t>
  </si>
  <si>
    <t>Wang, P (corresponding author), China Agr Univ, Coll Sci, Dept Appl Chem, Beijing Adv Innovat Ctr Food Nutr &amp; Human Hlth, Beijing 100193, Peoples R China.</t>
  </si>
  <si>
    <t>wangpeng@cau.edu.cn</t>
  </si>
  <si>
    <t>Zhou, Zhiqiang/HIR-4954-2022; Jiang, Jiangong/JJF-5985-2023; zhou, zhou/HPE-9525-2023; Chen, Haili/KHE-2315-2024</t>
  </si>
  <si>
    <t>2115 Talent Development Program of China Agricultural University</t>
  </si>
  <si>
    <t>This work was supported by the 2115 Talent Development Program of China Agricultural University.</t>
  </si>
  <si>
    <t>0166-445X</t>
  </si>
  <si>
    <t>1879-1514</t>
  </si>
  <si>
    <t>AQUAT TOXICOL</t>
  </si>
  <si>
    <t>Aquat. Toxicol.</t>
  </si>
  <si>
    <t>10.1016/j.aquatox.2022.106194</t>
  </si>
  <si>
    <t>Marine &amp; Freshwater Biology; Toxicology</t>
  </si>
  <si>
    <t>1W4PF</t>
  </si>
  <si>
    <t>WOS:000806756300007</t>
  </si>
  <si>
    <t>Rios, P; Bezus, B; Cavalitto, S; Cavello, I</t>
  </si>
  <si>
    <t>Rios, P.; Bezus, B.; Cavalitto, S.; Cavello, I</t>
  </si>
  <si>
    <t>Production and characterization of a new detergent-stable keratinase expressed by Pedobacter sp. 3.14.7, a novel Antarctic psychrotolerant keratin-degrading bacterium</t>
  </si>
  <si>
    <t>JOURNAL OF GENETIC ENGINEERING AND BIOTECHNOLOGY</t>
  </si>
  <si>
    <t>Cold active keratinase; Pedobacter; Keratin biodegradation</t>
  </si>
  <si>
    <t>SERINE KERATINASE; ALKALINE PROTEASE; MOLECULAR CHARACTERIZATION; PSYCHROTROPHIC BACTERIA; COLLAGENASE ACTIVITY; METALLO-KERATINASE; HYDROLYTIC ENZYMES; FEATHER; PURIFICATION; DIVERSITY</t>
  </si>
  <si>
    <t>Background Antarctica is one of the harshest environments in the world. Despite this fact, it has been colonized by microorganisms, which had to develop different adaptations in order to survive. By studying their enzymes, we can harness these adaptations in order to use them in various industrial processes. Keratinases (E.C. 3.4.99.11) are characterized by their robustness in withstanding extreme conditions and, along with other enzymes, are commonly added to laundry detergents, which makes their study of industrial interest. Results In this work, a novel keratinase producer, Pedobacter sp. 3.14.7 (MF 347939.1), isolated from Antarctic birds' nests, was identified. This psychrotolerant isolate displays a typical psychrotolerant growth pattern, with an optimal temperature of 20 degrees C (mu max=0.23 h(-1)). After 238 h, maximum proteolytic (22.00 +/- 1.17 U ml(-1)) and keratinolytic (33.04 +/- 1.09 U ml(-1)) activities were achieved with a feather sample conversion of approximately 85%. The keratinase present in crude extract was characterized as a metalloprotease with a molecular weight of 25 kDa, stable in a wide range of pH, with an optimum pH of 7.5. Optimum temperature was 55 degrees C. Wash performance at 20 degrees C using this crude extract could remove completely blood stain from cotton cloth. Conclusion We report a new keratinolytic bacteria from maritime Antarctica. Among its biochemical characteristics, its stability in the presence of different detergents and bleaching agents and its wash performance showed promising results regarding its potential use as a laundry detergent additive.</t>
  </si>
  <si>
    <t>[Rios, P.; Bezus, B.; Cavalitto, S.; Cavello, I] Univ Nacl La Plata, Ctr Invest &amp; Desarrollo Fermentac Ind, CCT La Plata CONICET, Fac Ciencias Exactas CINDEFI,UNLP, Calle 47 &amp; 115,B1900ASH, RA-1900 La Plata, Argentina</t>
  </si>
  <si>
    <t>Consejo Nacional de Investigaciones Cientificas y Tecnicas (CONICET); National University of La Plata</t>
  </si>
  <si>
    <t>Cavello, I (corresponding author), Univ Nacl La Plata, Ctr Invest &amp; Desarrollo Fermentac Ind, CCT La Plata CONICET, Fac Ciencias Exactas CINDEFI,UNLP, Calle 47 &amp; 115,B1900ASH, RA-1900 La Plata, Argentina.</t>
  </si>
  <si>
    <t>icavello@biotec.quimica.unlp.edu.ar</t>
  </si>
  <si>
    <t>National Scientific and Technological Research Council; National Agency for the Promotion of Science and Technology [PICT 2018-3194, PICT 20193123]</t>
  </si>
  <si>
    <t>National Scientific and Technological Research Council; National Agency for the Promotion of Science and Technology(ANPCyT)</t>
  </si>
  <si>
    <t>This work was supported by grants from the National Scientific and Technological Research Council and the National Agency for the Promotion of Science and Technology under Grants number PICT 2018-3194 and PICT 20193123. The research funds from PICTs were utilized for purchasing laboratory reagents; this was done by the administration of Fundacion Ciencias Exactas.</t>
  </si>
  <si>
    <t>2090-5920</t>
  </si>
  <si>
    <t>J GENET ENG BIOTECHN</t>
  </si>
  <si>
    <t>J Genet. Eng. Biotechnol.</t>
  </si>
  <si>
    <t>MAY 25</t>
  </si>
  <si>
    <t>10.1186/s43141-022-00356-x</t>
  </si>
  <si>
    <t>Biotechnology &amp; Applied Microbiology; Environmental Sciences; Toxicology</t>
  </si>
  <si>
    <t>Biotechnology &amp; Applied Microbiology; Environmental Sciences &amp; Ecology; Toxicology</t>
  </si>
  <si>
    <t>1P9QF</t>
  </si>
  <si>
    <t>WOS:000802335200001</t>
  </si>
  <si>
    <t>Weber, M; Arosio, C; Coldewey-Egbers, M; Fioletov, VE; Frith, SM; Wild, JD; Tourpali, K; Burrows, JP; Loyola, D</t>
  </si>
  <si>
    <t>Weber, Mark; Arosio, Carlo; Coldewey-Egbers, Melanie; Fioletov, Vitali E.; Frith, Stacey M.; Wild, Jeannette D.; Tourpali, Kleareti; Burrows, John P.; Loyola, Diego</t>
  </si>
  <si>
    <t>Global total ozone recovery trends attributed to ozone-depleting substance (ODS) changes derived from five merged ozone datasets</t>
  </si>
  <si>
    <t>ATMOSPHERIC CHEMISTRY AND PHYSICS</t>
  </si>
  <si>
    <t>QUASI-BIENNIAL OSCILLATION; STRATOSPHERIC OZONE; SAGE II; MT. PINATUBO; DATA SETS; GOME-TYPE; COLUMN; VARIABILITY; VALIDATION; ERUPTION</t>
  </si>
  <si>
    <t>We report on updated trends using different merged zonal mean total ozone datasets from satellite and ground-based observations for the period from 1979 to 2020. This work is an update of the trends reported in Weber et al. (2018) using the same datasets up to 2016. Merged datasets used in this study include NASA MOD v8.7 and NOAA Cohesive Data (COH) v8.6, both based on data from the series of Solar Backscatter Ultraviolet (SBUV), SBUV-2, and Ozone Mapping and Profiler Suite (OMPS) satellite instruments (1978-present), as well as the Global Ozone Monitoring Experiment (GOME)-type Total Ozone - Essential Climate Variable (GTOECV) and GOME-SCIAMACHY-GOME-2 (GSG) merged datasets (both 1995-present), mainly comprising satellite data from GOME, SCIAMACHY, OMI, GOME-2A, GOME-2B, and TROPOMI. The fifth dataset consists of the annual mean zonal mean data from ground-based measurements collected at the World Ozone and Ultraviolet Radiation Data Centre (WOUDC). Trends were determined by applying a multiple linear regression (MLR) to annual mean zonal mean data. The addition of 4 more years consolidated the fact that total ozone is indeed slowly recovering in both hemispheres as a result of phasing out ozone-depleting substances (ODSs) as mandated by the Montreal Protocol. The near-global (60 degrees S-60 degrees N) ODS-related ozone trend of the median of all datasets after 1995 was 0.4 +/- 0.2 (2 sigma) %/decade, which is roughly a third of the decreasing rate of 1.5 +/- 0.6 %/decade from 1978 until 1995. The ratio of decline and increase is nearly identical to that of the EESC (equivalent effective stratospheric chlorine or stratospheric halogen) change rates before and after 1995, confirming the success of the Montreal Protocol. The observed total ozone time series are also in very good agreement with the median of 17 chemistry climate models from CCMI-1 (Chemistry-Climate Model Initiative Phase 1) with current ODS and GHG (greenhouse gas) scenarios (REF-C2 scenario). The positive ODS-related trends in the Northern Hemisphere (NH) after 1995 are only obtained with a sufficient number of terms in the MLR accounting properly for dynamical ozone changes (Brewer-Dobson circulation, Arctic Oscillation (AO), and Antarctic Oscillation (AAO)). A standard MLR (limited to solar, Quasi-Biennial Oscillation (QBO), volcanic, and El Nino-Southern Oscillation (ENSO)) leads to zero trends, showing that the small positive ODS-related trends have been balanced by negative trend contributions from atmospheric dynamics, resulting in nearly constant total ozone levels since 2000.</t>
  </si>
  <si>
    <t>[Weber, Mark; Arosio, Carlo; Burrows, John P.] Univ Bremen, Inst Umweltphys, Bremen, Germany; [Coldewey-Egbers, Melanie; Loyola, Diego] German Aerosp Ctr DLR, Inst Method Fernerkundung, Oberpfaffenhofen, Germany; [Fioletov, Vitali E.] Environm &amp; Climate Change Canada, Air Qual Res Div, Toronto, ON, Canada; [Frith, Stacey M.] Sci Syst &amp; Applicat Inc, Lanham, MD USA; [Wild, Jeannette D.] NOAA NCEP Climate Predict Ctr, College Pk, MD USA; [Wild, Jeannette D.] ESSIC Univ Maryland, Cooperat Inst Satellite Earth Syst Studies, College Pk, MD USA; [Tourpali, Kleareti] Aristotle Univ Thessaloniki, Dept Appl &amp; Environm Phys, Thessaloniki, Greece</t>
  </si>
  <si>
    <t>University of Bremen; Helmholtz Association; German Aerospace Centre (DLR); Environment &amp; Climate Change Canada; Science Systems and Applications Inc; National Oceanic Atmospheric Admin (NOAA) - USA; Aristotle University of Thessaloniki</t>
  </si>
  <si>
    <t>Weber, M (corresponding author), Univ Bremen, Inst Umweltphys, Bremen, Germany.</t>
  </si>
  <si>
    <t>weber@uni-bremen.de</t>
  </si>
  <si>
    <t>Loyola, Diego/GYO-3213-2022; Frith, Stacey/HMD-9437-2023; Burrows, John Philip/AAF-8468-2019; Weber, Mark/F-1409-2011</t>
  </si>
  <si>
    <t>Frith, Stacey/0000-0001-6894-0574; Burrows, John Philip/0000-0002-6821-5580; Coldewey-Egbers, Melanie/0000-0002-9275-498X; Loyola R., Diego G./0000-0002-8547-9350; Tourpali, Kleareti/0000-0003-4111-6176; Weber, Mark/0000-0001-8217-5450</t>
  </si>
  <si>
    <t>State of Bremen; OREGANO project (ESA) [4000137112/22/I-AG]; BMBF [FKZ 03F0872B]; NASA Long Term Measurement of Ozone programme [WBS 479717]</t>
  </si>
  <si>
    <t>State of Bremen; OREGANO project (ESA); BMBF(Federal Ministry of Education &amp; Research (BMBF)); NASA Long Term Measurement of Ozone programme</t>
  </si>
  <si>
    <t>Melanie Coldewey-Egbers, Diego Loyola, and Carlo Arosio were supported by the ESA Climate Change Initiative project, CCI+. Mark Weber, Carlo Arosio, and John P. Burrows were supported by the State of Bremen and from the OREGANO project (ESA contract no. 4000137112/22/I-AG). Mark Weber was supported by the BMBF project Synopsys-Ozon (FKZ 03F0872B). Stacey M. Frith was supported by the NASA Long Term Measurement of Ozone programme, WBS 479717.</t>
  </si>
  <si>
    <t>1680-7316</t>
  </si>
  <si>
    <t>1680-7324</t>
  </si>
  <si>
    <t>ATMOS CHEM PHYS</t>
  </si>
  <si>
    <t>Atmos. Chem. Phys.</t>
  </si>
  <si>
    <t>10.5194/acp-22-6843-2022</t>
  </si>
  <si>
    <t>1M4CS</t>
  </si>
  <si>
    <t>WOS:000799919700001</t>
  </si>
  <si>
    <t>Lozoya, JP; Rodríguez, M; Azcune, G; Lacerot, G; Pérez-Parada, A; Rossi, F; Lenzi, J; de Mello, FT</t>
  </si>
  <si>
    <t>Lozoya, J. P.; Rodriguez, M.; Azcune, G.; Lacerot, G.; Perez-Parada, A.; Rossi, F.; Lenzi, J.; Teixeira de Mello, F.</t>
  </si>
  <si>
    <t>Stranded pellets in Fildes Peninsula (King George Island, Antarctica): New evidence of Southern Ocean connectivity</t>
  </si>
  <si>
    <t>Plastic pollution; Antarctic beach; Pellets; Microplastics; Mesoplastics</t>
  </si>
  <si>
    <t>PLASTIC DEBRIS; MARINE-ENVIRONMENT; RESIN PELLETS; RECREATIONAL BEACHES; ANTHROPOGENIC DEBRIS; TOXIC-CHEMICALS; PROTECTED AREAS; MYTILUS-EDULIS; ROSS SEA; MICROPLASTICS</t>
  </si>
  <si>
    <t>original source. In Polar Regions, microplastics (MPs) can come from local activities or be transported from lower latitudes, with the former being the likely and major source. Although historically Antarctica was considered isolated from the global ocean, there is recent evidence of materials and organisms being transported in and out of the Southern Ocean, despite its multi-front structure. During the austral summer of 2019, beach surveys were conducted on the NW coast of the Fildes Peninsula (King George Island). The beach was characterised, and the first 2 cm of sediment from 5 quadrants (50 x 50 cm) along 100 m of the highest strandline were collected. Large microplastics (LMPs) and mesoplastics (MesoPs) were isolated, counted, measured, weighed and classified by shape. Polymer composition was analysed by FTIR and ageing estimated by Carbonyl Index. We found 293 items of LMPs (188 items) and MesoPs (105 items), with a total average density (+/- SD) of 234.4 +/- 166 items m-2. Foams (130.4 +/- 76.3), fragments (58.4 +/- 56.0) and pellets (44.0 +/- 50.5) were the most abundant shapes. The main polymers found were polystyrene, polypropylene, and polyethylene. We found pellets among the MesoPs, being the first record for beaches in Antarctica. The presence of these primary MPs south of 62 degrees S not only alerts about their possible direct consequences on Antarctic ecosystems, but also gives empirical evidence for the passive entry of plastic debris from lower latitudes through crossfrontal exchanges, providing new evidence of a global connectivity of the Southern Ocean. Despite increasing research, knowledge of plastics dynamics and their impact in the Southern Ocean and Antarctica is still limited but certainly necessary.</t>
  </si>
  <si>
    <t>[Lozoya, J. P.; Lacerot, G.; Rossi, F.; Teixeira de Mello, F.] Univ Republ UDELAR, CURE, Cachimba Rey entre Bvar Artigas &amp; Ave Aparicio, Maldonado 20000, Uruguay; [Rodriguez, M.; Azcune, G.; Perez-Parada, A.] Univ Republ UDELAR, CURE, Ruta nacl 9 intersecc con ruta 15, Rocha, Uruguay; [Lenzi, J.] Ctr Invest &amp; Conservac Marina CICMAR, Canelones, Uruguay</t>
  </si>
  <si>
    <t>Universidad de la Republica, Uruguay; Universidad de la Republica, Uruguay</t>
  </si>
  <si>
    <t>Lozoya, JP (corresponding author), Univ Republ UDELAR, CURE, Cachimba Rey entre Bvar Artigas &amp; Ave Aparicio, Maldonado 20000, Uruguay.</t>
  </si>
  <si>
    <t>jlozoya@cure.edu.uy; mrodriguez@cure.edu.uy; gazcune@cure.edu.uy; glacerot@cure.edu.uy; aperez@cure.edu.uy; frantei@cure.edu.uy</t>
  </si>
  <si>
    <t>Lenzi, Javier/0000-0002-8313-2193; Teixeira de Mello, Franco/0000-0003-4904-6985; Azcune, German/0000-0003-3016-9352; Lacerot, Gissell/0000-0002-9705-5715</t>
  </si>
  <si>
    <t>SNI; PEDECIBA</t>
  </si>
  <si>
    <t>We would like to express our gratitude to Instituto Antartico Uruguayoand particularly the BCAA staff of the XXXV Uruguayan Antarctic expedition (2019-2020). JPL and FTM would like to thank Dr. Alicia Herrera for her collaboration in the setup of the ZooScan. JPL, MR, GL, GS, AP, and FTM specially thank the SNI and PEDECIBA for support. We would also like to thank the reviewers for their comments, which have undoubtedly contributed to improve the quality of this work</t>
  </si>
  <si>
    <t>10.1016/j.scitotenv.2022.155830</t>
  </si>
  <si>
    <t>2E4QJ</t>
  </si>
  <si>
    <t>WOS:000812212900001</t>
  </si>
  <si>
    <t>Schlemm, T; Feldmann, J; Winkelmann, R; Levermann, A</t>
  </si>
  <si>
    <t>Schlemm, Tanja; Feldmann, Johannes; Winkelmann, Ricarda; Levermann, Anders</t>
  </si>
  <si>
    <t>Stabilizing effect of melange buttressing on the marine ice-cliff instability of the West Antarctic Ice Sheet</t>
  </si>
  <si>
    <t>SEA-LEVEL RISE; PINE ISLAND GLACIER; MODEL PISM-PIK; THWAITES GLACIER; MASS-BALANCE; SHELF; RETREAT; GREENLAND; SURFACE; FUTURE</t>
  </si>
  <si>
    <t>Owing to global warming and particularly high regional ocean warming, both Thwaites and Pine Island Glaciers in the Amundsen region of the Antarctic Ice Sheet could lose their buttressing ice shelves over time. We analyse the possible consequences using the parallel ice sheet model (PISM), applying a simple cliff-calving parameterization and an ice melange-buttressing model. We find that the instantaneous loss of ice-shelf buttressing, due to enforced ice-shelf melting, initiates grounding-line retreat and triggers marine ice sheet instability (MISI). As a consequence, the grounding line progresses into the interior of the West Antarctic Ice Sheet and leads to a sea level contribution of 0.6 m within 100 a. By subjecting the exposed ice cliffs to cliff calving using our simplified parameterization, we also analyse marine ice cliff instability (MICI). In our simulations it can double or even triple the sea level contribution depending on the only loosely constrained parameter that determines the maximum cliff-calving rate. The speed of MICI depends on this upper bound of the calving rate, which is given by the ice melange buttressing the glacier. However, stabilization of MICI may occur for geometric reasons. Because the embayment geometry changes as MICI advances into the interior of the ice sheet, the upper bound on calving rates is reduced and the progress of MICI is slowed down. Although we cannot claim that our simulations bear relevant quantitative estimates of the effect of ice-melange buttressing on MICI, the mechanism has the potential to stop the instability. Further research is needed to evaluate its role for the past and future evolution of the Antarctic Ice Sheet.</t>
  </si>
  <si>
    <t>[Schlemm, Tanja; Feldmann, Johannes; Winkelmann, Ricarda; Levermann, Anders] Potsdam Inst Climate Impact Res, Earth Syst Dynam, Potsdam, Germany; [Schlemm, Tanja; Winkelmann, Ricarda; Levermann, Anders] Univ Potsdam, Inst Phys &amp; Astron, Potsdam, Germany; [Levermann, Anders] Columbia Univ, Lamont Doherty Earth Observ, New York, NY 10027 USA</t>
  </si>
  <si>
    <t>Potsdam Institut fur Klimafolgenforschung; University of Potsdam; Columbia University</t>
  </si>
  <si>
    <t>Levermann, A (corresponding author), Potsdam Inst Climate Impact Res, Earth Syst Dynam, Potsdam, Germany.;Levermann, A (corresponding author), Univ Potsdam, Inst Phys &amp; Astron, Potsdam, Germany.;Levermann, A (corresponding author), Columbia Univ, Lamont Doherty Earth Observ, New York, NY 10027 USA.</t>
  </si>
  <si>
    <t>anders.levermann@pik-potsdam.de</t>
  </si>
  <si>
    <t>Levermann, Anders/G-4666-2011</t>
  </si>
  <si>
    <t>Levermann, Anders/0000-0003-4432-4704; Feldmann, Johannes/0000-0003-4210-0221</t>
  </si>
  <si>
    <t>Heinrich Boll Stiftung</t>
  </si>
  <si>
    <t>This research has been supported by the Heinrich Boll Stiftung.</t>
  </si>
  <si>
    <t>MAY 24</t>
  </si>
  <si>
    <t>10.5194/tc-16-1979-2022</t>
  </si>
  <si>
    <t>1O0BP</t>
  </si>
  <si>
    <t>WOS:000801009700001</t>
  </si>
  <si>
    <t>Roberson, L; Wilcox, C; Boussarie, G; Dugan, E; Garilao, C; Gonzalez, K; Green, M; Kark, S; Kaschner, K; Klein, CJ; Rousseau, Y; Vallentyne, D; Watson, JEM; Kiszka, JJ</t>
  </si>
  <si>
    <t>Roberson, Leslie; Wilcox, Chris; Boussarie, Germain; Dugan, Emma; Garilao, Cristina; Gonzalez, Kristofer; Green, Madeline; Kark, Salit; Kaschner, Kristin; Klein, Carissa J.; Rousseau, Yannick; Vallentyne, Dan; Watson, James E. M.; Kiszka, Jeremy J.</t>
  </si>
  <si>
    <t>Spatially explicit risk assessment of marine megafauna vulnerability to Indian Ocean tuna fisheries</t>
  </si>
  <si>
    <t>FISH AND FISHERIES</t>
  </si>
  <si>
    <t>by-catch; Indian Ocean; marine megafauna; Productivity Susceptibility Analysis; risk assessment; tuna fisheries</t>
  </si>
  <si>
    <t>AGGREGATING DEVICES FADS; PURSE-SEINE FISHERIES; SMALL-SCALE FISHERIES; SEA-TURTLE BYCATCH; LONGLINE FLEETS; GLOBAL PATTERNS; SHARKS; MANAGEMENT; MITIGATION; CAPTURE</t>
  </si>
  <si>
    <t>By-catch is the most significant direct threat marine megafauna face at the global scale. However, the magnitude and spatial patterns of megafauna by-catch are still poorly understood, especially in regions with very limited monitoring and expanding fisheries. The Indian Ocean is a globally important region for megafauna biodiversity and for tuna fisheries, but has limited by-catch data. Anecdotal and scattered information indicates high by-catch could be a major threat. Here, we adapt a Productivity Susceptibility Analysis tool designed for data-poor contexts to present the first spatially explicit estimates of by-catch risk of sea turtles, elasmobranchs, and cetaceans in the three major tuna fishing gears (purse seines, longlines, and drift gill nets). Our assessment highlights a potential opportunity for multi-taxa conservation benefits by concentrating management efforts in particular coastal regions. Most coastal waters in the northern Indian Ocean, including countries that have had a minimal engagement with regional management bodies, stand out as high risk for fisheries interactions. In addition to species known to occur in tuna gears, we find high vulnerability to multiple gear types for many poorly known elasmobranchs that do not fall under any existing conservation and management measures. Our results indicate that current by-catch mitigation measures, which focus on safe-release practices, are unlikely to adequately reduce the substantial cumulative fishing impacts on vulnerable species. Preventative solutions that reduce interactions with non-target species (such as closed areas or seasons, or modifications to gear and fishing tactics) are crucial for alleviating risks to megafauna from fisheries.</t>
  </si>
  <si>
    <t>[Roberson, Leslie; Klein, Carissa J.; Watson, James E. M.] Univ Queensland, Sch Earth &amp; Environm Sci, St Lucia, Qld 4072, Australia; [Roberson, Leslie; Klein, Carissa J.] Univ Queensland, Ctr Conservat &amp; Biodivers Sci, St Lucia, Qld, Australia; [Wilcox, Chris; Green, Madeline] CSIRO Oceans &amp; Atmosphere, Hobart, Tas, Australia; [Boussarie, Germain; Kiszka, Jeremy J.] Florida Int Univ, Inst Environm, Dept Biol Sci, North Miami, FL USA; [Dugan, Emma; Gonzalez, Kristofer; Kark, Salit] Univ Queensland, Sch Biol Sci, St Lucia, Qld, Australia; [Garilao, Cristina] GEOMAR Helmholtz Ctr Ocean Res Kiel, Kiel, Germany; [Green, Madeline; Rousseau, Yannick] Univ Tasmania, Inst Marine &amp; Antarctic Studies, Hobart, Tas, Australia; [Green, Madeline] Univ Tasmania, Ctr Marine Socioecol, Hobart, Tas, Australia; [Kaschner, Kristin] Univ Freiburg, Dept Biometry &amp; Environm Syst Anal, Freiburg, Germany; [Rousseau, Yannick] Dalhousie Univ, Future Marine Ecosyst Lab, Dept Biol, Halifax, NS, Canada; [Vallentyne, Dan] Shark Stewards, Berkeley, CA USA</t>
  </si>
  <si>
    <t>University of Queensland; University of Queensland; Commonwealth Scientific &amp; Industrial Research Organisation (CSIRO); State University System of Florida; Florida International University; University of Queensland; Helmholtz Association; GEOMAR Helmholtz Center for Ocean Research Kiel; University of Tasmania; University of Tasmania; University of Freiburg; Dalhousie University</t>
  </si>
  <si>
    <t>Roberson, L (corresponding author), Univ Queensland, Sch Earth &amp; Environm Sci, St Lucia, Qld 4072, Australia.</t>
  </si>
  <si>
    <t>l.roberson@uq.edu.au</t>
  </si>
  <si>
    <t>Kark, Salit/C-6795-2016; Klein, Carissa J/F-1632-2011; Watson, James Edward Maxwell/D-8779-2013; Kaschner, Kristin/GQQ-6475-2022</t>
  </si>
  <si>
    <t>Kark, Salit/0000-0002-7183-3988; Watson, James Edward Maxwell/0000-0003-4942-1984; Green, Madeline Elizabeth/0000-0002-5037-2043; Rousseau, Yannick/0000-0003-0765-7518; Roberson, Leslie/0000-0002-7490-0795; Boussarie, Germain/0000-0002-0809-1555</t>
  </si>
  <si>
    <t>1467-2960</t>
  </si>
  <si>
    <t>1467-2979</t>
  </si>
  <si>
    <t>FISH FISH</t>
  </si>
  <si>
    <t>Fish. Fish.</t>
  </si>
  <si>
    <t>10.1111/faf.12676</t>
  </si>
  <si>
    <t>4H4MT</t>
  </si>
  <si>
    <t>WOS:000801038600001</t>
  </si>
  <si>
    <t>Batchelor, CL; Frinault, BA; Christie, FDW; Montelli, A; Dowdeswell, JA</t>
  </si>
  <si>
    <t>Batchelor, Christine L.; Frinault, Betina A., V; Christie, Frazer D. W.; Montelli, Aleksandr; Dowdeswell, Julian A.</t>
  </si>
  <si>
    <t>The morphology of pockmarks on the north-east Antarctic Peninsula continental shelf</t>
  </si>
  <si>
    <t>autonomous underwater vehicles; bathymetry; benthic biodiversity; Larsen continental shelf; Larsen Ice Shelf; submarine geomorphology</t>
  </si>
  <si>
    <t>WESTERN WEDDELL SEA; ICE-SHEET; ROSS SEA; FLOOR; BASIN; LANDFORMS; DYNAMICS; HISTORY; MARGIN</t>
  </si>
  <si>
    <t>Pockmarks are sea-floor depressions that form when gas or liquid escapes from underlying sediments. Although they are a common feature of both glaciated and lower-latitude continental shelves, pockmarks have not been reported previously from the north-east Antarctic Peninsula margin. Here we use high-resolution geophysical data acquired using autonomous underwater vehicles to map &gt; 240 pockmarks in three locations along the north-east Antarctic Peninsula shelf. The pockmarks are 0.4-45 m wide and 0.1-2.5 m deep, encompassing both smaller unit-pockmarks and larger normal-pockmarks. The high resolution of our data enables the identification of subdued features associated with the pockmarks, including acoustic flares within the water column, ejecta rims, intra-pockmark blocks and possibly even biological structures. The overprinting of subglacial and ice-marginal landforms by the pockmarks constrains their timing of formation to the last similar to 11 ka. The high density of pockmarks within the surveyed areas, together with geophysical evidence for the active seepage of gas to the sea floor, suggests that the expulsion of subsurface fluids is a widespread process on the north-east Antarctic Peninsula shelf that could have important implications for benthic biodiversity and the global carbon cycle.</t>
  </si>
  <si>
    <t>[Batchelor, Christine L.] Polit &amp; Sociol Newcastle Univ, Sch Geog, Newcastle Upon Tyne NE1 7RU, Tyne &amp; Wear, England; [Frinault, Betina A., V] Univ Oxford, Sch Geog &amp; Environm, Oxford OX1 3QY, England; [Christie, Frazer D. W.; Montelli, Aleksandr; Dowdeswell, Julian A.] Univ Cambridge, Scott Polar Res Inst, Cambridge CB2 1ER, England</t>
  </si>
  <si>
    <t>University of Oxford; University of Cambridge</t>
  </si>
  <si>
    <t>Batchelor, CL (corresponding author), Polit &amp; Sociol Newcastle Univ, Sch Geog, Newcastle Upon Tyne NE1 7RU, Tyne &amp; Wear, England.</t>
  </si>
  <si>
    <t>christine.batchelor@newcastle.ac.uk</t>
  </si>
  <si>
    <t>Batchelor, Christine/JCN-7543-2023</t>
  </si>
  <si>
    <t>Dowdeswell, Julian/0000-0003-1369-9482</t>
  </si>
  <si>
    <t>Flotilla Foundation; Marine Archaeology Consultants Switzerland; Natural Environment Research Council; Prince Albert II of Monaco Foundation</t>
  </si>
  <si>
    <t>Flotilla Foundation; Marine Archaeology Consultants Switzerland; Natural Environment Research Council(UK Research &amp; Innovation (UKRI)Natural Environment Research Council (NERC)); Prince Albert II of Monaco Foundation</t>
  </si>
  <si>
    <t>This research was funded by the Flotilla Foundation and Marine Archaeology Consultants Switzerland. The autonomous underwater vehicles and associated technical support were provided by Ocean Infinity and Deep Ocean Search. This paper was also produced with the financial assistance of the Prince Albert II of Monaco Foundation (to FDWC and JAD) and the Natural Environment Research Council (to BAVF).</t>
  </si>
  <si>
    <t>10.1017/S0954102022000177</t>
  </si>
  <si>
    <t>WOS:000799333200001</t>
  </si>
  <si>
    <t>Dupont, F; Dumont, D; Lemieux, JF; Dumas-Lefebvre, E; Caya, A</t>
  </si>
  <si>
    <t>Dupont, Frederic; Dumont, Dany; Lemieux, Jean-Francois; Dumas-Lefebvre, Elie; Caya, Alain</t>
  </si>
  <si>
    <t>A probabilistic seabed-ice keel interaction model</t>
  </si>
  <si>
    <t>THICKNESS DISTRIBUTION; INTERANNUAL VARIABILITY; LANDFAST ICE; PACK ICE; OCEAN; EXTENT; SEAS; US</t>
  </si>
  <si>
    <t>Landfast ice is a common coastal feature in the Arctic Ocean and around the Antarctic continent. One contributing and stabilizing mechanism is the grounding of sea ice ridges in shallow water. Recently, a grounding scheme representing this effect on sea ice dynamics was developed in order to improve the simulation of landfast ice by continuum-based sea ice models. This parameterization assumes that the ridged keel thickness is proportional to the mean thickness. Results demonstrated that this simple parameterization notably improves the simulation of landfast ice in many regions such as in the East Siberian Sea, the Laptev Sea and along the Alaskan coast. Nevertheless, a weakness of this approach is that it is based solely on the mean properties of sea ice. Here, we extend the parameterization by taking into account subgrid-scale ice thickness distribution and bathymetry distribution, which are generally non-normal, and by computing the maximum seabed stress as a joint probability interaction between the sea ice and the seabed. The probabilistic approach shows a reasonably good agreement with observations and with the previously proposed grounding scheme while potentially offering more physical insights into the formation of landfast ice.</t>
  </si>
  <si>
    <t>[Dumont, Dany; Dumas-Lefebvre, Elie] Univ Quebec Rimouski, Inst Sci Rimouski, Rimouski, PQ, Canada; [Lemieux, Jean-Francois] Environm &amp; Changement Climat Canada, Rech Previs Numer Environm, 2121 Route Transcanadienne, Dorval, PQ, Canada; [Caya, Alain] Environm &amp; Changement Climat Canada, Rech Assimilat Donnees &amp; Meteorol Satellitaire, 2121 Route Transcanadienne, Dorval, PQ, Canada; [Dupont, Frederic] Environm &amp; Changement Climat Canada, Serv Meteorol Canadien, 2121 Route Transcanadienne, Dorval, PQ, Canada</t>
  </si>
  <si>
    <t>University of Quebec; Universite du Quebec a Rimouski; Environment &amp; Climate Change Canada; Meteorological Service of Canada; Recherche en Prevision Numerique (RPN)</t>
  </si>
  <si>
    <t>Dupont, F (corresponding author), Environm &amp; Changement Climat Canada, Serv Meteorol Canadien, 2121 Route Transcanadienne, Dorval, PQ, Canada.</t>
  </si>
  <si>
    <t>frederic.dupont@ec.gc.ca</t>
  </si>
  <si>
    <t>Dumont, Dany/J-6664-2017</t>
  </si>
  <si>
    <t>Dumont, Dany/0000-0003-4107-1799; Dumas-Lefebvre, Elie/0000-0002-7198-0937; Dupont, Frederic/0000-0002-9722-4478</t>
  </si>
  <si>
    <t>Natural Sciences and Engineering Research Council of Canada [RGPIN-2019-06563]</t>
  </si>
  <si>
    <t>Natural Sciences and Engineering Research Council of Canada(Natural Sciences and Engineering Research Council of Canada (NSERC)CGIAR)</t>
  </si>
  <si>
    <t>This research has been supported by the Natural Sciences and Engineering Research Council of Canada (grant no. RGPIN-2019-06563).</t>
  </si>
  <si>
    <t>10.5194/tc-16-1963-2022</t>
  </si>
  <si>
    <t>1L4DS</t>
  </si>
  <si>
    <t>WOS:000799241400001</t>
  </si>
  <si>
    <t>Mironova, I; Sinnhuber, M; Bazilevskaya, G; Clilverd, M; Funke, B; Makhmutov, V; Rozanov, E; Santee, ML; Sukhodolov, T; Ulich, T</t>
  </si>
  <si>
    <t>Mironova, Irina; Sinnhuber, Miriam; Bazilevskaya, Galina; Clilverd, Mark; Funke, Bernd; Makhmutov, Vladimir; Rozanov, Eugene; Santee, Michelle L.; Sukhodolov, Timofei; Ulich, Thomas</t>
  </si>
  <si>
    <t>Exceptional middle latitude electron precipitation detected by balloon observations: implications for atmospheric composition</t>
  </si>
  <si>
    <t>ENERGETIC PARTICLE-PRECIPITATION; INTERPLANETARY MAGNETIC-FIELD; IMPENETRABLE BARRIER; CLIMATE MODEL; CHEMISTRY; REGION; SENSITIVITY</t>
  </si>
  <si>
    <t>Energetic particle precipitation leads to ionization in the Earth's atmosphere, initiating the formation of active chemical species which destroy ozone and have the potential to impact atmospheric composition and dynamics down to the troposphere. We report on one exceptionally strong high-energy electron precipitation event detected by balloon measurements in geomagnetic midlatitudes on 14 December 2009, with ionization rates locally comparable to strong solar proton events. This electron precipitation was possibly caused by wave-particle interactions in the slot region between the inner and outer radiation belts, connected with still poorly understood natural phenomena in the magnetosphere. Satellite observations of odd nitrogen and nitric acid are consistent with widespread electron precipitation into magnetic midlatitudes. Simulations with a 3D chemistry-climate model indicate the almost complete destruction of ozone in the upper mesosphere over the region where high-energy electron precipitation occurred. Such an extraordinary type of energetic particle precipitation can have major implications for the atmosphere, and their frequency and strength should be carefully studied.</t>
  </si>
  <si>
    <t>[Mironova, Irina; Rozanov, Eugene] St Petersburg State Univ, Earth Phys Dept, Fac Phys, St Petersburg, Russia; [Sinnhuber, Miriam] Karlsruhe Inst Technol, Inst Meteorol &amp; Climate Res, Karlsruhe, Germany; [Bazilevskaya, Galina; Makhmutov, Vladimir] Russian Acad Sci, Lebedev Phys Inst, Moscow, Russia; [Clilverd, Mark] British Antarctic Survey, Cambridge, England; [Funke, Bernd] CSIC, Inst Astrofis Andalucia, Granada, Spain; [Makhmutov, Vladimir] Moscow Inst Phys &amp; Technol, Moscow, Russia; [Rozanov, Eugene; Sukhodolov, Timofei] PMOD WRC, Davos, Switzerland; [Rozanov, Eugene; Sukhodolov, Timofei] IAC ETHZ, Davos, Switzerland; [Santee, Michelle L.] CALTECH, Jet Prop Lab, Pasadena, CA USA; [Sukhodolov, Timofei] Univ Nat Resources &amp; Life Sci, Inst Meteorol &amp; Climatol, Vienna, Austria; [Ulich, Thomas] Sodankyla Geophys Observ, Sodankyla, Finland</t>
  </si>
  <si>
    <t>Saint Petersburg State University; Helmholtz Association; Karlsruhe Institute of Technology; Russian Academy of Sciences; Russian Academy of Science Lebedev Physical Institute; UK Research &amp; Innovation (UKRI); Natural Environment Research Council (NERC); NERC British Antarctic Survey; Consejo Superior de Investigaciones Cientificas (CSIC); CSIC - Instituto de Astrofisica de Andalucia (IAA); Moscow Institute of Physics &amp; Technology; Swiss Federal Institutes of Technology Domain; ETH Zurich; National Aeronautics &amp; Space Administration (NASA); NASA Jet Propulsion Laboratory (JPL); California Institute of Technology; BOKU University</t>
  </si>
  <si>
    <t>Sinnhuber, M (corresponding author), Karlsruhe Inst Technol, Inst Meteorol &amp; Climate Res, Karlsruhe, Germany.;Sukhodolov, T (corresponding author), PMOD WRC, Davos, Switzerland.;Sukhodolov, T (corresponding author), IAC ETHZ, Davos, Switzerland.;Sukhodolov, T (corresponding author), Univ Nat Resources &amp; Life Sci, Inst Meteorol &amp; Climatol, Vienna, Austria.</t>
  </si>
  <si>
    <t>miriam.sinnhuber@kit.edu; timofei.sukhodolov@pmodwrc.ch</t>
  </si>
  <si>
    <t>Mironova, Irina A/I-1663-2012; Santee, MIchelle/R-5762-2019; Makhmutov, Vladimir/N-2086-2015; Bazilevskaya, Galina/M-6175-2015; Rozanov, Eugene/V-1881-2018; Sinnhuber, Miriam/A-7252-2013; Ulich, Thomas/G-3727-2018; Funke, Bernd/C-2162-2008</t>
  </si>
  <si>
    <t>Mironova, Irina A/0000-0003-4437-834X; Makhmutov, Vladimir/0000-0002-2242-1055; Bazilevskaya, Galina/0000-0003-3319-684X; Rozanov, Eugene/0000-0003-0479-4488; Sinnhuber, Miriam/0000-0002-3527-9051; Sukhodolov, Timofei/0000-0001-7100-738X; Ulich, Thomas/0000-0001-8217-022X; Funke, Bernd/0000-0003-0462-4702</t>
  </si>
  <si>
    <t>Russian Foundation for Basic Research [20-55-12020]; Deutsche Forschungsgemeinschaft [SI 1088/7-1]; Russian Science Foundation [20-67-46016]; Ministry of Science and Higher Education of the Russian Federation [075-15-2021-583]; Russian Science Foundation [20-67-46016] Funding Source: Russian Science Foundation</t>
  </si>
  <si>
    <t>Russian Foundation for Basic Research(Russian Foundation for Basic Research (RFBR)Spanish Government); Deutsche Forschungsgemeinschaft(German Research Foundation (DFG)); Russian Science Foundation(Russian Science Foundation (RSF)); Ministry of Science and Higher Education of the Russian Federation; Russian Science Foundation(Russian Science Foundation (RSF))</t>
  </si>
  <si>
    <t>This research has been supported by the Russian Foundation for Basic Research (grant no. 20-55-12020), the Deutsche Forschungsgemeinschaft (grant no. SI 1088/7-1), the Russian Science Foundation (grant no. 20-67-46016) and the Ministry of Science and Higher Education of the Russian Federation (grant no. 075-15-2021-583).</t>
  </si>
  <si>
    <t>10.5194/acp-22-6703-2022</t>
  </si>
  <si>
    <t>1L3OF</t>
  </si>
  <si>
    <t>gold, Green Accepted, Green Published, Green Submitted</t>
  </si>
  <si>
    <t>WOS:000799200400001</t>
  </si>
  <si>
    <t>Fay, R; Hamel, S; van de Pol, M; Gaillard, JM; Yoccoz, NG; Acker, P; Authier, M; Larue, B; Le Coeur, C; Macdonald, KR; Nicol-Harper, A; Barbraud, C; Bonenfant, C; Van Vuren, DH; Cam, E; Delord, K; Gamelon, M; Moiron, M; Pelletier, F; Rotella, J; Teplitsky, C; Visser, ME; Wells, CP; Wheelwright, NT; Jenouvrier, S; Sæther, BE</t>
  </si>
  <si>
    <t>Fay, Remi; Hamel, Sandra; van de Pol, Martijn; Gaillard, Jean-Michel; Yoccoz, Nigel G.; Acker, Paul; Authier, Matthieu; Larue, Benjamin; Le Coeur, Christie; Macdonald, Kaitlin R.; Nicol-Harper, Alex; Barbraud, Christophe; Bonenfant, Christophe; Van Vuren, Dirk H.; Cam, Emmanuelle; Delord, Karine; Gamelon, Marlene; Moiron, Maria; Pelletier, Fanie; Rotella, Jay; Teplitsky, Celine; Visser, Marcel E.; Wells, Caitlin P.; Wheelwright, Nathaniel T.; Jenouvrier, Stephanie; Saether, Bernt-Erik</t>
  </si>
  <si>
    <t>Temporal correlations among demographic parameters are ubiquitous but highly variable across species</t>
  </si>
  <si>
    <t>ECOLOGY LETTERS</t>
  </si>
  <si>
    <t>capture-recapture; demographic correlation; demography; environmental stochasticity; slow-fast continuum; stochastic population dynamics; temporal covariation</t>
  </si>
  <si>
    <t>LIFE-HISTORY VARIATION; POPULATION-GROWTH RATE; CLIMATE-CHANGE; BUFFERING HYPOTHESIS; GENERATION TIME; DYNAMICS; SURVIVAL; DENSITY; MODELS; VARIABILITY</t>
  </si>
  <si>
    <t>Temporal correlations among demographic parameters can strongly influence population dynamics. Our empirical knowledge, however, is very limited regarding the direction and the magnitude of these correlations and how they vary among demographic parameters and species' life histories. Here, we use long-term demographic data from 15 bird and mammal species with contrasting pace of life to quantify correlation patterns among five key demographic parameters: juvenile and adult survival, reproductive probability, reproductive success and productivity. Correlations among demographic parameters were ubiquitous, more frequently positive than negative, but strongly differed across species. Correlations did not markedly change along the slow-fast continuum of life histories, suggesting that they were more strongly driven by ecological than evolutionary factors. As positive temporal demographic correlations decrease the mean of the long-run population growth rate, the common practice of ignoring temporal correlations in population models could lead to the underestimation of extinction risks in most species.</t>
  </si>
  <si>
    <t>[Fay, Remi; Acker, Paul; Gamelon, Marlene; Saether, Bernt-Erik] Norwegian Univ Sci &amp; Technol, Ctr Biodivers Dynam, Dept Biol, Trondheim, Norway; [Hamel, Sandra] Univ Laval, Dept Biol, Quebec City, PQ, Canada; [van de Pol, Martijn] James Cook Univ, Coll Sci &amp; Engn, Townsville, Qld, Australia; [van de Pol, Martijn; Visser, Marcel E.] Netherlands Inst Ecol NIOO KNAW, Dept Anim Ecol, Wageningen, Netherlands; [Gaillard, Jean-Michel; Bonenfant, Christophe; Gamelon, Marlene] Univ Lyon, Univ Lyon 1, Lab Biometrie &amp; Biol Evolut, CNRS,Unite Mixte Rech UMR 5558, Villeurbanne, France; [Yoccoz, Nigel G.] UiT Arctic Univ Norway, Dept Arctic &amp; Marine Biol, Tromso, Norway; [Authier, Matthieu] Univ La Rochelle, UMS CNRS 3462, Observ PELAGIS, La Rochelle, France; [Larue, Benjamin; Pelletier, Fanie] Univ Sherbrooke, Dept Biol, Sherbrooke, PQ, Canada; [Le Coeur, Christie] Univ Oslo, Ctr Ecol &amp; Evolutionary Synth CEES, Dept Biosci, Oslo, Norway; [Macdonald, Kaitlin R.; Rotella, Jay] Montana State Univ, Dept Ecol, Bozeman, MT 59717 USA; [Nicol-Harper, Alex] Univ Southampton, Natl Oceanog Ctr, Sch Ocean &amp; Earth Sci, Waterfront Campus, Southampton, Hants, England; [Nicol-Harper, Alex; Jenouvrier, Stephanie] Woods Hole Oceanog Inst, Biol Dept, Woods Hole, MA 02543 USA; [Barbraud, Christophe; Delord, Karine; Jenouvrier, Stephanie] Ctr Natl Rech Sci, UMR 7372, LEMAR, Ctr Etud Biol Chize, Villiers En Bois, France; [Van Vuren, Dirk H.] Univ Calif Davis, Dept Wildlife Fish &amp; Conservat Biol, Davis, CA 95616 USA; [Cam, Emmanuelle] Univ Bretagne Occidentale, IFREMER, CNRS, LEMAR,IRD, Plouzane, France; [Moiron, Maria; Teplitsky, Celine] Univ Montpellier, CEFE, CNRS, EPHE,IRD, Montpellier, France; [Moiron, Maria] Inst Avian Res, Wilhelmshaven, Germany; [Wells, Caitlin P.] Colorado State Univ, Fish Wildlife &amp; Conservat Biol Dept, Ft Collins, CO 80523 USA; [Wheelwright, Nathaniel T.] Bowdoin Coll, Dept Biol, Brunswick, ME 04011 USA</t>
  </si>
  <si>
    <t>Norwegian University of Science &amp; Technology (NTNU); Laval University; James Cook University; Royal Netherlands Academy of Arts &amp; Sciences; Netherlands Institute of Ecology (NIOO-KNAW); Centre National de la Recherche Scientifique (CNRS); CNRS - Institute of Ecology &amp; Environment (INEE); VetAgro Sup; Universite Claude Bernard Lyon 1; UiT The Arctic University of Tromso; La Rochelle Universite; University of Sherbrooke; University of Oslo; Montana State University System; Montana State University Bozeman; NERC National Oceanography Centre; University of Southampton; Woods Hole Oceanographic Institution; Centre National de la Recherche Scientifique (CNRS); Ifremer; Institut de Recherche pour le Developpement (IRD); CNRS - Institute of Ecology &amp; Environment (INEE); University of California System; University of California Davis; Universite de Bretagne Occidentale; Centre National de la Recherche Scientifique (CNRS); Ifremer; Institut de Recherche pour le Developpement (IRD); Universite PSL; Ecole Pratique des Hautes Etudes (EPHE); Institut Agro; Montpellier SupAgro; CIRAD; Centre National de la Recherche Scientifique (CNRS); Institut de Recherche pour le Developpement (IRD); Universite Paul-Valery; Universite de Montpellier; Colorado State University; Bowdoin College</t>
  </si>
  <si>
    <t>Fay, R (corresponding author), Norwegian Univ Sci &amp; Technol, Ctr Biodivers Dynam, Dept Biol, Trondheim, Norway.</t>
  </si>
  <si>
    <t>fay.remi@gmail.com</t>
  </si>
  <si>
    <t>Le Coeur, Christie/IUQ-0872-2023; Yoccoz, Nigel/C-8561-2014; Cam, Emmanuelle/KFS-0700-2024; Bonenfant, Christophe/I-8645-2019; Visser, Marcel E./A-9151-2009; macdonald, kaitlin/HDM-3845-2022; Gamelon, Marlène/J-5747-2019</t>
  </si>
  <si>
    <t>Yoccoz, Nigel/0000-0003-2192-1039; Bonenfant, Christophe/0000-0002-9924-419X; Visser, Marcel E./0000-0002-1456-1939; Gamelon, Marlène/0000-0002-9433-2369; Rotella, Jay/0000-0001-7014-7524; van de Pol, Martijn/0000-0003-4102-4079; Hamel, Sandra/0000-0003-1126-8814; Acker, Paul/0000-0002-3815-772X; Le Coeur, Christie/0000-0002-0911-2506; Gaillard, Jean-Michel/0000-0003-0174-8451; Moiron, Maria/0000-0003-0991-1460; Wells, Caitlin/0000-0002-8840-3095</t>
  </si>
  <si>
    <t>French Polar Institute IPEV [109]; Zone Atelier Antarctique et Terres Australes (LTSER France); CNRS; OSU-OREME; National Science Foundation, Division of Polar Programs [ANT-1640481]; NSF Grants [1840058]; Office of Polar Programs (OPP); Directorate For Geosciences [1840058] Funding Source: National Science Foundation</t>
  </si>
  <si>
    <t>French Polar Institute IPEV; Zone Atelier Antarctique et Terres Australes (LTSER France); CNRS(Centre National de la Recherche Scientifique (CNRS)); OSU-OREME; National Science Foundation, Division of Polar Programs(National Science Foundation (NSF)); NSF Grants(National Science Foundation (NSF)); Office of Polar Programs (OPP); Directorate For Geosciences(National Science Foundation (NSF)NSF - Directorate for Geosciences (GEO))</t>
  </si>
  <si>
    <t>We thank all the field workers involved in the collection of these long-term demographic data. We thank Dominique Joubert for help with data management on black browed albatrosses, Antarctic fulmars and snow petrels. The long-term demographic studies at Kerguelen (black browed albatross) and Pointe Geologie (Antarctic fulmars and snow petrels) were supported by the French Polar Institute IPEV (project 109 'Seabirds and marine mammals as sentinels of global changes in the Southern Ocean', resp. C. Barbraud) and by Zone Atelier Antarctique et Terres Australes (LTSER France). We thank Jacques Blondel and Phillippe Perret for initiating the blue tit field study four decades ago, to Anne Charmantier, Claire Doutrelant, Denis Reale, Samuel Caro, Christophe de Franceschi, Annick Lucas, Pablo Giovannini, Samuel Perret who helped maintain the study site and conduct the field work throughout the years. We thank the Association APEEM and MAB-Fango for the field logistics. This project was funded by the CNRS, including a long-term support by the OSU-OREME. Data collection for Weddell seals was supported by the National Science Foundation, Division of Polar Programs under grant number ANT-1640481 to J.J. Rotella, R.A. Garrott and D.B. Siniff and prior NSF Grants to R. A. Garrott, J. J. Rotella, D. B. Siniff and J. Ward Testa. Stephanie Jenouvrier acknowledges the support of the NSF 1840058.</t>
  </si>
  <si>
    <t>1461-023X</t>
  </si>
  <si>
    <t>1461-0248</t>
  </si>
  <si>
    <t>ECOL LETT</t>
  </si>
  <si>
    <t>Ecol. Lett.</t>
  </si>
  <si>
    <t>10.1111/ele.14026</t>
  </si>
  <si>
    <t>2J3DF</t>
  </si>
  <si>
    <t>Green Published, Green Accepted, Green Submitted</t>
  </si>
  <si>
    <t>WOS:000799661400001</t>
  </si>
  <si>
    <t>England, JH; Coulthard, RD; Furze, MFA; Dow, CF</t>
  </si>
  <si>
    <t>England, J. H.; Coulthard, R. D.; Furze, M. F. A.; Dow, C. F.</t>
  </si>
  <si>
    <t>Catastrophic ice shelf collapse along the NW Laurentide Ice Sheet highlights the vulnerability of marine-based ice margins</t>
  </si>
  <si>
    <t>Marine-based ice margins; Ice streams; Paleo-ice shelves; Sea level; Laurentide Ice Sheet; Epishelf lake; Canadian Arctic</t>
  </si>
  <si>
    <t>DELTA-R VALUES; ANTARCTIC PENINSULA; ARCTIC-OCEAN; PINE ISLAND; BRIEF COMMUNICATION; THWAITES GLACIER; RETREAT DRIVEN; EPISHELF LAKES; YOUNGER DRYAS; GREENLAND</t>
  </si>
  <si>
    <t>We document the unparalleled depositional and chronological record of an 80,000 km(2) ice shelf from the former Laurentide Ice Sheet whose advance and retreat spanned only similar to 400 years (11.6-11.2 cal ka BP). Its catastrophic breakup (similar to 150 years; 11.3-11.2 cal ka BP) coincided with a rapidly warming atmosphere and ocean, paralleling reported conditions impacting the ongoing evolution of marine-based margins of Antarctica and Greenland. Our record highlights the instability of the NW Laurentide Ice Sheet whose marine-based ice streams and ice shelves retreated in channels of intermediate depth (400-600 m) that lack reverse slopes, suggesting that current ice dynamics models may underestimate the sensitivity of similar margins in Antarctica to ongoing global warming. Our reconstruction is based on &gt; 700 km of coastal field surveys complemented by radiocarbon dates stratigraphically encompassing the full lifespan of the former Viscount Melville Sound Ice Shelf. Notably, this detailed record demonstrates that large ice shelves can be removed rapidly, cautioning against dismissing predictions of possible 21st century mean-sea-level rise &gt;1 m derived from the ongoing retreat of marine-based ice sheets. We emphasize that during the last deglaciation of the western Canadian Arctic Archipelago, prominent ice streams transitioned into ice shelves whose depositional landforms are pervasive, demonstrating their pivotal role in the evisceration of the NW Laurentide Ice Sheet. The VMSIS provides an exceptionally detailed geological record whose tightly constrained chronology of growth, maintenance and breakup serves as an instructive example for those modern marine-based margins whose instability is being investigated to address estimates of possible future sea level rise. (C) 2022 Published by Elsevier Ltd.</t>
  </si>
  <si>
    <t>[England, J. H.; Coulthard, R. D.] Univ Alberta, Dept Earth &amp; Atmospher Sci, Edmonton, AB T6G 2E3, Canada; [Furze, M. F. A.] Univ Ctr Svalbard, POB 156, N-9171 Longyearbyen, Svalbard, Norway; [Dow, C. F.] Univ Waterloo, Dept Geog &amp; Environm Management, Waterloo, ON N2L 3G1, Canada; [Coulthard, R. D.] MacEwan Univ, Dept Phys Sci, 10700 104 AVE NW, Edmonton, AB T5J 4S2, Canada</t>
  </si>
  <si>
    <t>University of Alberta; University Centre Svalbard (UNIS); University of Waterloo</t>
  </si>
  <si>
    <t>England, JH (corresponding author), Univ Alberta, Dept Earth &amp; Atmospher Sci, Edmonton, AB T6G 2E3, Canada.</t>
  </si>
  <si>
    <t>john.england@ualberta.ca; coulthardr@macewan.ca; mark.furze@unis.no; christine.dow@uawaterloo.ca</t>
  </si>
  <si>
    <t>Coulthard, Roy/0000-0001-7968-3032; Furze, Mark/0000-0003-4636-6182</t>
  </si>
  <si>
    <t>Natural Sciences and Engineering Research Council of Canada (NSERC) [A6880]; Northern Research Chair [EA246]</t>
  </si>
  <si>
    <t>Natural Sciences and Engineering Research Council of Canada (NSERC)(Natural Sciences and Engineering Research Council of Canada (NSERC)); Northern Research Chair</t>
  </si>
  <si>
    <t>This research was supported by the Natural Sciences and Engi-neering Research Council of Canada (NSERC) through Discovery Grants (A6880) and a Northern Research Chair (EA246; to England) . Logistical support over several field seasons was provided by the Polar Continental Shelf Program, Natural Resources Canada.</t>
  </si>
  <si>
    <t>JUN 15</t>
  </si>
  <si>
    <t>10.1016/j.quascirev.2022.107524</t>
  </si>
  <si>
    <t>2B3UP</t>
  </si>
  <si>
    <t>WOS:000810116800001</t>
  </si>
  <si>
    <t>Pettersen, AK; Coleman, MA; Latombe, G; Gonzalez, SV; Williams, NLR; Seymour, JR; Campbell, AH; Thomas, T; Ferrari, R; Stuart-Smith, RD; Edgar, GJ; Steinberg, PD; Marzinelli, EM</t>
  </si>
  <si>
    <t>Pettersen, Amanda K.; Coleman, Melinda A.; Latombe, Guillaume; Gonzalez, Sebastian Vadillo; Williams, Nathan L. R.; Seymour, Justin R.; Campbell, Alexandra H.; Thomas, Torsten; Ferrari, Renata; Stuart-Smith, Rick D.; Edgar, Graham J.; Steinberg, Peter D.; Marzinelli, Ezequiel M.</t>
  </si>
  <si>
    <t>Spatial compositional turnover varies with trophic level and body size in marine assemblages of micro- and macroorganisms</t>
  </si>
  <si>
    <t>GLOBAL ECOLOGY AND BIOGEOGRAPHY</t>
  </si>
  <si>
    <t>benthic; biodiversity; compositional turnover; fish; latitude; microbial communities; pelagic; species retention; zeta diversity</t>
  </si>
  <si>
    <t>BETA-DIVERSITY; LATITUDINAL GRADIENTS; SPECIES RICHNESS; PATTERNS; BIODIVERSITY; ORGANISMS; DISPERSAL; REVEALS</t>
  </si>
  <si>
    <t>Aim Spatial compositional turnover varies considerably among co-occurring assemblages of organisms, presumably shaped by common processes related to species traits. We investigated patterns of spatial turnover in a diverse set of marine assemblages using zeta diversity, which extends traditional pairwise measures of turnover to capture the roles of both rare and common species in shaping assemblage turnover. We tested the generality of hypothesized patterns related to ecological traits and provide insights into mechanisms of biodiversity change. Location Temperate pelagic and benthic marine assemblages of micro- and macroorganisms along south-eastern Australia (30-36 degrees S latitude). Time period 2008-2021. Major taxa studied Bacteria, phytoplankton, zooplankton, fish, and macrobenthic groups. Methods Six marine datasets spanning bacteria to fishes were collated for measures of species occurrence, with a 1 degrees latitude grain. For each assemblage, ecological traits of body size, habitat and trophic level were analysed for the form and rate of decline in zeta diversity and for the species retention rate. Results Species at higher trophic levels showed two to three times the rate of zeta diversity decline compared with lower trophic levels, indicating an increase in turnover from phytoplankton to carnivorous fishes. Body size showed the hypothesized unimodal relationship with rates of turnover for macroorganisms. Patterns of bacterial turnover contrasted with those found for macroorganisms, with the highest levels of turnover in pelagic habitats compared with benthic (kelp-associated) habitats. The shape of retention rate curves showed the importance of both rare and common species in driving turnover; a finding that would not have been observable using pairwise (beta diversity) measures of turnover. Main conclusions Our results support theoretical predictions for phytoplankton and macroorganisms, showing an increase in turnover rate with trophic level, but these predictions did not hold for bacteria. Such deviations from theory need to be investigated further to identify underlying processes that govern microbial assemblage dynamics.</t>
  </si>
  <si>
    <t>[Pettersen, Amanda K.; Gonzalez, Sebastian Vadillo; Steinberg, Peter D.; Marzinelli, Ezequiel M.] Univ Sydney, Sch Life &amp; Environm Sci, Sydney, NSW, Australia; [Pettersen, Amanda K.; Gonzalez, Sebastian Vadillo; Marzinelli, Ezequiel M.] Sydney Inst Marine Sci, Sydney, NSW, Australia; [Coleman, Melinda A.] New South Wales Fisheries, Dept Primary Ind, Coffs Harbour, NSW, Australia; [Coleman, Melinda A.] Southern Cross Univ, Natl Marine Sci Ctr, Coffs Harbour, NSW, Australia; [Latombe, Guillaume] Univ Edinburgh, Sch Biol Sci, Inst Evolutionary Biol, Edinburgh, Midlothian, Scotland; [Williams, Nathan L. R.; Seymour, Justin R.] Univ Technol Sydney, Climate Change Cluster, Sydney, NSW, Australia; [Campbell, Alexandra H.; Thomas, Torsten; Steinberg, Peter D.] Univ New South Wales, Sch Biol Earth &amp; Environm Sci, Ctr Marine Sci &amp; Innovat, Sydney, NSW, Australia; [Campbell, Alexandra H.] Univ Sunshine Coast, USC Seaweed Res Grp, Sunshine Coast, Qld, Australia; [Ferrari, Renata] Australian Inst Marine Sci, Cape Cleveland, Qld, Australia; [Stuart-Smith, Rick D.; Edgar, Graham J.] Univ Tasmania, Inst Marine &amp; Antarctic Studies, Hobart, Tas, Australia; [Steinberg, Peter D.; Marzinelli, Ezequiel M.] Nanyang Technol Univ, Singapore Ctr Environm Life Sci Engn, Singapore, Singapore</t>
  </si>
  <si>
    <t>University of Sydney; Sydney Institute of Marine Science; NSW Department of Primary Industries; Southern Cross University; University of Edinburgh; University of Technology Sydney; University of New South Wales Sydney; University of the Sunshine Coast; Australian Institute of Marine Science; University of Tasmania; Nanyang Technological University</t>
  </si>
  <si>
    <t>Pettersen, AK (corresponding author), Univ Sydney, Sch Life &amp; Environm Sci, Bldg A08 Sci Rd, Camperdown, NSW 2050, Australia.</t>
  </si>
  <si>
    <t>amanda.pettersen@sydney.edu.au</t>
  </si>
  <si>
    <t>Latombe, Guillaume/AAI-1012-2021; Stuart-Smith, Rick/I-5214-2019; Marzinelli, Ezequiel/AAH-2906-2019; Edgar, Graham/AAY-3797-2020; Vadillo Gonzalez, Sebastian/KEJ-3530-2024; Pettersen, Amanda Kate/O-7554-2017; Coleman, Melinda A/R-5563-2016</t>
  </si>
  <si>
    <t>Latombe, Guillaume/0000-0002-8589-8387; Stuart-Smith, Rick/0000-0002-8874-0083; Marzinelli, Ezequiel/0000-0002-3762-3389; Edgar, Graham/0000-0003-0833-9001; Vadillo Gonzalez, Sebastian/0000-0002-3710-0406; Pettersen, Amanda Kate/0000-0001-6191-6563; Williams, Nathan/0000-0003-2496-9441; Coleman, Melinda A/0000-0003-2623-633X; Campbell, Alexandra/0000-0002-2322-2840</t>
  </si>
  <si>
    <t>Research Attraction and Acceleration Program (RAAP) grant; Australian Research Council Discovery Project [DP180104041]</t>
  </si>
  <si>
    <t>Research Attraction and Acceleration Program (RAAP) grant; Australian Research Council Discovery Project(Australian Research Council)</t>
  </si>
  <si>
    <t>This work was funded by a Research Attraction and Acceleration Program (RAAP) grant awarded to the New South Wales (NSW)-Integrated Marine Observing System node by the NSW Government, and an Australian Research Council Discovery Project (DP180104041) awarded to P.D. S. and E.M.M. Fish data were sourced from Reef Life Survey. Benthic, zooplankton and phytoplankton data were provided by Australia's Integrated Marine Observing System (IMOS). The IMOS is enabled by the National Collaborative Research Infrastructure strategy (NCRIS). It is operated by a consortium of institutions as an unincorporated joint venture, with the University of Tasmania as Lead Agent. Understanding Marine Imagery (UMI), an IMOS Autonomous Underwater Vehicle (AUV) sub--facility, provides a national repository of standardized marine image annotations. Open access publishing facilitated by The University of Sydney, as part of the Wiley -The University of Sydney agreement via the Council of Australian University Librarians.</t>
  </si>
  <si>
    <t>1466-822X</t>
  </si>
  <si>
    <t>1466-8238</t>
  </si>
  <si>
    <t>GLOBAL ECOL BIOGEOGR</t>
  </si>
  <si>
    <t>Glob. Ecol. Biogeogr.</t>
  </si>
  <si>
    <t>10.1111/geb.13530</t>
  </si>
  <si>
    <t>Ecology; Geography, Physical</t>
  </si>
  <si>
    <t>Environmental Sciences &amp; Ecology; Physical Geography</t>
  </si>
  <si>
    <t>2T6NY</t>
  </si>
  <si>
    <t>WOS:000798888100001</t>
  </si>
  <si>
    <t>Gerken, S; Meland, K; Glenner, H</t>
  </si>
  <si>
    <t>Gerken, Sarah; Meland, Kenneth; Glenner, Henrik</t>
  </si>
  <si>
    <t>First multigene phylogeny of Cumacea (crustacea: Peracarida)</t>
  </si>
  <si>
    <t>ZOOLOGICA SCRIPTA</t>
  </si>
  <si>
    <t>Cumacea; Molecular; Phylogeny; Taxonomy</t>
  </si>
  <si>
    <t>RIBOSOMAL DNA-SEQUENCES; SEA; MALACOSTRACA; REPRODUCTION; IMPACTS; PRIMERS; GENUS</t>
  </si>
  <si>
    <t>Cumaceans are small peracarid crustaceans that can be remarkably diverse and important benthic organisms. Despite their ubiquitous presence in soft sediments, no well-resolved phylogeny currently exists, which impedes ecological and evolutionary studies of the group. We present a phylogeny based on Bayesian inference of six markers (18S, 28S, 12S, 16S, CytB and COI), which recovers monophyly of the order, a deep split between telson and pleotelson bearing groups, and monophyly of four of the seven included families, including monophyletic Pseudocumatidae, Lampropidae, Bodotriidae and Nannastacidae. The only species representing the family Gynodiastylidae in our dataset was positioned among members of Diastylidae in the phylogenetic analyses. However, this result is based on a single partial COI sequence; thus, we consider it doubtful, and the family Diastylidae are otherwise recovered as a monophyletic family. The family Leuconidae is split into two well-supported clades, a clade containing Antarctic members of the genus Leucon and a separate clade containing non-Antarctic members of the genera Leucon and Eudorella. The phylogeny is a great stride forwards, as it supports most families as monophyletic, making generic level phylogenies a plausible endeavour in the future.</t>
  </si>
  <si>
    <t>[Gerken, Sarah] Univ Alaska Anchorage, Biol Sci, Anchorage, AK USA; [Meland, Kenneth; Glenner, Henrik] Univ Bergen, Dept Biol Sci, Box 7800, N-5020 Bergen, Norway; [Glenner, Henrik] Univ Copenhagen, Ctr Macroecol, Evolut &amp; Climate Globe Inst, Copenhagen, Denmark</t>
  </si>
  <si>
    <t>University of Alaska System; University of Alaska Anchorage; University of Bergen; University of Copenhagen</t>
  </si>
  <si>
    <t>Glenner, H (corresponding author), Univ Bergen, Dept Biol Sci, Box 7800, N-5020 Bergen, Norway.</t>
  </si>
  <si>
    <t>henrik.glenner@bio.uib.no</t>
  </si>
  <si>
    <t>University of Bergen; Norwegian Biodiversity Information Centre (NBIC)</t>
  </si>
  <si>
    <t>This work was funded by the University of Bergen and the Norwegian Biodiversity Information Centre (NBIC). We are deeply indebted to Madel Maribu and Hilde Eirin HaugsOen for sorting assistance, identification and initial molecular work on Cumacea material from Norway. We would also like to thank Joar Tverberg and Solveig Thorkildsen for sequencing and sorting assistance. The captain and crew of the research vessels Hakon Mosby and Hans Brattstrom made the sampling activities smooth and successful. All molecular works were carried out at the DNA Lab at the Department of Biological Sciences, University of Bergen. Two anonyme reviewers helped to significantly improve the manuscript.</t>
  </si>
  <si>
    <t>0300-3256</t>
  </si>
  <si>
    <t>1463-6409</t>
  </si>
  <si>
    <t>ZOOL SCR</t>
  </si>
  <si>
    <t>Zool. Scr.</t>
  </si>
  <si>
    <t>10.1111/zsc.12542</t>
  </si>
  <si>
    <t>1Y6JW</t>
  </si>
  <si>
    <t>WOS:000798756400001</t>
  </si>
  <si>
    <t>Gozzo, LF; Drumond, A; Pampuch, LA; Ambrizzi, T; Crespo, NM; Reboita, MS; Bier, AA; Carpenedo, CB; Bueno, PG; Pinheiro, HR; Custodio, MD; Kuki, CAC; Tomaziello, ACN; Gomes, HB; da Rocha, RP; Coelho, CAS; Pimentel, RD</t>
  </si>
  <si>
    <t>Gozzo, Luiz Felippe; Drumond, Anita; Pampuch, Luana Albertani; Ambrizzi, Tercio; Crespo, Natalia Machado; Reboita, Michelle Simoes; Bier, Anderson Augusto; Carpenedo, Camila Bertoletti; Bueno, Paola Gimenes; Pinheiro, Henri Rossi; Custodio, Maria de Souza; Castro Kuki, Cassia Akemi; Nobile Tomaziello, Ana Carolina; Gomes, Helber Barros; da Rocha, Rosmeri Porfirio; Coelho, Caio A. S.; Pimentel, Raissa de Matos</t>
  </si>
  <si>
    <t>Intraseasonal Drivers of the 2018 Drought Over Sao Paulo, Brazil</t>
  </si>
  <si>
    <t>drought; SPI; Sao Paulo; intraseasonal oscillations; teleconnection</t>
  </si>
  <si>
    <t>SEA-SURFACE TEMPERATURE; SOUTH AMERICAN MODES; RAINFALL VARIABILITY; EL-NINO; PRECIPITATION; CLIMATE; OSCILLATION; CIRCULATION; STATIONARY; FREQUENCY</t>
  </si>
  <si>
    <t>Dry conditions occurred over Sao Paulo state (southeastern Brazil) from February to July 2018, causing the driest semester in 35 years. Socioeconomic impacts included a record number of fire spots, most adverse conditions to pollutant dispersion in 3 years and the winter's lowest water reservoirs stored volume in 17 years. This paper discusses climate drivers to the onset and persistence of the dry conditions, with special attention to the intraseasonal forcing. Barotropic atmospheric circulations forced by the intraseasonal Pacific-South America teleconnection pattern, embedded in the lower frequency setup of the Pacific Decadal Oscillation and the Atlantic Multidecadal Oscillation, were identified as main large-scale forcings to reduce precipitation. Drought evolution was modulated by other intraseasonal drivers such as the Madden Julian, Antarctic and 10-30 days Oscillations. A break in the 6-month dry condition, in March 2018, highlighted the important role of such oscillations in determining precipitation anomalies over SP. Results show that intraseasonal phenomena and their interactions control drought characteristics such as magnitude, persistence and spatial distribution within a setup determined by lower-frequency oscillations. The intraseasonal timescale seems to be key and must be considered for a complete description and understanding of the complex drought evolution process in Sao Paulo.</t>
  </si>
  <si>
    <t>[Gozzo, Luiz Felippe; Custodio, Maria de Souza] Sao Paulo State Univ UNESP, Sch Sci, Dept Phys &amp; Meteorol, Bauru, Brazil; [Drumond, Anita; Ambrizzi, Tercio; Crespo, Natalia Machado; Bier, Anderson Augusto; Bueno, Paola Gimenes; Pinheiro, Henri Rossi; Nobile Tomaziello, Ana Carolina; da Rocha, Rosmeri Porfirio] Univ Sao Paulo, Dept Ciencias Atmosfer, Inst Astron Geofis &amp; Ciencias Atmosfer, Sao Paulo, Brazil; [Pampuch, Luana Albertani] Sao Paulo State Univ UNESP, Inst Sci &amp; Technol ICT, Dept Environm Engn, Sao Jose Dos Campos, Brazil; [Pampuch, Luana Albertani; Pimentel, Raissa de Matos] UNESP, Grad Program Nat Disasters, CEMADEN, Sao Jose Dos Campos, Brazil; [Reboita, Michelle Simoes] Fed Univ Itajuba UNIFEI, Inst Nat Resources, Itajuba, Brazil; [Carpenedo, Camila Bertoletti] Univ Fed Parana, Dept Soils &amp; Agr Engn, Curitiba, Brazil; [Castro Kuki, Cassia Akemi] Fed Univ Itajuba UNIFEI, Inst Elect Syst &amp; Energy, Itajuba, Brazil; [Gomes, Helber Barros] Fed Univ Alagoas UFAL, Inst Atmospher Sci, Maceio, Brazil; [Coelho, Caio A. S.] Natl Inst Space Res INPE, Ctr Weather Forecast &amp; Climate Studies CPTEC, Cachoeira Paulista, Brazil</t>
  </si>
  <si>
    <t>Universidade Estadual Paulista; Universidade de Sao Paulo; Universidade Estadual Paulista; Universidade Estadual Paulista; Universidade Federal do Parana; Universidade Federal de Alagoas; Instituto Nacional de Pesquisas Espaciais (INPE)</t>
  </si>
  <si>
    <t>Gozzo, LF (corresponding author), Sao Paulo State Univ UNESP, Sch Sci, Dept Phys &amp; Meteorol, Bauru, Brazil.</t>
  </si>
  <si>
    <t>luiz.gozzo@unesp.br</t>
  </si>
  <si>
    <t>da Rocha, Rosmeri P/L-6772-2018; Pinheiro, Henri/D-6897-2019; Carpenedo, Camila Bertoletti/P-2785-2018; Ambrizzi, Tercio/A-4636-2008; Bueno, Paola Gimenes/D-6723-2015; Machado Crespo, Natália/HJY-2113-2023</t>
  </si>
  <si>
    <t>da Rocha, Rosmeri P/0000-0003-3378-393X; Bueno, Paola Gimenes/0000-0002-1688-3747; Machado Crespo, Natália/0000-0002-3585-5100; Carpenedo, Camila/0000-0001-9034-789X; Tomaziello, Ana Carolina Nobile/0000-0001-6647-7715; Bier, Anderson Augusto/0000-0003-0528-9205</t>
  </si>
  <si>
    <t>FAPESP [2014/50848-9, 2017/09659-6]; FAPEMIG; CAPES; Coordenacao de Aperfeicoamento de Pessoal de Nivel Superior (CAPES) [001]; Brazilian National Council for Scientific and Technological Development - CNPq [100186/2021-1]; CNPq [426530/2018-7, 304298/2014-0, 301397/2019-8]; National Institute of Science and Technology for Climate Change Phase 2 under CNPq [465501/2014-1]</t>
  </si>
  <si>
    <t>FAPESP(Fundacao de Amparo a Pesquisa do Estado de Sao Paulo (FAPESP)); FAPEMIG(Fundacao de Amparo a Pesquisa do Estado de Minas Gerais (FAPEMIG)); CAPES(Coordenacao de Aperfeicoamento de Pessoal de Nivel Superior (CAPES)); Coordenacao de Aperfeicoamento de Pessoal de Nivel Superior (CAPES)(Coordenacao de Aperfeicoamento de Pessoal de Nivel Superior (CAPES)); Brazilian National Council for Scientific and Technological Development - CNPq(Conselho Nacional de Desenvolvimento Cientifico e Tecnologico (CNPQ)); CNPq(Conselho Nacional de Desenvolvimento Cientifico e Tecnologico (CNPQ)); National Institute of Science and Technology for Climate Change Phase 2 under CNPq</t>
  </si>
  <si>
    <t>Authors thank the reviewers and the meteorological centers that provided data applied in the study. Thanks for the financial support provided by FAPESP, FAPEMIG, CNPq, and CAPES. The authors acknowledge the Coordenacao de Aperfeicoamento de Pessoal de Nivel Superior (CAPES) Finance Code 001. AD acknowledges the financial support from the Brazilian National Council for Scientific and Technological Development - CNPq (100186/2021-1). LP acknowledges the financial support from CNPq (426530/2018-7). TA was supported by the National Institute of Science and Technology for Climate Change Phase 2 under CNPq Grant 465501/2014-1, FAPESP Grants 2014/50848-9 and 2017/09659-6. TA also specifically acknowledges the support of CNPq under grants 304298/2014-0 and 301397/2019-8.</t>
  </si>
  <si>
    <t>MAY 23</t>
  </si>
  <si>
    <t>10.3389/fclim.2022.852824</t>
  </si>
  <si>
    <t>L2UG0</t>
  </si>
  <si>
    <t>WOS:001021854300001</t>
  </si>
  <si>
    <t>Closset, I; Brzezinski, MA; Cardinal, D; Dapoigny, A; Jones, JL; Robinson, RS</t>
  </si>
  <si>
    <t>Closset, Ivia; Brzezinski, Mark A.; Cardinal, Damien; Dapoigny, Arnaud; Jones, Janice L.; Robinson, Rebecca S.</t>
  </si>
  <si>
    <t>A silicon isotopic perspective on the contribution of diagenesis to the sedimentary silicon budget in the Southern Ocean</t>
  </si>
  <si>
    <t>GEOCHIMICA ET COSMOCHIMICA ACTA</t>
  </si>
  <si>
    <t>Silicon cycle; Silicon stable isotopes; Benthic nutrient fluxes; Early diagenesis; Southern Ocean</t>
  </si>
  <si>
    <t>BIOGENIC SILICA; PACIFIC SECTOR; FRACTIONATION; DIATOM; DISSOLUTION; SI; ACID; ACCUMULATION; WATERS; NORTH</t>
  </si>
  <si>
    <t>Diatoms are known to fractionate silicon isotopes during the formation of their frustules causing the silicon isotopic com-position of biogenic silica to track the degree of silicic acid consumption in surface waters. Despite a growing body of work that uses this proxy to reconstruct past changes in silicic acid utilization, the understanding of the benthic silicon cycle, par-ticularly the identification and quantification of the processes that potentially alter the silicon isotopic composition of biogenic silica during early diagenesis is still lacking. We investigated these processes by comparing the silicon isotopic composition of pore water silicic acid, biogenic silica and, for the first time, lithogenic silica from five sediment cores collected in the deep basin of the Southern Ocean representing a diversity of sedimentation regimes. Silicic acid concentrations and the isotopic composition of Southern Ocean pore waters were the result of a dynamic balance between the dissolution of biogenic silica, reactive lithogenic silica phases and Si re-precipitation with the relative importance of each processes differing significantly between regions. The results are consistent with the formation of authigenic alumino-silicates derived from dissolved biogenic silica in the Sub-Antarctic Zone and in the Antarctic Zone (on average 12 &amp; PLUSMN; 5% and 17 &amp; PLUSMN; 13%, respectively). Since this latter process can fractionate silicon isotopes, this implies that, even if the silicon isotopic composition of diatoms preserved in the sediments is a reliable proxy for silicic acid utilization in the past ocean, care must be taken to extract a clean biogenic silica phase free of authigenic clays and lithogenic phases from sediments to eliminate this potential bias when interpreting isotopic records.(c) 2022 The Author(s). Published by Elsevier Ltd. This is an open access article under the CC BY license (http://creativecommons.org/ licenses/by/4.0/).</t>
  </si>
  <si>
    <t>[Closset, Ivia; Brzezinski, Mark A.; Jones, Janice L.] Univ Calif Santa Barbara, Marine Sci Inst, Santa Barbara, CA 93106 USA; [Brzezinski, Mark A.] Univ Calif Santa Barbara, Dept Ecol Evolut &amp; Marine Biol, Santa Barbara, CA USA; [Cardinal, Damien] Sorbonne Univ, CNRS, IRD, MNHN,LOCEAN UMR 7159, 4 Pl Jussieu Boite 100, F-75252 Paris, France; [Dapoigny, Arnaud; Robinson, Rebecca S.] CNRS, Lab Sci Climat &amp; Environm, F-91190 Gif Sur Yvette, France; [Robinson, Rebecca S.] Univ Rhode Isl, Grad Sch Oceanog, Narragansett, RI 02882 USA</t>
  </si>
  <si>
    <t>University of California System; University of California Santa Barbara; University of California System; University of California Santa Barbara; Museum National d'Histoire Naturelle (MNHN); Institut de Recherche pour le Developpement (IRD); Sorbonne Universite; Centre National de la Recherche Scientifique (CNRS); CNRS - National Institute for Earth Sciences &amp; Astronomy (INSU); Universite Paris Saclay; CEA; Centre National de la Recherche Scientifique (CNRS); University of Rhode Island</t>
  </si>
  <si>
    <t>Closset, I (corresponding author), Univ Calif Santa Barbara, Marine Sci Inst, Santa Barbara, CA 93106 USA.</t>
  </si>
  <si>
    <t>ivia@ucsb.edu; markbrzezins-ki@ucsb.edu; damien.cardinal@locean.ipsl.fr; arnaud.dapoigny@lsce.ipsl.fr; ja_jones@ucsb.edu; rebecca_r@uri.edu</t>
  </si>
  <si>
    <t>; Cardinal, Damien/B-5958-2008</t>
  </si>
  <si>
    <t>Closset, Ivia/0000-0002-6286-3296; Cardinal, Damien/0000-0003-1238-8412; Robinson, Rebecca/0000-0002-8072-1603</t>
  </si>
  <si>
    <t>National Science Foundation [1341464, 1341432, NBP1702]</t>
  </si>
  <si>
    <t>National Science Foundation(National Science Foundation (NSF))</t>
  </si>
  <si>
    <t>This work was supported by grants from the National Science Foundation (1341464 to RSR and 1341432 to MAB) . The authors are especially grateful to J. Dodd and two anonymous reviewers for their constructive comments that helped us improving the manu-script. We also thank Matthew S. Fantle for his insightful editing. Authors gratefully thank the Captain and crew to the N. B. Palmer and the USAP scientific support staff on NBP1702 as well as the shipboard scientific party for their dedication and invaluable assis-tance in sample collection. Data will be archived in the U.S. Antarctic Program Data Center (https:// www.usap-dc.org/view/project/p0010083) upon publication. The authors declare that they have no conflict of interest.</t>
  </si>
  <si>
    <t>0016-7037</t>
  </si>
  <si>
    <t>1872-9533</t>
  </si>
  <si>
    <t>GEOCHIM COSMOCHIM AC</t>
  </si>
  <si>
    <t>Geochim. Cosmochim. Acta</t>
  </si>
  <si>
    <t>10.1016/j.gca.2022.04.010</t>
  </si>
  <si>
    <t>1X8ZA</t>
  </si>
  <si>
    <t>WOS:000807737700007</t>
  </si>
  <si>
    <t>Louw, SD; Walker, DR; Fawcett, SE</t>
  </si>
  <si>
    <t>Louw, Simone De Villiers; Walker, David Richard; Fawcett, Sarah E.</t>
  </si>
  <si>
    <t>Factors influencing sea-ice algae abundance, community composition, and distribution in the marginal ice zone of the Southern Ocean during winter</t>
  </si>
  <si>
    <t>Sea-ice; Algae; Southern ocean marginal ice zone; Nutrients; Diatoms; Winter</t>
  </si>
  <si>
    <t>ANTARCTIC PACK ICE; NITROGEN UPTAKE; WEDDELL SEA; PRIMARY PRODUCTIVITY; FRONTAL ZONE; ROSS SEA; NUTRIENT; PHYTOPLANKTON; DIATOM; IRON</t>
  </si>
  <si>
    <t>Microalgae and bacteria living in Antarctic sea-ice play a fundamental role in polar-ocean biogeochemistry, accounting for -25% of primary production in sea-ice-covered regions of the Southern Ocean. However, a paucity of measurements in the marginal ice zone (MIZ), particularly during winter, means that sea-ice algal dynamics are poorly understood, resulting in uncertainties in the drivers of Antarctic food-web and carbon-cycle variability. We investigated the relationships among biogeochemical parameters and sea-ice algae in the MIZ of the Indian Southern Ocean in winter 2017 through measurements of sea-ice algae functional groups, chlorophyll, and nutrient concentrations, in the sea-ice and the underlying surface seawater. We observed an abundant, active algal community within the sea-ice, which we attribute to passing cyclones that kept the ice permeable, along with biogeochemical and irradiance conditions that allowed for algal growth. The sea-ice conditions facilitated the proliferation of sea-ice diatoms, to chlorophyll concentrations &gt;5 mu g/L (versus 1.5 mu g/L in the underlying seawater). The dominant taxa were of the genera Fragilariopsis, Pseudo-nitzschia, Coscinodiscus, and Chaetoceros spp., similar to those observed previously near east Antarctica. While sea-ice algae growth should have caused significant nutrient drawdown, nitrate concentrations were higher in the ice than in the underlying seawater. Since silicate was strongly drawn down, presumably by sympagic diatoms, we attribute the elevated nitrate concentrations to an active microbial loop (i.e., regeneration and nitrification). Our study highlights the ecological significance of the Southern Ocean MIZ in winter, providing a vital environment for overwintering sea-ice algae and bacteria that remain active despite the harsh conditions.</t>
  </si>
  <si>
    <t>[Louw, Simone De Villiers; Walker, David Richard] Cape Peninsula Univ Technol, Dept Conservat &amp; Marine Sci, Cape Town, South Africa; [Fawcett, Sarah E.] Univ Cape Town, Dept Oceanog, Cape Town, South Africa; [Fawcett, Sarah E.] Univ Cape Town, Marine &amp; Antarctic Res Ctr Innovat &amp; Sustainabil M, Cape Town, South Africa; [Louw, Simone De Villiers] Cape Peninsula Univ Technol, Cape Town, South Africa</t>
  </si>
  <si>
    <t>Cape Peninsula University of Technology; University of Cape Town; University of Cape Town; Cape Peninsula University of Technology</t>
  </si>
  <si>
    <t>Louw, SD (corresponding author), Cape Peninsula Univ Technol, Cape Town, South Africa.</t>
  </si>
  <si>
    <t>simonelouw95@gmail.com</t>
  </si>
  <si>
    <t>Fawcett, Sarah/0000-0002-0878-6496; Louw, Simone/0000-0003-0269-490X; Walker, David/0000-0002-4235-1699</t>
  </si>
  <si>
    <t>DSI Biogeo-chemistry Research Infrastructure Platform (BIOGRIP)</t>
  </si>
  <si>
    <t>We are grateful to Captain Knowledge Bengu and the crew of the R/V SA Agulhas II, as well as Chief Scientist, Marcello Vichi. S. Louw thanks the University of Cape Town?s Oceanography and Engineering De-partments, in particular Raquel Flynn and Hazel Little for continuous assistance in both data assimilation and analysis, and Shantelle Smith for ammonium concentration measurements. Thank you to Dr S. Fietz and Prof E. Campbell for their comments on an earlier version of this manuscript. The authors acknowledge the support of the DSI Biogeo-chemistry Research Infrastructure Platform (BIOGRIP) . The data described in this manuscript are available at 10.5281/zenodo.5256078.</t>
  </si>
  <si>
    <t>10.1016/j.dsr.2022.103805</t>
  </si>
  <si>
    <t>1Y0PQ</t>
  </si>
  <si>
    <t>WOS:000807848800006</t>
  </si>
  <si>
    <t>Yin, SJ; Lee, HY; Wang, W; Lee, J; Park, YD</t>
  </si>
  <si>
    <t>Yin, Shang-Jun; Lee, Ho-Yeon; Wang, Wei; Lee, Jinhyuk; Park, Yong-Doo</t>
  </si>
  <si>
    <t>Characterization and activity-folding relationship of serine protease from Antarctic krill (Euphausia superba)</t>
  </si>
  <si>
    <t>JOURNAL OF BIOMOLECULAR STRUCTURE &amp; DYNAMICS</t>
  </si>
  <si>
    <t>Serine protease; inhibition; serine modification; folding; Euphausia superba</t>
  </si>
  <si>
    <t>ARGININE KINASE; ALKALINE-PHOSPHATASE; CU2+; PURIFICATION; PROTEINASE; KINETICS; DEBRIDEMENT; ZN2+</t>
  </si>
  <si>
    <t>Euphausia superba (Antarctic krill) serine protease (ESP) was investigated to gain insights into the activity-structural relationship, folding behavior, and regulation of the catalytic function. We purified ESP from the krill muscle and characterized biochemical distinctions via enzyme kinetics. Studies of inhibition kinetics and unfolding in the presence of a serine residue modifier, such as phenylmethanesulfonyl fluoride, were conducted. Structural characterizations were measured by spectrofluorimetry, including 1-anilinonaphthalene-8-sulfonate dye labeling for hydrophobic residues. The computational simulations such as docking and molecular dynamics were finally conducted to detect key residues and folding behaviors in a nano-second range. The kinetic parameters of ESP were measured as K-m(BANH) = 0.97 +/- 0.15 mM and k(cat)/K-m(BANH) = 4.59 s(-1)/mM. The time-interval kinetics measurements indicated that ESP inactivation was transformed from a monophase to a biphase process to form a thermodynamically stable state. Spectrofluorimetry measurements showed that serine is directly connected to the regional folding of ESP. Several osmolytes such as proline and glycine only partially protected the inactive form of ESP by serine modification. Computational molecular dynamics and docking simulations showed that three serine residues (Ser183, Ser188, and Ser207) and Cys184, Val206, and Gly209 are key residues of catalytic functions. Our study revealed the functional roles of serine residues as key residues of catalytic function at the active site and of the structural conformation as key folding factors, where ESP displays a flexible property of active site pocket compared to the overall structure. Communicated by Ramaswamy H. Sarma</t>
  </si>
  <si>
    <t>[Yin, Shang-Jun; Wang, Wei; Park, Yong-Doo] Zhejiang Wanli Univ, Coll Biol &amp; Environm Sci, Ningbo 315100, Zhejiang, Peoples R China; [Lee, Ho-Yeon; Lee, Jinhyuk] Korea Res Inst Biosci &amp; Biotechnol KRIBB, Genome Editing Res Ctr, Gwahak Ro, Daejeon 34141, South Korea; [Lee, Ho-Yeon; Lee, Jinhyuk] Univ Sci &amp; Technol UST, KRIBB Sch Biosci, Dept Bioinformat, Daejeon, South Korea; [Park, Yong-Doo] Tsinghua Univ, Yangtze Delta Reg Inst, Skin Dis Res Ctr, Jiaxing, Peoples R China; [Park, Yong-Doo] Tsinghua Univ, Yangtze Delta Reg Inst, Zhejiang Prov Key Lab Appl Enzymol, Jiaxing, Peoples R China</t>
  </si>
  <si>
    <t>Zhejiang Wanli University; Korea Research Institute of Bioscience &amp; Biotechnology (KRIBB); University of Science &amp; Technology (UST); Tsinghua University; Tsinghua University</t>
  </si>
  <si>
    <t>Park, YD (corresponding author), Zhejiang Wanli Univ, Coll Biol &amp; Environm Sci, Ningbo 315100, Zhejiang, Peoples R China.;Lee, J (corresponding author), Korea Res Inst Biosci &amp; Biotechnol KRIBB, Genome Editing Res Ctr, Gwahak Ro, Daejeon 34141, South Korea.</t>
  </si>
  <si>
    <t>jinhyuk@kribb.re.kr; parkyd@hotmail.com</t>
  </si>
  <si>
    <t>Key Scientific and Technological Grant of Zhejiang for Breeding New Agricultural Varieties [2021C02069-8-3]; Zhejiang Province Welfare Technology Applied Research Project [LGN21C190013, LGN22C190022]; Key Technology Research and Development Projects in Ningbo [2021Z009]; Basic Science Research Program through the National Research Foundation of Korea (NRF) - Ministry of Education [NRF-2020R1I1A2071859]; Korea Research Institute of Bioscience and Biotechnology (KRIBB) Research Initiative Program [KGM5362111]</t>
  </si>
  <si>
    <t>Key Scientific and Technological Grant of Zhejiang for Breeding New Agricultural Varieties; Zhejiang Province Welfare Technology Applied Research Project; Key Technology Research and Development Projects in Ningbo; Basic Science Research Program through the National Research Foundation of Korea (NRF) - Ministry of Education(National Research Foundation of KoreaMinistry of Education (MOE), Republic of KoreaNational Research Council for Economics, Humanities &amp; Social Sciences, Republic of Korea); Korea Research Institute of Bioscience and Biotechnology (KRIBB) Research Initiative Program</t>
  </si>
  <si>
    <t>This work was supported by the Key Scientific and Technological Grant of Zhejiang for Breeding New Agricultural Varieties [2021C02069-8-3], the Zhejiang Province Welfare Technology Applied Research Project [LGN21C190013, LGN22C190022], and Key Technology Research and Development Projects in Ningbo [2021Z009]. Jinhyuk Lee was supported by Basic Science Research Program through the National Research Foundation of Korea (NRF) funded by the Ministry of Education [NRF-2020R1I1A2071859] and the Korea Research Institute of Bioscience and Biotechnology (KRIBB) Research Initiative Program [KGM5362111].</t>
  </si>
  <si>
    <t>TAYLOR &amp; FRANCIS INC</t>
  </si>
  <si>
    <t>PHILADELPHIA</t>
  </si>
  <si>
    <t>530 WALNUT STREET, STE 850, PHILADELPHIA, PA 19106 USA</t>
  </si>
  <si>
    <t>0739-1102</t>
  </si>
  <si>
    <t>1538-0254</t>
  </si>
  <si>
    <t>J BIOMOL STRUCT DYN</t>
  </si>
  <si>
    <t>J. Biomol. Struct. Dyn.</t>
  </si>
  <si>
    <t>JUL 24</t>
  </si>
  <si>
    <t>10.1080/07391102.2022.2080115</t>
  </si>
  <si>
    <t>Biochemistry &amp; Molecular Biology; Biophysics</t>
  </si>
  <si>
    <t>J4JV0</t>
  </si>
  <si>
    <t>WOS:000800229400001</t>
  </si>
  <si>
    <t>Oellermann, M; Jolles, JW; Ortiz, D; Seabra, R; Wenzel, T; Wilson, H; Tanner, RL</t>
  </si>
  <si>
    <t>Oellermann, Michael; Jolles, Jolle W.; Ortiz, Diego; Seabra, Rui; Wenzel, Tobias; Wilson, Hannah; Tanner, Richelle L.</t>
  </si>
  <si>
    <t>Open Hardware in Science: The Benefits of Open Electronics</t>
  </si>
  <si>
    <t>INTEGRATIVE AND COMPARATIVE BIOLOGY</t>
  </si>
  <si>
    <t>LOW-COST; SYSTEM</t>
  </si>
  <si>
    <t>Openly shared low-cost electronic hardware applications, known as open electronics, have sparked a new open-source movement, with much untapped potential to advance scientific research. Initially designed to appeal to electronic hobbyists, open electronics have formed a global maker community and are increasingly used in science and industry. In this perspective article, we review the current costs and benefits of open electronics for use in scientific research ranging from the experimental to the theoretical sciences. We discuss how user-made electronic applications can help (I) individual researchers, by increasing the customization, efficiency, and scalability of experiments, while improving data quantity and quality; (II) scientific institutions, by improving access to customizable high-end technologies, sustainability, visibility, and interdisciplinary collaboration potential; and (III) the scientific community, by improving transparency and reproducibility, helping decouple research capacity from funding, increasing innovation, and improving collaboration potential among researchers and the public. We further discuss how current barriers like poor awareness, knowledge access, and time investments can be resolved by increased documentation and collaboration, and provide guidelines for academics to enter this emerging field. We highlight that open electronics are a promising and powerful tool to help scientific research to become more innovative and reproducible and offer a key practical solution to improve democratic access to science.</t>
  </si>
  <si>
    <t>[Oellermann, Michael] Tech Univ Munich, TUM Sch Life Sci, Aquat Syst Biol Unit, Muhlenweg 22, D-85354 Freising Weihenstephan, Germany; [Oellermann, Michael] Univ Tasmania, Fisheries &amp; Aquaculture Ctr, Inst Marine &amp; Antarctic Studies, Private Bag 49, Hobart, Tas 7001, Australia; [Jolles, Jolle W.] Ctr Res Ecol &amp; Forestry Applicat CREAF, Campus UAB,Edifici C, Barcelona 08193, Spain; [Ortiz, Diego] Inst Nacl Tecnol Agr INTA, Estn Expt Manfredi, Ruta 9,Km 636, RA-5988 Cordoba, Argentina; [Seabra, Rui] Univ Porto, Ctr Invest Biodiversidade &amp; Recursos Genet, CIBIO, InBIO Lab Associado, Campus Vairao, P-4485661 Vairao, Portugal; [Seabra, Rui] CIBIO, BIOPOLIS Program Genom Biodivers &amp; Land Planning, Campus Vairao, P-4485661 Vairao, Portugal; [Wenzel, Tobias] Pontificia Univ Catolica Chile, Sch Engn, Inst Biol &amp; Med Engn, Vicuna Mackenna 4860,G92Q 26, Santiago 7820244, Chile; [Wenzel, Tobias] Pontificia Univ Catolica Chile, Sch Med &amp; Biol Sci, Inst Biol &amp; Med Engn, Vicuna Mackenna 4860,G92Q 26, Santiago 7820244, Chile; [Wilson, Hannah] Utah State Univ, Coll Sci, Biol Dept, 5305 Old Main Hill, Logan, UT 84321 USA; [Tanner, Richelle L.] Chapman Univ, Environm Sci &amp; Policy Program, 1 Univ Dr, Orange, CA 92866 USA</t>
  </si>
  <si>
    <t>Technical University of Munich; University of Tasmania; Centro de Investigacion Ecologica y Aplicaciones Forestales (CREAF-CERCA); Autonomous University of Barcelona; Instituto Nacional de Tecnologia Agropecuaria (INTA); Universidade do Porto; Universidade do Porto; Pontificia Universidad Catolica de Chile; Pontificia Universidad Catolica de Chile; Utah System of Higher Education; Utah State University; Chapman University System; Chapman University</t>
  </si>
  <si>
    <t>Oellermann, M (corresponding author), Tech Univ Munich, TUM Sch Life Sci, Aquat Syst Biol Unit, Muhlenweg 22, D-85354 Freising Weihenstephan, Germany.;Oellermann, M (corresponding author), Univ Tasmania, Fisheries &amp; Aquaculture Ctr, Inst Marine &amp; Antarctic Studies, Private Bag 49, Hobart, Tas 7001, Australia.</t>
  </si>
  <si>
    <t>michael.oellermann@utas.edu.au</t>
  </si>
  <si>
    <t>Jolles, Jolle Wolter/E-9842-2011; Wenzel, Tobias/A-2319-2015; Wenzel, Tobias/AAN-2827-2020; Oellermann, Michael/G-7073-2011; Seabra, Rui/J-7814-2012</t>
  </si>
  <si>
    <t>Jolles, Jolle Wolter/0000-0001-9905-2633; Wenzel, Tobias/0000-0001-8443-1315; Oellermann, Michael/0000-0001-5392-6737; Ortiz, Diego/0000-0001-8584-8921; Seabra, Rui/0000-0002-0240-3992</t>
  </si>
  <si>
    <t>German Research Foundation fellowship [OE 658/2]; California Sea Grant Delta Science Postdoctoral Fellowship [SWC 20-42, R/SF-107]; EMBL; Fellowship Freies Wissen by Wikimedia DE and co; ANID/FONDECYT/INICIACION [11200666]; FEDER through POR Norte [NORTE01-0145-FEDER-031053]; FCT [PTDC/BIA-BMA/31053/2017, CEECIND/01424/2017]; INTA [2019-PE-E6-I128-001, 2019-PE-E6I114-001, REC I117]</t>
  </si>
  <si>
    <t>German Research Foundation fellowship(German Research Foundation (DFG)); California Sea Grant Delta Science Postdoctoral Fellowship; EMBL; Fellowship Freies Wissen by Wikimedia DE and co; ANID/FONDECYT/INICIACION; FEDER through POR Norte; FCT(Fundacao para a Ciencia e a Tecnologia (FCT)); INTA</t>
  </si>
  <si>
    <t>M.O. was supported by a German Research Foundation fellowship OE 658/2. R.L.T. was supported by a California Sea Grant Delta Science Postdoctoral Fellowship SWC 20-42 Project R/SF-107. T.W. was supported by the EMBL, the Fellowship Freies Wissen by Wikimedia DE and cYo, and by ANID/FONDECYT/INICIACION/N. 11200666. R.S. was funded by FEDER through POR Norte (NORTE01-0145-FEDER-031053); and by National Funds through FCT (PTDC/BIA-BMA/31053/2017 and CEECIND/01424/2017). D.O. was supported by INTA through projects 2019-PE-E6-I128-001, 2019-PE-E6I114-001, and REC I117.</t>
  </si>
  <si>
    <t>1540-7063</t>
  </si>
  <si>
    <t>1557-7023</t>
  </si>
  <si>
    <t>INTEGR COMP BIOL</t>
  </si>
  <si>
    <t>Integr. Comp. Biol.</t>
  </si>
  <si>
    <t>OCT 29</t>
  </si>
  <si>
    <t>10.1093/icb/icac043</t>
  </si>
  <si>
    <t>5T3DS</t>
  </si>
  <si>
    <t>Green Submitted, hybrid, Green Published</t>
  </si>
  <si>
    <t>WOS:000856547100001</t>
  </si>
  <si>
    <t>Yadav, J; Kumar, A; Srivastava, A; Mohan, R</t>
  </si>
  <si>
    <t>Yadav, Juhi; Kumar, Avinash; Srivastava, Aakriti; Mohan, Rahul</t>
  </si>
  <si>
    <t>Sea ice variability and trends in the Indian Ocean sector of Antarctica: Interaction with ENSO and SAM</t>
  </si>
  <si>
    <t>ENVIRONMENTAL RESEARCH</t>
  </si>
  <si>
    <t>Sea ice extent; Sea ice concentration; Sea surface temperature; ENSO; SAM; Wavelet analysis; Indian ocean sector</t>
  </si>
  <si>
    <t>NINO-SOUTHERN-OSCILLATION; ANNULAR MODE; EXTENT; IMPACTS; SHELVES; CONTEXT; CYCLE</t>
  </si>
  <si>
    <t>Antarctic sea ice variability is primarily associated with ocean-atmospheric forcing driven by anomalous conditions over the tropical regions of the Pacific and Indian Oceans. The ice-ocean-atmosphere dynamics in the Indian Ocean Sector (IOS) of Antarctica have been studied using monthly satellite and reanalysis observations over four decades (1979-2019). In this study, we revealed that the annual sea ice extent (SIE) in the IOS increases at a rate of 0.7 +/- 0.9% decade(-1), with a maximum increase in austral summer (5.9 +/- 3.7% decade(-1)). The wavelet approach was used to determine the variability in IOS sea ice caused by the El Nino/Southern Oscillation (ENSO) and southern annular mode (SAM). The SIE has a significant association with both indices during the summer and autumn. In comparison to ENSO, the sea ice variability associated with SAM is typically seasonal in nature and lacks distinct patterns. The wavelet coherence analysis revealed a relatively weak relationship between ENSO and SAM but a highly significant coherence between climatic indices and SIE. We observed that sea ice in the IOS is influenced significantly by climatic oscillations during their negative SAM/El Nino or positive SAM/La Nina phases. Furthermore, the study demonstrated a substantial impact of climatic disturbances in determining the sea ice variability in the IOS.</t>
  </si>
  <si>
    <t>[Yadav, Juhi; Kumar, Avinash; Mohan, Rahul] Minist Earth Sci Govt India, Natl Ctr Polar &amp; Ocean Res, Goa, India; [Yadav, Juhi] Mangalore Univ, Dept Marine Geol, Mangalore 574199, India; [Srivastava, Aakriti] Barkatullah Univ, Dept Earth Sci, Bhopal, India</t>
  </si>
  <si>
    <t>Ministry of Earth Sciences (MoES) - India; National Centre for Polar and Ocean Research (NCPOR); Mangalore University; Barkatullah University</t>
  </si>
  <si>
    <t>Kumar, A (corresponding author), Minist Earth Sci Govt India, Natl Ctr Polar &amp; Ocean Res, Goa, India.</t>
  </si>
  <si>
    <t>avinash@ncpor.res.in</t>
  </si>
  <si>
    <t>Avinash, Kumar/0000-0002-6511-8435; Srivastava, Aakriti/0009-0007-3759-9087</t>
  </si>
  <si>
    <t>National Centre for Polar and Ocean Research (NCPOR) , Goa; University Grants Commission (UGC) , New Delhi, India</t>
  </si>
  <si>
    <t>National Centre for Polar and Ocean Research (NCPOR) , Goa; University Grants Commission (UGC) , New Delhi, India(University Grants Commission, India)</t>
  </si>
  <si>
    <t>We gratefully acknowledge the Director, National Centre for Polar and Ocean Research (NCPOR) , Goa, and Dr. M. Ravichandran, Secretary, Ministry of Earth Sciences (MoES) , New Delhi, for their continuous support and encouragement. Juhi Yadav thanks the University Grants Commission (UGC) , New Delhi, India, for the Senior Research Fellowship. The authors sincerely acknowledge various organisations, such as the National Snow and Ice Data Center (NSIDC) , National Oceanic and Atmospheric Administration (NOAA) , National Centre for Atmospheric Research (NCAR) , European Centre for Medium-Range Weather Forecasts (ECMWF) , and Climate Data Guide, for providing various datasets available in their portals. We acknowledge and thank all the anonymous Reviewers and Managing Editor-ER, for their detailed comments and insightful suggestions on the previous draft, which improved the quality of the paper. This is NCPOR contribution no J-8/2022-23.</t>
  </si>
  <si>
    <t>0013-9351</t>
  </si>
  <si>
    <t>1096-0953</t>
  </si>
  <si>
    <t>ENVIRON RES</t>
  </si>
  <si>
    <t>Environ. Res.</t>
  </si>
  <si>
    <t>D</t>
  </si>
  <si>
    <t>10.1016/j.envres.2022.113481</t>
  </si>
  <si>
    <t>Environmental Sciences; Public, Environmental &amp; Occupational Health</t>
  </si>
  <si>
    <t>Environmental Sciences &amp; Ecology; Public, Environmental &amp; Occupational Health</t>
  </si>
  <si>
    <t>1Y7XG</t>
  </si>
  <si>
    <t>WOS:000808352500002</t>
  </si>
  <si>
    <t>Wensman, SM; Shiel, AE; McConnell, JR</t>
  </si>
  <si>
    <t>Wensman, Sophia M.; Shiel, Alyssa E.; McConnell, Joseph R.</t>
  </si>
  <si>
    <t>Lead isotopic fingerprinting of 250-years of industrial era pollution in Greenland ice</t>
  </si>
  <si>
    <t>ANTHROPOCENE</t>
  </si>
  <si>
    <t>Ice core; Lead isotopes; Greenland; Lead pollution</t>
  </si>
  <si>
    <t>ATMOSPHERIC LEAD; ANTARCTIC SNOW; HEAVY-METALS; SOUTHERN GREENLAND; DEPOSITION BUDGETS; ANTHROPOGENIC LEAD; HISTORICAL RECORD; URBAN AIR; PB; CORES</t>
  </si>
  <si>
    <t>Emissions from mid-latitude industrial activities (e.g., mining, smelting, coal combustion) result in long-range atmospheric transport of lead (Pb) to the Arctic. While previous measurements of elemental concentrations and Pb isotopic ratios in ice and sediments have been used to suggest potential sources of toxic heavy metal pollution in these regions, high resolution Pb isotope records are largely unavailable due to the low Pb concentrations found in Arctic ice. Here we present and interpret a high-resolution, 1759-2008 record of Pb isotopes measured in a central Greenland ice core; the first high-resolution Pb isotope record for Greenland to include the First Industrial Revolution. Records of past industrial activities coupled with Pb isotopic signatures for regional ores and coals suggest Pb pollution prior to the mid-19th century was dominated by emissions from mining and combustion of coals in England, Scotland, and Wales. Rapid 1860s increases in Pb levels and decreases in Pb-206/Pb-207 ratios coincided with expansion of coal consumption in Europe and North America. Significant influence of 20th century smelting of Australian Broken Hill Pb ores in Europe resulted in a less radiogenic Pb isotope signature. The phase-out of leaded gasoline and other emissions reductions following passage of air quality legislation in the United States had a pronounced effect on Pb-206/Pb-207 ratios, with values falling from 1.187 in 1978 to 1.154 in 1983. Increasing Pb-208/Pb-207 ratios through the 1990s and 2000s indicate rising influence of long-range transport from Asia countering declines in European emissions. This 250-year high resolution Pb isotope reconstruction allows attribution of Pb sources to central Greenland with unprecedented detail.</t>
  </si>
  <si>
    <t>[Wensman, Sophia M.; Shiel, Alyssa E.] Oregon State Univ, Coll Earth Ocean &amp; Atmospher Sci, 104 CEOAS Admin Bldg, Corvallis, OR 97331 USA; [McConnell, Joseph R.] Desert Res Inst, 2215 Raggio Pkwy, Reno, NV 89512 USA</t>
  </si>
  <si>
    <t>Oregon State University; Nevada System of Higher Education (NSHE); Desert Research Institute NSHE</t>
  </si>
  <si>
    <t>Wensman, SM (corresponding author), Oregon State Univ, Coll Earth Ocean &amp; Atmospher Sci, 104 CEOAS Admin Bldg, Corvallis, OR 97331 USA.</t>
  </si>
  <si>
    <t>sophia.wensman@dri.edu</t>
  </si>
  <si>
    <t>Wensman, Sophia/0000-0002-3830-6510</t>
  </si>
  <si>
    <t>ARCS Foundation; Geological Society of America Graduate Student Research Grant Program; National Science Foundation [0909541, 1925417]</t>
  </si>
  <si>
    <t>ARCS Foundation; Geological Society of America Graduate Student Research Grant Program; National Science Foundation(National Science Foundation (NSF))</t>
  </si>
  <si>
    <t>Acknowledgments We thank D. Weis, V. Lai, K. Gordon, and D. Daquioag of the Pacific Centre for Isotopic and Geochemical Research for welcoming us at UBC and providing analytical support including laboratory access and assistance with the Nu Attom HR-ICP-MS. We thank N. Chellman for assistance in the laboratory at DRI as well as A. Stohl and S. Eckhardt for providing FLEXPART model simulation results. S. Wensman also gratefully acknowledge support from the ARCS Foundation and the Geological Society of America Graduate Student Research Grant Program. Collection, analyses, and ongoing interpretation of the Summit_2010 ice core was supported by National Science Foundation grants to J. McConnell (0909541, 1925417) .</t>
  </si>
  <si>
    <t>2213-3054</t>
  </si>
  <si>
    <t>Anthropocene</t>
  </si>
  <si>
    <t>10.1016/j.ancene.2022.100340</t>
  </si>
  <si>
    <t>1W0UZ</t>
  </si>
  <si>
    <t>WOS:000806498200004</t>
  </si>
  <si>
    <t>Farooq, U; Rack, W; McDonald, A; Howell, S</t>
  </si>
  <si>
    <t>Farooq, Usama; Rack, Wolfgang; McDonald, Adrian; Howell, Stephen</t>
  </si>
  <si>
    <t>Representation of sea ice regimes in the Western Ross Sea, Antarctica, based on satellite imagery and AMPS wind data</t>
  </si>
  <si>
    <t>Sea ice drift; Wind forcing; Envisat ASAR; AMPS; Sea ice classification; Antarctica; Western Ross Sea</t>
  </si>
  <si>
    <t>MOTION; OCEAN; DYNAMICS; TRACKING; POLYNYA; TRENDS</t>
  </si>
  <si>
    <t>Sea ice drift data at high spatial resolution and surface wind model output are used to explore atmosphere-sea ice interactions in the Western Ross Sea including the three main polynyas areas; McMurdo Sound polynya (MSP), Terra Nova Bay polynya (TNBP), and the Ross Sea polynya (RSP). This study quantifies the relationship between the winds and sea ice drift and observes the average and annual anomalies across the region. Sea ice drift velocities are based on high-resolution (150 m) Advanced Synthetic Aperture Radar (ASAR) images from Envisat for winters between 2002 and 2012. Sea ice motion vectors were first correlated with the corresponding Antarctic Mesoscale Prediction System (AMPS) surface wind velocities, and the sensitivity of the spatial correlations and residuals were examined. Four drift parameters were selected (mean drift, the correlation between drift and wind, drift to wind scaling factor, and the directional drift constancy) to perform an unsupervised k-means classification to automatically distinguish six zones of distinctive sea ice characteristics solely based on ice drift and wind information. Results indicate a heterogeneous pattern of sea ice movement at a rate ranging from 0.41 to 2.24% of the wind speed in different areas. We also find that the directional constancy of sea ice drift is closely related to the wind fields. Sea ice drift and wind velocities display the highest correlation in free-drift areas (R = 0.70), followed by deformational drift zones (R = 0.54), and more random drift areas (R = 0.28). The classification illustrates the significance of localized wind-driven sea ice drift in this coastal area resulting in zones of convergence, shear, and free drift. The results also indicate that the most persistent patterns of sea ice motion are near the RSP and TNBP areas, both being driven by strong localized winds. Our findings identify that large-scale sea ice motion is predominantly wind-driven over much of the study area while ocean currents play only a minor role.</t>
  </si>
  <si>
    <t>[Farooq, Usama; Rack, Wolfgang; McDonald, Adrian] Univ Canterbury, Gateway Antarct, Christchurch 8140, New Zealand; [McDonald, Adrian] Univ Canterbury, Sch Phys &amp; Chem Sci, Christchurch 8140, New Zealand; [Howell, Stephen] Environm &amp; Climate Change Canada, Climate Res Div, Toronto, ON, Canada</t>
  </si>
  <si>
    <t>University of Canterbury; University of Canterbury; Environment &amp; Climate Change Canada</t>
  </si>
  <si>
    <t>Farooq, U (corresponding author), Univ Canterbury, Gateway Antarct, Christchurch 8140, New Zealand.</t>
  </si>
  <si>
    <t>usama.farooq@pg.canterbury.ac.nz</t>
  </si>
  <si>
    <t>Rack, Wolfgang/U-8898-2017</t>
  </si>
  <si>
    <t>Farooq, Usama/0000-0003-3899-2095</t>
  </si>
  <si>
    <t>University of Canterbury; Deep South National Science Challenge, New Zealand; Antarctic Science Platform</t>
  </si>
  <si>
    <t>The research is supported by the University of Canterbury doctoral scholarship, the Deep South National Science Challenge, New Zealand, and the Antarctic Science Platform.</t>
  </si>
  <si>
    <t>10.1007/s00382-022-06319-9</t>
  </si>
  <si>
    <t>WOS:000800814700006</t>
  </si>
  <si>
    <t>Sproson, AD; Yokoyama, Y; Miyairi, Y; Aze, T; Totten, RL</t>
  </si>
  <si>
    <t>Sproson, Adam D.; Yokoyama, Yusuke; Miyairi, Yosuke; Aze, Takahiro; Totten, Rebecca L.</t>
  </si>
  <si>
    <t>Holocene melting of the West Antarctic Ice Sheet driven by tropical Pacific warming</t>
  </si>
  <si>
    <t>AMUNDSEN SEA EMBAYMENT; GROUNDING LINE RETREAT; PINE ISLAND; BERYLLIUM ISOTOPES; BE-10/BE-9 RATIOS; GLACIAL DISCHARGE; METEORIC BE-10; IN-SITU; CLIMATE; SHELF</t>
  </si>
  <si>
    <t>Ice loss from the Amundsen Sea sector of West Antarctica is rapidly accelerating. Here, the authors reveal that this region also underwent thinning and retreat from 9 to 6 thousand years ago, due to atmospheric connections with a warming tropical Pacific. The primary Antarctic contribution to modern sea-level rise is glacial discharge from the Amundsen Sea sector of the West Antarctic Ice Sheet. The main processes responsible for ice mass loss include: (1) ocean-driven melting of ice shelves by upwelling of warm water onto the continental shelf; and (2) atmospheric-driven surface melting of glaciers along the Antarctic coast. Understanding the relative influence of these processes on glacial stability is imperative to predicting sea-level rise. Employing a beryllium isotope-based reconstruction of ice-shelf history, we demonstrate that glaciers flowing into the Amundsen Sea Embayment underwent melting and retreat between 9 and 6 thousand years ago. Despite warm ocean water influence, this melting event was mainly forced by atmospheric circulation changes over continental West Antarctica, linked via a Rossby wave train to tropical Pacific Ocean warming. This millennial-scale glacial history may be used to validate contemporary ice-sheet models and improve sea-level projections.</t>
  </si>
  <si>
    <t>[Sproson, Adam D.; Yokoyama, Yusuke; Miyairi, Yosuke; Aze, Takahiro] Univ Tokyo, Atmosphere &amp; Ocean Res Inst, Kashiwa, Chiba, Japan; [Sproson, Adam D.; Yokoyama, Yusuke] Japan Agcy Marine Earth Sci &amp; Technol, Biogeochem Res Ctr, Yokosuka, Kanagawa, Japan; [Yokoyama, Yusuke] Univ Tokyo, Grad Sch Sci, Dept Earth &amp; Planetary Sci, Tokyo, Japan; [Yokoyama, Yusuke] Univ Tokyo, Grad Sch Arts &amp; Sci, Grad Program Environm Sci, Tokyo, Japan; [Yokoyama, Yusuke] Australian Natl Univ, Res Sch Phys, Canberra, ACT 02000, Australia; [Totten, Rebecca L.] Univ Alabama, Dept Geol Sci, Tuscaloosa, AL USA</t>
  </si>
  <si>
    <t>University of Tokyo; Japan Agency for Marine-Earth Science &amp; Technology (JAMSTEC); University of Tokyo; University of Tokyo; Australian National University; University of Alabama System; University of Alabama Tuscaloosa</t>
  </si>
  <si>
    <t>Sproson, AD (corresponding author), Univ Tokyo, Atmosphere &amp; Ocean Res Inst, Kashiwa, Chiba, Japan.;Sproson, AD (corresponding author), Japan Agcy Marine Earth Sci &amp; Technol, Biogeochem Res Ctr, Yokosuka, Kanagawa, Japan.</t>
  </si>
  <si>
    <t>adamsproson@gmail.com</t>
  </si>
  <si>
    <t>Sproson, Adam/IST-5171-2023</t>
  </si>
  <si>
    <t>Sproson, Adam/0000-0002-1107-3673; Totten, Rebecca L./0000-0002-8227-2848; Yokoyama, Yusuke/0000-0001-7869-5891</t>
  </si>
  <si>
    <t>Japan Society for the Promotion of Science (JSPS) [PE17712, P18791, 20H00193, 18F18791]; NSF/ARRA [ANT-0837925]; Grants-in-Aid for Scientific Research [20H00193, 22K14137, 18F18791] Funding Source: KAKEN</t>
  </si>
  <si>
    <t>Japan Society for the Promotion of Science (JSPS)(Ministry of Education, Culture, Sports, Science and Technology, Japan (MEXT)Japan Society for the Promotion of Science); NSF/ARRA; Grants-in-Aid for Scientific Research(Ministry of Education, Culture, Sports, Science and Technology, Japan (MEXT)Japan Society for the Promotion of ScienceGrants-in-Aid for Scientific Research (KAKENHI))</t>
  </si>
  <si>
    <t>We thank H. Matsuzaki (Univ. of Tokyo) and members of MALT for their assistance with AMS measurements. A.D.S. and Y.Y. would like to thank the Japan Society for the Promotion of Science (JSPS) for supporting this study through their postdoctoral fellowships (PE17712 and P18791) and Grants-in-Aid (KAKENHI) for Scientific Research (20H00193 and 18F18791), respectively. The sediment core and geophysical work of the OSO-0910 cruise was funded by the NSF/ARRA ANT-0837925 grant awarded to John B. Anderson and Martin Jakobsson.</t>
  </si>
  <si>
    <t>MAY 20</t>
  </si>
  <si>
    <t>10.1038/s41467-022-30076-2</t>
  </si>
  <si>
    <t>1L9XD</t>
  </si>
  <si>
    <t>WOS:000799632400016</t>
  </si>
  <si>
    <t>Wang, QK; Li, ZQ; Lu, P; Xu, YG; Li, ZJ</t>
  </si>
  <si>
    <t>Wang, Qingkai; Li, Zhaoquan; Lu, Peng; Xu, Yigang; Li, Zhijun</t>
  </si>
  <si>
    <t>Flexural and compressive strength of the landfast sea ice in the Prydz Bay, East Antarctic</t>
  </si>
  <si>
    <t>MECHANICAL-PROPERTIES; DEFORMATION</t>
  </si>
  <si>
    <t>A total of 25 flexural and 55 uniaxial compressive strength tests were conducted in laboratory using land-fast sea ice samples collected in the Prydz Bay. Three-point bending tests were performed at ice temperatures of -12 to -3 degrees C with force applied vertically to original ice surface, and compressive strength tests were performed at -3 degrees C with a strain-rate level of 10(-6) -10(-2) s(-1) in the directions vertical and horizontal to ice surface. Judging from crystal structure, the ice samples were divided into congelation ice, snow ice, and a mixture of the two. The results of congelation ice showed that the flexural strength had a decreasing trend depending on porosity rather than brine volume, based on which a mathematical equation was established to estimate flexural strength. Both flexural strength and effective modulus of elasticity increased with increasing platelet spacing. The uniaxial compressive strength increased and decreased with strain rate below and above the critical regime, respectively, which is 8.0 x 10(-4) -1.5 x 10(-3) s(-1) for vertically loaded samples and 2.0 x 10(-3)-3.0 x 10(-3) s(-1) for horizontally loaded samples. A drop-off in compressive strength was shown with increasing sea ice porosity. Consequently, a model was developed to depict the combined effects of porosity and strain rate on compressive strength in both ductile and brittle regimes. The mechanical strength of mixed ice was lower than congelation ice, and that of snow ice was much weaker. To provide a safe guide for the transportation of goods on landfast sea ice in the Prydz Bay, the bearing capacity of the ice cover is estimated with the lower and upper envelopes of flexural strength and effective elastic modulus, respectively, which turned out to be a function of sea ice porosity.</t>
  </si>
  <si>
    <t>[Wang, Qingkai; Li, Zhaoquan; Lu, Peng; Li, Zhijun] Dalian Univ Technol, State Key Lab Coastal &amp; Offshore Engn, Dalian 116024, Peoples R China; [Xu, Yigang] Marine Design &amp; Res Inst China, Shanghai 200011, Peoples R China</t>
  </si>
  <si>
    <t>Dalian University of Technology; Marine Design &amp; Research Institute of China (MARIC)</t>
  </si>
  <si>
    <t>Li, ZJ (corresponding author), Dalian Univ Technol, State Key Lab Coastal &amp; Offshore Engn, Dalian 116024, Peoples R China.</t>
  </si>
  <si>
    <t>lizhijun@dlut.edu.cn</t>
  </si>
  <si>
    <t>Li, Zhijun/A-5299-2019; Lu, Peng/HNR-4786-2023</t>
  </si>
  <si>
    <t>Li, Zhijun/0000-0002-2897-0450;</t>
  </si>
  <si>
    <t>National Natural Science Foundation of China [52192692, 41906198, 41922045]; Fundamental Research Funds for the Central Universities [DUT21RC3086]; Liao Ning Revitalization Talents Program [XLYC2007033, XLYC1908027]</t>
  </si>
  <si>
    <t>National Natural Science Foundation of China(National Natural Science Foundation of China (NSFC)); Fundamental Research Funds for the Central Universities(Fundamental Research Funds for the Central Universities); Liao Ning Revitalization Talents Program</t>
  </si>
  <si>
    <t>This research has been supported by the National Natural Science Foundation of China (grant nos. 52192692, 41906198, and 41922045), the Fundamental Research Funds for the Central Universities (grant no. DUT21RC3086), and the Liao Ning Revitalization Talents Program (grant nos. XLYC2007033 and XLYC1908027).</t>
  </si>
  <si>
    <t>10.5194/tc-16-1941-2022</t>
  </si>
  <si>
    <t>1J5MN</t>
  </si>
  <si>
    <t>WOS:000797963100001</t>
  </si>
  <si>
    <t>Watters, GM; Hinke, JT</t>
  </si>
  <si>
    <t>Watters, George M.; Hinke, Jefferson T.</t>
  </si>
  <si>
    <t>Conservation in the Scotia Sea in light of expiring regulations and disrupted negotiations</t>
  </si>
  <si>
    <t>CONSERVATION BIOLOGY</t>
  </si>
  <si>
    <t>Antarctica; Antarctic krill; CCAMLR; fishery management; krill predators; precaution; risk assessment</t>
  </si>
  <si>
    <t>KRILL FISHERY; MANAGEMENT; OPTIONS</t>
  </si>
  <si>
    <t>[Watters, George M.; Hinke, Jefferson T.] Southwest Fisheries Sci Ctr, Natl Ocean &amp; Atmospher Adm, Natl Marine Fisheries Serv, Antarctic Ecosyst Res Div, 8901 La Jolla Shores Dr, La Jolla, CA 92037 USA</t>
  </si>
  <si>
    <t>National Oceanic Atmospheric Admin (NOAA) - USA</t>
  </si>
  <si>
    <t>Watters, GM (corresponding author), Southwest Fisheries Sci Ctr, Natl Ocean &amp; Atmospher Adm, Natl Marine Fisheries Serv, Antarctic Ecosyst Res Div, 8901 La Jolla Shores Dr, La Jolla, CA 92037 USA.</t>
  </si>
  <si>
    <t>george.watters@noaa.gov</t>
  </si>
  <si>
    <t>Watters, George/HPE-2184-2023</t>
  </si>
  <si>
    <t>Watters, George/0000-0002-6989-1273</t>
  </si>
  <si>
    <t>0888-8892</t>
  </si>
  <si>
    <t>1523-1739</t>
  </si>
  <si>
    <t>CONSERV BIOL</t>
  </si>
  <si>
    <t>Conserv. Biol.</t>
  </si>
  <si>
    <t>e13925</t>
  </si>
  <si>
    <t>10.1111/cobi.13925</t>
  </si>
  <si>
    <t>Biodiversity Conservation; Ecology; Environmental Sciences</t>
  </si>
  <si>
    <t>4Z2DT</t>
  </si>
  <si>
    <t>WOS:000798051800001</t>
  </si>
  <si>
    <t>Zhu, JY; Zhu, GP</t>
  </si>
  <si>
    <t>Zhu, Jiuyang; Zhu, Guoping</t>
  </si>
  <si>
    <t>Trophic linkage between mackerel icefish (Champsocephalus gunnari) and Antarctic krill (Euphausia superba) at South Georgia</t>
  </si>
  <si>
    <t>Champsocephalus gunnari; Euphausia superba; Fatty acids analysis; Stomach content; South Georgia; Trophic dynamics</t>
  </si>
  <si>
    <t>FATTY-ACID-COMPOSITION; DIET; MARKERS; ECOLOGY; LIPIDS</t>
  </si>
  <si>
    <t>Mackerel icefish, Champsocephalus gunnari, plays a vital role in the Antarctic marine ecosystem, not only because it is an important prey for higher predators but also because it is the primary predator of Antarctic krill (Euphausia superba), a keystone species in the Southern Ocean. Therefore, elucidating the trophic linkage between C. gunnari and its exclusive prey can provide a model for the trophic relationship between a predator and its prey in cold environments. Stomach contents analysis showed that E. superba was the predominant prey of C. gunnari in terms of quantity (99.3%) and quality (99.9%) during winter at South Georgia. E. superba had a similar fatty acid profile to that of C. gunnari, with a high proportion of short-chain monounsaturated fatty acids (MUFA) and a lower proportion of long-chain MUFA. However, C. gunnari was more likely to retain polyunsaturated fatty acids, especially docosahexaenoic; E. superba tended to accumulate saturated fatty acids and MUFA. This reflects the fact that fatty acids, when transferred from low trophic level to higher levels, are accumulated in the predator selectively, according to their relative content in the diet and their physiological and ecological function in the predator.</t>
  </si>
  <si>
    <t>[Zhu, Jiuyang; Zhu, Guoping] Shanghai Ocean Univ, Coll Marine Sci, Shanghai 201306, Peoples R China; [Zhu, Guoping] Shanghai Ocean Univ, Ctr Polar Res, Shanghai 201306, Peoples R China; [Zhu, Guoping] Minist Educ, Key Lab Sustainable Exploitat Ocean Fisheries Reso, Polar Marine Ecosyst Grp, Shanghai 201306, Peoples R China; [Zhu, Guoping] Natl Engn Res Ctr Ocean Fisheries, Shanghai 201306, Peoples R China</t>
  </si>
  <si>
    <t>Shanghai Ocean University; Shanghai Ocean University; National Engineering Research Center for Oceanic Fisheries</t>
  </si>
  <si>
    <t>Zhu, GP (corresponding author), Shanghai Ocean Univ, Coll Marine Sci, Shanghai 201306, Peoples R China.</t>
  </si>
  <si>
    <t>jiuyangzhu@yeah.net; gpzhu@shou.edu.cn</t>
  </si>
  <si>
    <t>ZHU, Guo-ping/D-1002-2010</t>
  </si>
  <si>
    <t>Zhu, Guoping/0000-0001-6081-7811</t>
  </si>
  <si>
    <t>College of Marine Sciences, Shanghai Ocean University [41776185]; National Science Foundation of China [41776185]; National Key Research and Development Program of China [41776185]; [2018YFC1406801]</t>
  </si>
  <si>
    <t>College of Marine Sciences, Shanghai Ocean University; National Science Foundation of China(National Natural Science Foundation of China (NSFC)); National Key Research and Development Program of China;</t>
  </si>
  <si>
    <t>The authors thank the National Scientific Observers of China for krill fishery and the master and crew of the trawler Longteng for their considerable efforts to collect the samples. Haiting Zhang, Qingyuan Yang and Mei Xue deserve special recognition for their contribution in the laboratory. The authors also thank the College of Marine Sciences, Shanghai Ocean University for providing the facilities in the laboratory that make this study happen. This project was supported by the National Science Foundation of China (grant 41776185 to G.P. Zhu) , the National Key Research and Development Program of China (2018YFC1406801 to G.P. Zhu) .</t>
  </si>
  <si>
    <t>10.1016/j.fishres.2022.106366</t>
  </si>
  <si>
    <t>1W9PZ</t>
  </si>
  <si>
    <t>WOS:000807100000002</t>
  </si>
  <si>
    <t>de Souza, LMD; Lirio, JM; Coria, SH; Lopes, FAC; Convey, P; Carvalho-Silva, M; de Oliveira, FS; Rosa, CA; Camara, PEAS; Rosa, LH</t>
  </si>
  <si>
    <t>Drumond de Souza, Lauren Machado; Lirio, Juan Manuel; Coria, Silvia Herminda; Cardoso Lopes, Fabyano Alvares; Convey, Peter; Carvalho-Silva, Micheline; de Oliveira, Fabio Soares; Rosa, Carlos Augusto; Aguiar Saraiva Camara, Paulo Eduardo; Rosa, Luiz Henrique</t>
  </si>
  <si>
    <t>Diversity, distribution and ecology of fungal communities present in Antarctic lake sediments uncovered by DNA metabarcoding</t>
  </si>
  <si>
    <t>SCIENTIFIC REPORTS</t>
  </si>
  <si>
    <t>ILYONECTRIA; FOREST; PLANT</t>
  </si>
  <si>
    <t>We assessed fungal diversity in sediments obtained from four lakes in the South Shetland Islands and James Ross Island, Antarctica, using DNA metabarcoding. We detected 218 amplicon sequence variants (ASVs) dominated by the phyla Ascomycota, Basidiomycota, Mortierellomycota, Mucoromycota and Chytridiomycota. In addition, the rare phyla Aphelidiomycota, Basidiobolomycota, Blastocladiomycota, Monoblepharomycota, Rozellomycota and Zoopagomycota as well as fungal-like Straminopila belonging to the phyla Bacillariophyta and Oomycota were detected. The fungal assemblages were dominated by unknown fungal taxa (Fungal sp. 1 and Fungal sp. 2), followed by Talaromyces rubicundus and Dactylonectria anthuriicola. In general, they displayed high diversity, richness and moderate dominance. Sequences representing saprophytic, pathogenic and symbiotic fungi were detected, including the phytopathogenic fungus D. anthuriicola that was abundant, in the relatively young Soto Lake on Deception Island. The lake sediments studied contained the DNA of rich, diverse and complex fungal communities, including both fungi commonly reported in Antarctica and other taxa considered to be rare. However, as the study was based on the use of environmental DNA, which does not unequivocally confirm the presence of active or viable organisms, further studies using other approaches such as shotgun sequencing are required to elucidate the ecology of fungi in these Antarctic lake sediments.</t>
  </si>
  <si>
    <t>[Drumond de Souza, Lauren Machado; Rosa, Carlos Augusto; Rosa, Luiz Henrique] Univ Fed Minas Gerais, Lab Microbiol Polar &amp; Conexoes Trop, Dept Microbiol, Inst Ciencias Biol, POB 486, BR-31270901 Belo Horizonte, MG, Brazil; [Lirio, Juan Manuel; Coria, Silvia Herminda] Inst Antartico Argentino, Buenos Aires, DF, Argentina; [Cardoso Lopes, Fabyano Alvares] Univ Fed Tocantins, Lab Microbiol, Porto Nacl, Brazil; [Convey, Peter] British Antarctic Survey, NERC, Madingley Rd, Cambridge CB3 0ET, England; [Convey, Peter] Univ Johannesburg, Dept Zool, POB 524, ZA-2006 Auckland Pk, South Africa; [Carvalho-Silva, Micheline; Aguiar Saraiva Camara, Paulo Eduardo] Univ Brasilia, Dept Bot, Brasilia, DF, Brazil; [de Oliveira, Fabio Soares] Univ Fed Minas Gerais, Dept Geog, Belo Horizonte, MG, Brazil</t>
  </si>
  <si>
    <t>Universidade Federal de Minas Gerais; Instituto Antartico Argentino; Universidade Federal do Tocantins (UFT); UK Research &amp; Innovation (UKRI); Natural Environment Research Council (NERC); NERC British Antarctic Survey; University of Johannesburg; Universidade de Brasilia; Universidade Federal de Minas Gerais</t>
  </si>
  <si>
    <t>Rosa, LH (corresponding author), Univ Fed Minas Gerais, Lab Microbiol Polar &amp; Conexoes Trop, Dept Microbiol, Inst Ciencias Biol, POB 486, BR-31270901 Belo Horizonte, MG, Brazil.</t>
  </si>
  <si>
    <t>lhrosa@icb.ufmg.br</t>
  </si>
  <si>
    <t>Camara, Paulo/GPP-2054-2022; Lopes, Fabyano/F-7558-2018; Convey, Peter/AAV-5728-2020</t>
  </si>
  <si>
    <t>Camara, Paulo/0000-0002-3944-996X; Lopes, Fabyano/0000-0002-4565-9103; Convey, Peter/0000-0001-8497-9903</t>
  </si>
  <si>
    <t>CNPq; CAPES; FNDCT; FAPEMIG; INCT Criosfera; PROANTAR; Pro-Reitoria de Pesquisa (PRPq) of Universidade Federal University of Minas Gerais; NERC; Instituto Antartico Argentino</t>
  </si>
  <si>
    <t>CNPq(Conselho Nacional de Desenvolvimento Cientifico e Tecnologico (CNPQ)); CAPES(Coordenacao de Aperfeicoamento de Pessoal de Nivel Superior (CAPES)); FNDCT; FAPEMIG(Fundacao de Amparo a Pesquisa do Estado de Minas Gerais (FAPEMIG)); INCT Criosfera; PROANTAR; Pro-Reitoria de Pesquisa (PRPq) of Universidade Federal University of Minas Gerais; NERC(UK Research &amp; Innovation (UKRI)Natural Environment Research Council (NERC)); Instituto Antartico Argentino</t>
  </si>
  <si>
    <t>This study received financial support from CNPq, CAPES, FNDCT, FAPEMIG, INCT Criosfera, PROANTAR and Pro-Reitoria de Pesquisa (PRPq) of Universidade Federal University of Minas Gerais. P. Convey is supported by NERC core funding to the British Antarctic Survey's `Biodiversity, Evolution and Adaptation' Team. We thank the Instituto Antartico Argentino for logistical and financial support for the field campaign in Antarctica during the 2020/21 austral summer and Lagos Group Team for their help in the field.</t>
  </si>
  <si>
    <t>2045-2322</t>
  </si>
  <si>
    <t>SCI REP-UK</t>
  </si>
  <si>
    <t>Sci Rep</t>
  </si>
  <si>
    <t>MAY 19</t>
  </si>
  <si>
    <t>10.1038/s41598-022-12290-6</t>
  </si>
  <si>
    <t>1J6ZE</t>
  </si>
  <si>
    <t>Green Accepted, gold, Green Published</t>
  </si>
  <si>
    <t>WOS:000798064600036</t>
  </si>
  <si>
    <t>Ohashi, Y; Yamamoto-Kawai, M; Kusahara, K; Sasaki, K; Ohshima, KI</t>
  </si>
  <si>
    <t>Ohashi, Yoshihiko; Yamamoto-Kawai, Michiyo; Kusahara, Kazuya; Sasaki, Ken'ichi; Ohshima, Kay, I</t>
  </si>
  <si>
    <t>Age distribution of Antarctic Bottom Water off Cape Darnley, East Antarctica, estimated using chlorofluorocarbon and sulfur hexafluoride</t>
  </si>
  <si>
    <t>INDIAN SECTOR; WEDDELL SEA; DEEP-WATER; OCEAN; CIRCULATION; OCEANOGRAPHY; VENTILATION; MASSES; SF6</t>
  </si>
  <si>
    <t>Chlorofluorocarbon (CFC) and sulfur hexafluoride (SF6) were used to investigate the timescale of Antarctic Bottom Water (AABW) that spreads off Cape Darnley (CD) in East Antarctica. The age of the AABW was estimated based on the observed SF6/CFC-12 ratio while taking into account tracer dilution by Lower Circumpolar Deep Water. Along the western canyons off CD and the similar to 3000 to 3500 m isobaths, the bottom water age was &lt;5 years, reflecting the spread of newly formed CD Bottom Water. Higher ages of similar to 8 years obtained for areas east of CD and &gt; 20 years in the northwestern offshore region indicate inflows of AABW through the Princess Elizabeth Trough and Weddell Sea Deep Water, respectively. This study determined the age distribution in the region off CD, where three different types of AABW spread.</t>
  </si>
  <si>
    <t>[Ohashi, Yoshihiko; Yamamoto-Kawai, Michiyo] Tokyo Univ Marine Sci &amp; Technol, Dept Ocean Sci, Tokyo 1088477, Japan; [Kusahara, Kazuya] Japan Agcy Marine Earth Sci &amp; Technol, Res Inst Global Change, Res Ctr Environm Modeling &amp; Applicat, Yokohama, Kanagawa 2360001, Japan; [Sasaki, Ken'ichi] Japan Agcy Marine Earth Sci &amp; Technol, Res Inst Global Change, Mutsu Inst Oceanog, Mutsu, Aomori 0350022, Japan; [Ohshima, Kay, I] Hokkaido Univ, Inst Low Temp Sci, Sapporo, Hokkaido 0600819, Japan; [Ohshima, Kay, I] Hokkaido Univ, Arctic Res Ctr, Sapporo, Hokkaido 0010021, Japan</t>
  </si>
  <si>
    <t>Tokyo University of Marine Science &amp; Technology; Japan Agency for Marine-Earth Science &amp; Technology (JAMSTEC); Japan Agency for Marine-Earth Science &amp; Technology (JAMSTEC); Hokkaido University; Hokkaido University</t>
  </si>
  <si>
    <t>Ohashi, Y (corresponding author), Tokyo Univ Marine Sci &amp; Technol, Dept Ocean Sci, Tokyo 1088477, Japan.</t>
  </si>
  <si>
    <t>yohash0@kaiyodai.ac.jp</t>
  </si>
  <si>
    <t>Ohshima, Kay I/D-6909-2012</t>
  </si>
  <si>
    <t>JSPS KAKENHI [17H06317, 17H06323, 19K12301]; Kurita Water and Environment Foundation [19A079, 20K022]; Grants-in-Aid for Scientific Research [19K12301, 17H06317] Funding Source: KAKEN</t>
  </si>
  <si>
    <t>JSPS KAKENHI(Ministry of Education, Culture, Sports, Science and Technology, Japan (MEXT)Japan Society for the Promotion of ScienceGrants-in-Aid for Scientific Research (KAKENHI)); Kurita Water and Environment Foundation(Kurita Water and Environment Foundation); Grants-in-Aid for Scientific Research(Ministry of Education, Culture, Sports, Science and Technology, Japan (MEXT)Japan Society for the Promotion of ScienceGrants-in-Aid for Scientific Research (KAKENHI))</t>
  </si>
  <si>
    <t>We would like to thank the captain Kazuhiro Kasuga, crews, Dr. Minoru Ikehara (chief scientist of KH19-01 cruise) and the other scientists of the R/V Hakuho-maru for their assistance with the field observations. We are grateful to Dr. Yoshiki Komuro for sharing a computer program of chemical tracers for the ocean model. This research was supported by JSPS KAKENHI (Nos. 17H06317, 17H06323, and 19K12301) and the Kurita Water and Environment Foundation (Nos. 19A079 and 20K022).</t>
  </si>
  <si>
    <t>10.1038/s41598-022-12109-4</t>
  </si>
  <si>
    <t>gold, Green Submitted, Green Published</t>
  </si>
  <si>
    <t>WOS:000798064600154</t>
  </si>
  <si>
    <t>Shimada, K; Kitade, Y; Aoki, S; Mizobata, K; Cheng, LQ; Takahashi, KT; Makabe, R; Kanda, J; Odate, T</t>
  </si>
  <si>
    <t>Shimada, Keishi; Kitade, Yujiro; Aoki, Shigeru; Mizobata, Kohei; Cheng, Lingqiao; Takahashi, Kunio T.; Makabe, Ryosuke; Kanda, Jota; Odate, Tsuneo</t>
  </si>
  <si>
    <t>Shoaling of abyssal ventilation in the Eastern Indian Sector of the Southern Ocean</t>
  </si>
  <si>
    <t>ANTARCTIC BOTTOM WATER; SEA-LEVEL RISE; GLOBAL HEAT; CIRCULATION</t>
  </si>
  <si>
    <t>Antarctic Bottom Water formation, which ventilates the abyssal layers of the Southern Ocean, is an integral component of the global ocean meridional overturning circulation. Considering evident freshening and density decreases in the source waters, widespread warming in the Southern Ocean suggests a weakening in the Antarctic Bottom Water supply. We demonstrate that the weakening is robust based on water mass warming in the deep and abyssal layers of the Australian-Antarctic Basin, which remained after removing the southward shift effect of the Southern Antarctic Circumpolar Current Front. Moreover, a decrease in apparent oxygen utilisation and reduced warming in the intermediate density layer below Circumpolar Deep Water extended further from the Australian-Antarctic Basin to the South Australian Basin. We suggest that a concurrent weakening in the densest portion and strengthening in the less dense portion shape the multi-basin change in the meridional overturning circulation that originates from the Southern Ocean. Under rapid and persistent freshening in source waters, a decline in the supply of Antarctic Bottom Water to the Australian-Antarctic Basin is compensated by an increase in ventilation of the layer immediately above, suggests an analysis of in situ observations since 1995.</t>
  </si>
  <si>
    <t>[Shimada, Keishi] Tokyo Univ Marine Sci &amp; Technol, Ctr Marine Res &amp; Operat, Minato Ku, 4-5-7 Kounan, Tokyo 1088477, Japan; [Kitade, Yujiro; Mizobata, Kohei; Makabe, Ryosuke; Kanda, Jota] Tokyo Univ Marine Sci &amp; Technol, Dept Ocean Sci, Minato Ku, 4-5-7 Kounan, Tokyo 1088477, Japan; [Aoki, Shigeru] Hokkaido Univ, Inst Low Temp Sci, Kita Ku, Kita 19,Nishi 8, Sapporo, Hokkaido 0600819, Japan; [Cheng, Lingqiao] Shanghai Ocean Univ, Coll Marine Sci, Lingang Special Area, 999 Huchenghuan Rd, Shanghai 201306, Peoples R China; [Cheng, Lingqiao] Shanghai Ocean Univ, Ctr Polar Res, Lingang Special Area, 999 Huchenghuan Rd, Shanghai 201306, Peoples R China; [Takahashi, Kunio T.; Makabe, Ryosuke; Kanda, Jota; Odate, Tsuneo] Res Org Informat &amp; Syst, Natl Inst Polar Res, 10-3 Midori Cho, Tachikawa, Tokyo 1908518, Japan; [Takahashi, Kunio T.; Makabe, Ryosuke; Odate, Tsuneo] Grad Univ Adv Studies SOKENDAI, Dept Polar Sci, 10-3 Midori Cho, Tachikawa, Tokyo 1908518, Japan</t>
  </si>
  <si>
    <t>Tokyo University of Marine Science &amp; Technology; Tokyo University of Marine Science &amp; Technology; Hokkaido University; Shanghai Ocean University; Shanghai Ocean University; Research Organization of Information &amp; Systems (ROIS); National Institute of Polar Research (NIPR) - Japan; Graduate University for Advanced Studies - Japan</t>
  </si>
  <si>
    <t>Shimada, K (corresponding author), Tokyo Univ Marine Sci &amp; Technol, Ctr Marine Res &amp; Operat, Minato Ku, 4-5-7 Kounan, Tokyo 1088477, Japan.</t>
  </si>
  <si>
    <t>kshima0@kaiyodai.ac.jp</t>
  </si>
  <si>
    <t>Kanda, Jota/O-1881-2014; Mizobata, Kohei/D-6369-2012</t>
  </si>
  <si>
    <t>Kanda, Jota/0000-0002-5099-6278; Cheng, Lingqiao/0000-0001-6657-7601; Mizobata, Kohei/0000-0001-7531-2349</t>
  </si>
  <si>
    <t>MEXT [JPMXD1200000000]; JSPS KAKENHI [JP15H01726, JP21H04918, JP21H03587]; Grants-in-Aid for Scientific Research [20H04313] Funding Source: KAKEN</t>
  </si>
  <si>
    <t>MEXT(Ministry of Education, Culture, Sports, Science and Technology, Japan (MEXT));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</si>
  <si>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would like to express our heartfelt appreciation to all members of the Japanese Antarctic Research Expedition (JARE) Program 52-60th for their support. We would also like to thank all officers, crew members, and researchers who contributed to the hydrographic observations and water sampling on Umitaka-Maru. We are deeply grateful to Drs. Shintaro Takao, and Masato Moteki for their indispensable contribution to the CTD observations for the JARE research project. We also thank Dr. Takeshi Terui for helping us to increase the efficiency of the observations by providing weather forecast data during the cruises. This work was supported by MEXT for physical and chemical oceanographic observations as part of the JARE (Program Grant Number JPMXD1200000000), and by JSPS KAKENHI (Grant Number JP15H01726, JP21H04918, and JP21H03587).</t>
  </si>
  <si>
    <t>10.1038/s43247-022-00445-2</t>
  </si>
  <si>
    <t>1N6OO</t>
  </si>
  <si>
    <t>WOS:000800772800001</t>
  </si>
  <si>
    <t>Lin, N; Ma, DR; Liu, ZD; Wang, XC; Ma, LY</t>
  </si>
  <si>
    <t>Lin, Na; Ma, Derong; Liu, Zhidong; Wang, Xichang; Ma, Liyan</t>
  </si>
  <si>
    <t>Migration of bisphenol A and its related compounds in canned seafood and dietary exposure estimation</t>
  </si>
  <si>
    <t>FOOD QUALITY AND SAFETY</t>
  </si>
  <si>
    <t>Bisphenol-A (BPA); BPA-related compounds; canned seafood; migration behavior; dietary exposure</t>
  </si>
  <si>
    <t>DIGLYCIDYL-ETHER BADGE; REACTION-PRODUCTS; SAMPLE TREATMENT; FOOD SIMULANT; BPA; CHROMATOGRAPHY; DERIVATIVES; COATINGS; ANALOGS; FOODSTUFFS</t>
  </si>
  <si>
    <t>The present study sought to investigate the migration of target bisphenols, such as bisphenol-A (BPA), bisphenol-F (BPA), bisphenol-A diglycidyl ether (BADGE), bisphenol-A (2,3-dihydroxypropyl) glycidyl ether (BADGE center dot H2O), bisphenol-A bis(2,3-dihydroxypropyl) ether (BADGE center dot 2H(2)O), and bisphenol F diglycidyl ether (BFDGE) in 102 samples of several canned seafood, namely canned Antarctic krill, scallop, oysters, mussel, clam, and mantis shrimp stored for months at different temperatures through a high-performance liquid chromatographic-fluorescence detector combined with a microwave-assisted extraction method. Except for BFDGE, the other five bisphenols were observed in most of the analyzed samples. The canned shrimp showed the highest migration of BPA (0.089 mg/kg), exceeding the specific migration limit (SML) of BPA (0.05 mg/kg) specified by the European Union, while the migration levels of BADGE and its derivatives were within their SMLs. The migration behavior of bisphenols in the canned seafood was majorly affected by the analytes, storage conditions, and food types. BPA, BADGE center dot H2O, and BADGE center dot 2H(2)O were characterized by a rapid migration during the first half of the shelf life, which increased with the increase of temperature, followed by a stabilization or decline of their concentrations for prolonged durations. Besides, the migration of target bisphenols was significantly influenced by the storage temperature in some seafood species. Notably, higher migration level of BPA was found in samples with higher fat content. The average dietary exposure of Chinese adults to BPA, BPF, BADGE center dot 2H(2)O, BADGE center dot H2O, and BADGE of canned seafood was estimated at 11.69, 1.21, 6.47, 8.74, and 4.71 ng/(kg center dot d), respectively. The target hazard quotient values of all the analyzed bisphenols were below 1 for the Chinese adults, suggesting an insignificant exposure to these bisphenols through canned seafood consumption.</t>
  </si>
  <si>
    <t>[Lin, Na; Ma, Derong; Liu, Zhidong; Ma, Liyan] Chinese Acad Fishery Sci, East China Sea Fisheries Res Inst, Shanghai 200090, Peoples R China; [Wang, Xichang] Shanghai Ocean Univ, Shanghai, Peoples R China</t>
  </si>
  <si>
    <t>Chinese Academy of Fishery Sciences; East China Sea Fisheries Research Institute, CAFS; Shanghai Ocean University</t>
  </si>
  <si>
    <t>Liu, ZD (corresponding author), Chinese Acad Fishery Sci, East China Sea Fisheries Res Inst, Shanghai 200090, Peoples R China.</t>
  </si>
  <si>
    <t>zd-liu@hotmail.com</t>
  </si>
  <si>
    <t>Liu, Zhidong/0000-0002-4832-9724</t>
  </si>
  <si>
    <t>National Key Research and Development Program of China [2018YFD0901006]</t>
  </si>
  <si>
    <t>National Key Research and Development Program of China</t>
  </si>
  <si>
    <t>This work was supported by the National Key Research and Development Program of China (No. 2018YFD0901006).</t>
  </si>
  <si>
    <t>2399-1399</t>
  </si>
  <si>
    <t>2399-1402</t>
  </si>
  <si>
    <t>FOOD QUAL SAF-OXFORD</t>
  </si>
  <si>
    <t>Food Qual. Saf.</t>
  </si>
  <si>
    <t>fyac006</t>
  </si>
  <si>
    <t>10.1093/fqsafe/fyac006</t>
  </si>
  <si>
    <t>1J0TS</t>
  </si>
  <si>
    <t>WOS:000797639300003</t>
  </si>
  <si>
    <t>Dimov, SG; Strateva, T</t>
  </si>
  <si>
    <t>Dimov, S. G.; Strateva, T.</t>
  </si>
  <si>
    <t>Detection of clinically relevant antimicrobial resistance determinants in warm-blooded marine animals in Livingston Island (South Shetland Islands, Antarctica): A field-based molecular genetics study</t>
  </si>
  <si>
    <t>MARINE POLLUTION BULLETIN</t>
  </si>
  <si>
    <t>Field -based molecular genetic study; Antibiotic resistant bacteria colonization; Arctocephalus gazella; Pygoscelis papua; Livingston Island</t>
  </si>
  <si>
    <t>ANTIBIOTICS; ENTEROCOCCUS; EMERGENCE; BACTERIA</t>
  </si>
  <si>
    <t>Molecular genetic studies of stools were performed to assess the spread of some clinically relevant antimicrobial resistance determinants (ARD) in a gentoo penguin (Pygoscelis papua) and an Antarctic fur seal (Arctocephalus gazella) on Livingston Island. Glycopeptide resistance genes (vanA/vanD and vanB) were detected in both fecal samples, while the penguin's one was also mecA-positive and blaNDM-positive. Because of the remoteness and the isolation of the sampling locations, the carriage of vancomycin-resistant Enterococcus spp., methicillin-resistant Staphylococcus aureus, and NDM-producing Enterobacterales or other gram-negative bacilli suggested an ocean pollution with antibiotic resistant bacteria (ARB). Additionally, due to the type of ARD we detected, our results are alarming, and they cannot be explained only with agricultural and/or aquacultural pollution. Even though the current study is a preliminary one, it also demonstrates the potential of the field genetics analyses carried out with minimal equipment as a reliable monitoring tool for pollution with ARB.</t>
  </si>
  <si>
    <t>[Dimov, S. G.] Sofia Univ St Kliment Ohridski, Dept Genet, Fac Biol, Sofia, Bulgaria; [Strateva, T.] Med Univ Sofia, Fac Med, Dept Med Microbiol, Sofia, Bulgaria; [Dimov, S. G.] Sofia Univ St Kliment Ohridski, Fac Biol, Dept Genet, 8 Dragan Tzankov Blvd, Sofia 1164, Bulgaria</t>
  </si>
  <si>
    <t>University of Sofia; Medical University Sofia; University of Sofia</t>
  </si>
  <si>
    <t>Dimov, SG (corresponding author), Sofia Univ St Kliment Ohridski, Fac Biol, Dept Genet, 8 Dragan Tzankov Blvd, Sofia 1164, Bulgaria.</t>
  </si>
  <si>
    <t>svetoslav@biofac.uni-sofia.bg</t>
  </si>
  <si>
    <t>Strateva, Tanya/AFJ-1726-2022</t>
  </si>
  <si>
    <t>Strateva, Tanya/0000-0002-5197-1849</t>
  </si>
  <si>
    <t>Bulgarian Antarctic Institute; National Center for Polar Studies -Sofia University St. Kliment Ohridski [70-25-72, 03.08.2021 Gamma]</t>
  </si>
  <si>
    <t>Bulgarian Antarctic Institute; National Center for Polar Studies -Sofia University St. Kliment Ohridski</t>
  </si>
  <si>
    <t>The authors would like to thank the Bulgarian Antarctic Institute as well the members of the 30th Bulgarian Antarctic Expedition for the help and support for the realization of this study. Special thanks to Prof. Hristo Pimpirev and Dragomir Mateev for the organization and the logistics of the expedition, as well to Assoc. Prof. Lyubomir Kenderov for the help and practical advices for the preparation for the field work in Antarctica. This research was funded by Grant No 70-25-72 from 03.08.2021 Gamma. of the National Center for Polar Studies -Sofia University St. Kliment Ohridski.</t>
  </si>
  <si>
    <t>0025-326X</t>
  </si>
  <si>
    <t>1879-3363</t>
  </si>
  <si>
    <t>MAR POLLUT BULL</t>
  </si>
  <si>
    <t>Mar. Pollut. Bull.</t>
  </si>
  <si>
    <t>10.1016/j.marpolbul.2022.113751</t>
  </si>
  <si>
    <t>2B0VV</t>
  </si>
  <si>
    <t>WOS:000809914000012</t>
  </si>
  <si>
    <t>Goetz, KT; Stephenson, F; Hoskins, A; Bindoff, AD; Orben, RA; Sagar, PM; Torres, LG; Kroeger, CE; Sztukowski, LA; Phillips, RA; Votier, SC; Bearhop, S; Taylor, GA; Thompson, DR</t>
  </si>
  <si>
    <t>Goetz, Kimberly T.; Stephenson, Fabrice; Hoskins, Andrew; Bindoff, Aidan D.; Orben, Rachael A.; Sagar, Paul M.; Torres, Leigh G.; Kroeger, Caitlin E.; Sztukowski, Lisa A.; Phillips, Richard A.; Votier, Stephen C.; Bearhop, Stuart; Taylor, Graeme A.; Thompson, David R.</t>
  </si>
  <si>
    <t>Data Quality Influences the Predicted Distribution and Habitat of Four Southern-Hemisphere Albatross Species</t>
  </si>
  <si>
    <t>albatross; species distribution models; relative environmental suitability; boosted regression tree; habitat suitability; geolocation; biologging; seabird conservation</t>
  </si>
  <si>
    <t>DISTRIBUTION MODELS; COMMERCIAL FISHERIES; LONGLINE FISHERIES; EXTINCTION-RISK; SEABIRD BYCATCH; NEW-ZEALAND; CONSERVATION; ACCURACY; SENSITIVITY; TRACKING</t>
  </si>
  <si>
    <t>Few studies have assessed the influence of data quality on the predicted probability of occurrence and preferred habitat of marine predators. We compared results from four species distribution models (SDMs) for four southern-hemisphere albatross species, Buller's (Thalassarche bulleri), Campbell (T. impavida), grey-headed (T. chrysostoma), and white-capped (T. steadi), based on datasets of differing quality, ranging from no location data to twice-daily locations of individual birds collected by geolocation devices. Two relative environmental suitability (RES) models were fit using minimum and maximum preferred and absolute values for each environmental variable based on (1) monthly 50% kernel density contours and background environmental data, and (2) primary literature or expert opinion. Additionally, two boosted regression tree (BRT) models were fit using (1) opportunistic sightings data, and (2) geolocation data from bird-borne electronic tags. Using model-specific threshold values, habitat was quantified for each species and model. Model variables included distance from land, bathymetry, sea surface temperature, and chlorophyll-a concentration. Results from both RES models and the BRT model fit with opportunistic sightings were compared to those from the BRT model fit using geolocation data to assess the influence of data quality on predicted occupancy and habitat. For all species, BRT models outperformed RES models. BRT models offer a predictive advantage over RES models by being able to identify relevant variables, incorporate environmental interactions, and provide spatially explicit estimates of model uncertainty. RES models resulted in larger, less refined areas of predicted habitat for all species. Our study highlights the importance of data quality in predicting the distribution and habitat of albatrosses and emphasises the need to consider the pros and cons associated with different levels of data quality when using SDMs to inform management decisions. Furthermore, we examine the overlap in preferred habitat predicted by each SDM with fishing effort. We discuss the influence of data quality on predicting the wide-scale distributions of pelagic seabirds and how these impacts could result in different protection measures.</t>
  </si>
  <si>
    <t>[Goetz, Kimberly T.; Thompson, David R.] Natl Inst Water &amp; Atmospher Res, Wellington, New Zealand; [Goetz, Kimberly T.] Natl Ocean &amp; Atmospher Adm NOAA, Natl Marine Fisheries Serv, Alaska Fisheries Sci Ctr, Marine Mammal Lab, Seattle, WA 98115 USA; [Stephenson, Fabrice] Natl Inst Water &amp; Atmospher Res, Hamilton, New Zealand; [Hoskins, Andrew] Commonwealth Sci &amp; Ind Res Org CSIRO Hlth &amp; Biose, Townsville, Qld, Australia; [Bindoff, Aidan D.] Univ Tasmania, Wicking Dementia Res &amp; Educ Ctr, Hobart, Tas, Australia; [Orben, Rachael A.] Oregon State Univ, Hatfield Marine Sci Ctr, Dept Fisheries Wildlife &amp; Conservat Sci, Newport, OR USA; [Sagar, Paul M.] Natl Inst Water &amp; Atmospher Res, Christchurch, New Zealand; [Torres, Leigh G.] Oregon State Univ, Marine Mammal Inst, Dept Fisheries Wildlife &amp; Conservat Sci, Newport, OR USA; [Kroeger, Caitlin E.] Farallon Inst, Petaluma, CA USA; [Sztukowski, Lisa A.] Commonwealth Northern Mariana Isl, Dept Lands &amp; Nat Resources, Div Fish &amp; Wildlife, Saipan, CM USA; [Phillips, Richard A.] British Antarctic Survey, Natl Environm Res Council, Cambridge, England; [Votier, Stephen C.; Bearhop, Stuart] Univ Exeter, Ctr Ecol &amp; Conservat, Cornwall, England; [Taylor, Graeme A.] Dept Conservat, Aquat Unit, Wellington, New Zealand</t>
  </si>
  <si>
    <t>National Institute of Water &amp; Atmospheric Research (NIWA) - New Zealand; National Oceanic Atmospheric Admin (NOAA) - USA; National Institute of Water &amp; Atmospheric Research (NIWA) - New Zealand; Commonwealth Scientific &amp; Industrial Research Organisation (CSIRO); University of Tasmania; Oregon State University; National Institute of Water &amp; Atmospheric Research (NIWA) - New Zealand; Oregon State University; UK Research &amp; Innovation (UKRI); Natural Environment Research Council (NERC); NERC British Antarctic Survey; University of Exeter</t>
  </si>
  <si>
    <t>Goetz, KT (corresponding author), Natl Inst Water &amp; Atmospher Res, Wellington, New Zealand.;Goetz, KT (corresponding author), Natl Ocean &amp; Atmospher Adm NOAA, Natl Marine Fisheries Serv, Alaska Fisheries Sci Ctr, Marine Mammal Lab, Seattle, WA 98115 USA.</t>
  </si>
  <si>
    <t>kim.goetz@noaa.gov</t>
  </si>
  <si>
    <t>Bearhop, Stuart/G-3105-2012; Votier, Stephen/IUO-0154-2023; Orben, Rachael A./H-9460-2019</t>
  </si>
  <si>
    <t>Votier, Stephen/0000-0002-0976-0167; Orben, Rachael A./0000-0002-0802-407X</t>
  </si>
  <si>
    <t>Innovation Fund of the Sustainable Seas National Science Challenge; New Zealand Ministry for Business, Innovation and Employment; New Zealand Department of Conservation; National Institute of Water and Atmospheric Research Ltd</t>
  </si>
  <si>
    <t>Innovation Fund of the Sustainable Seas National Science Challenge; New Zealand Ministry for Business, Innovation and Employment(New Zealand Ministry of Business, Innovation and Employment (MBIE)); New Zealand Department of Conservation; National Institute of Water and Atmospheric Research Ltd</t>
  </si>
  <si>
    <t>This work was funded by the Innovation Fund of the Sustainable Seas National Science Challenge, the New Zealand Ministry for Business, Innovation and Employment, the New Zealand Department of Conservation, and by the National Institute of Water and Atmospheric Research Ltd.</t>
  </si>
  <si>
    <t>MAY 18</t>
  </si>
  <si>
    <t>10.3389/fmars.2022.782923</t>
  </si>
  <si>
    <t>1V5MG</t>
  </si>
  <si>
    <t>WOS:000806132900001</t>
  </si>
  <si>
    <t>Buckingham, JW; Manno, C; Waluda, CM; Waller, CL</t>
  </si>
  <si>
    <t>Buckingham, J. W.; Manno, C.; Waluda, C. M.; Waller, C. L.</t>
  </si>
  <si>
    <t>A record of microplastic in the marine nearshore waters of South Georgia*</t>
  </si>
  <si>
    <t>ENVIRONMENTAL POLLUTION</t>
  </si>
  <si>
    <t>Sub-antarctic; Plastic; Pollution; Marine; Contamination; Wastewater</t>
  </si>
  <si>
    <t>DEEP-SEA SEDIMENTS; WASTE-WATER; ATMOSPHERIC FALLOUT; SURFACE WATERS; ROSS SEA; ENVIRONMENT; ANTARCTICA; DEPOSITION; POLLUTION; FATE</t>
  </si>
  <si>
    <t>The polar plastics research community have recommended the spatial coverage of microplastic investigations in Antarctica and the Southern Ocean be increased. Presented here is a baseline estimate of microplastics in the nearshore waters of South Georgia, the first in situ study of the north-east coast of the island. Our results show that the microplastic concentration in seawater at twelve stations in proximity to King Edward Point Research Station ranged from 1.75 +/- 5.17 MP/L (mean +/- SD), approximately one order of magnitude higher than similar studies of sea surface waters south of the Polar Front. Levels of microplastics in freshwater (sampled from Gull Lake) and precipitation (collected adjacent to the research station) were 2.67 +/- 3.05 MP/L, and 4.67 +/- 3.21 MP/ L respectively. There was no significant difference in the microplastic concentration between seawater sites, and no significant bilateral relationship between concentration and distance from the research station outlets. We report an average concentration of 1.66 +/- 3.00 MP/L in wastewater collected from the research station but overall, the counts of microplastics were too low to attach any statistical significance to the similarity in the microplastic assemblages of seawater and wastewater, or assemblages retrieved from penguin species in the region in other studies. Using a calculation described in contemporary literature we estimate the number of microfibres potentially being released from ships and stations annually in the region but acknowledge that further samples are needed to support the figures generated. More extensive research into microplastic distribution, characteristics, and transport in the region is recommended to fully compute the level of risk which this pollutant represents to the ecosystem health of this remote region.</t>
  </si>
  <si>
    <t>[Buckingham, J. W.; Waller, C. L.] Univ Hull, Energy &amp; Environm Inst, Cottingham Rd, Kingston Upon Hull HU6 7RX, England; [Manno, C.; Waluda, C. M.] NERC, British Antarctic Survey, High Cross, Madingley Rd, Cambridge CB3 0ET, Cambs, England</t>
  </si>
  <si>
    <t>University of Hull; UK Research &amp; Innovation (UKRI); Natural Environment Research Council (NERC); NERC British Antarctic Survey</t>
  </si>
  <si>
    <t>Buckingham, JW (corresponding author), Univ Hull, Energy &amp; Environm Inst, Cottingham Rd, Kingston Upon Hull HU6 7RX, England.</t>
  </si>
  <si>
    <t>J.Buckinghm-2018@hull.ac.uk</t>
  </si>
  <si>
    <t>Buckingham, Jack/0000-0002-1903-6498</t>
  </si>
  <si>
    <t>0269-7491</t>
  </si>
  <si>
    <t>1873-6424</t>
  </si>
  <si>
    <t>ENVIRON POLLUT</t>
  </si>
  <si>
    <t>Environ. Pollut.</t>
  </si>
  <si>
    <t>10.1016/j.envpol.2022.119379</t>
  </si>
  <si>
    <t>1T8NH</t>
  </si>
  <si>
    <t>WOS:000804982100003</t>
  </si>
  <si>
    <t>Rodríguez-Zorro, PA; Ledru, MP; Favier, C; Bard, E; Bicudo, DC; Garcia, M; Marquardt, G; Rostek, F; Sawakuchi, AO; Simon, Q; Tachikawa, K</t>
  </si>
  <si>
    <t>Rodriguez-Zorro, Paula A.; Ledru, Marie-Pierre; Favier, Charly; Bard, Edouard; Bicudo, Denise C.; Garcia, Marta; Marquardt, Gisele; Rostek, Frauke; Sawakuchi, Andre O.; Simon, Quentin; Tachikawa, Kazuyo</t>
  </si>
  <si>
    <t>Alternate Atlantic forest and climate phases during the early Pleistocene 41 kyr cycles in southeastern Brazil</t>
  </si>
  <si>
    <t>Subtropical front; Araucaria; Southern Hemisphere; Antarctic ice volume; Tropical forest</t>
  </si>
  <si>
    <t>DIALKYL GLYCEROL TETRAETHERS; SAO-PAULO; VEGETATION DYNAMICS; COLONIA STRUCTURE; TEMPERATURE; SOUTH; RECORD; TRANSITION; GRASSLANDS; DIVERSITY</t>
  </si>
  <si>
    <t>The early Pleistocene was driven by 41 kyr glacial cycles that have been rarely characterized in continental records, especially in South America. Most of long-term records derive from marine records (e.g. sea surface temperatures (SST)) and have been widely used to infer past climate dynamics but implications for the continent have rarely been evaluated. We present an early Pleistocene record (COL17c) from the Colonia basin in the Atlantic forest domain in southeastern Brazil. Our aim was to integrate past environmental dynamics and the drivers of change between ca. 1.5 to 1.3 Myr at the latitude of Colonia (23 degrees S; ca. 700 m a.s.l.). We applied a multi-proxy approach including pollen, charcoal, X-Ray fluorescence scanning (XRF), biomarkers and diatoms. We identified three glacial periods and four interglacials containing a continuous cool forest, mainly dominated by Araucaria. The glacial periods were characterized by increases in organic matter input on the lake, semi-deciduous forest, and shore and herbaceous vegetation. In contrast, the interglacials were marked by increases in evergreen forest and reduced organic matter input. We attribute these alternating phases of vegetation and lake productivity to meridional temperature differences that regulated the input of moisture at the latitude of Colonia. After 1.430 Myr, glacial and interglacial periods showed a different dynamism with an increase in Araucaria forests and drops in relative temperature, concomitant with regional long-trend cooling observed in marine records. The observed forest responses inferred from the COL17c record are in phase with regional climate features such as the development of the cold Pacific tongue and the equatorward migration of subpolar fronts, highlighting the strong influence of the Southern Hemisphere at Colonia during the early Pleistocene. (c) 2022 Elsevier Ltd. All rights reserved.</t>
  </si>
  <si>
    <t>[Rodriguez-Zorro, Paula A.; Ledru, Marie-Pierre; Favier, Charly] Univ Montpellier, EPHE, CNRS, ISEM,IRD, F-34095 Montpellier, France; [Bard, Edouard; Garcia, Marta; Rostek, Frauke; Simon, Quentin; Tachikawa, Kazuyo] Aix Marseille Univ, Coll France, INRAE, CNRS,IRD,CEREGE, F-13545 Aix En Provence, France; [Bicudo, Denise C.] Environm Res Inst, Dept Biodivers Conservat, Av Miguel Estefano 3687, BR-04301012 Sao Paulo, SP, Brazil; [Marquardt, Gisele] Univ Guarulhos, Ctr Posgrad Pesquisa &amp; Extensao CEPPE, Praca Tereza Cristina 88, BR-07023070 Guarulhos, SP, Brazil; [Sawakuchi, Andre O.] Univ Sao Paulo, Inst Geosci, Sao Paulo, Brazil; [Rodriguez-Zorro, Paula A.] Univ Nacl Colombia, Escuela Biociencias, Fac Ciencias, Sede Medellin, Medellin, Colombia</t>
  </si>
  <si>
    <t>Centre National de la Recherche Scientifique (CNRS); Institut de Recherche pour le Developpement (IRD); Universite de Montpellier; Universite PSL; Ecole Pratique des Hautes Etudes (EPHE); Institut de Recherche pour le Developpement (IRD); Universite PSL; College de France; Aix-Marseille Universite; Centre National de la Recherche Scientifique (CNRS); INRAE; Universidade Guarulhos; Universidade de Sao Paulo; Universidad Nacional de Colombia</t>
  </si>
  <si>
    <t>Rodríguez-Zorro, PA (corresponding author), Univ Montpellier, EPHE, CNRS, ISEM,IRD, F-34095 Montpellier, France.;Rodríguez-Zorro, PA (corresponding author), Univ Nacl Colombia, Escuela Biociencias, Fac Ciencias, Sede Medellin, Medellin, Colombia.</t>
  </si>
  <si>
    <t>paularsat@gmail.com</t>
  </si>
  <si>
    <t>Rodríguez-Zorro, Paula A./AAR-8099-2020; Simon, Quentin/D-9956-2017</t>
  </si>
  <si>
    <t>Rodríguez-Zorro, Paula A./0000-0002-2476-1598; Simon, Quentin/0000-0001-8247-0150; Marquardt, Gisele Carolina/0000-0002-2721-1487; Ledru, Marie-Pierre/0000-0002-8079-9320</t>
  </si>
  <si>
    <t>Dimensions of biodiversity FAPESP [BIOTA 2013/50297-0]; NSF [DEB1343578]; Foundation BNP PARIBAS; National Council for Scientific and Technological Development-CNPq [307179/2021-4]</t>
  </si>
  <si>
    <t>Dimensions of biodiversity FAPESP; NSF(National Science Foundation (NSF)); Foundation BNP PARIBAS; National Council for Scientific and Technological Development-CNPq(Conselho Nacional de Desenvolvimento Cientifico e Tecnologico (CNPQ))</t>
  </si>
  <si>
    <t>This research is part of the project TROPICOL Foundation BNP Paribas Climate Initiative (2017-2020), Dimensions of biodiversity FAPESP (BIOTA 2013/50297-0), NSF (DEB1343578) and NASA. P.A.R.Z and Q. S benefited from a postdoctoral grant from the Foundation BNP PARIBAS. A.O.S is supported by the National Council for Scientific and Technological Development-CNPq (grant 307179/2021-4). Sandrine Canal is acknowledged for macrocharcoal analyses. We thank Fresia Ricardi-Branco, Adriana Camejo and Jerlin Fernandez (University of Campinas) for their support in the field and for their help with the pollen reference collection. We are grateful to the French Embassy in Brazil for support during fieldwork in 2018. We thank the Associacao ACHAVE for support at Col&lt;^&gt;onia, and the Suehara family for allowing access to their property for the corings. We thank Henry Hooghiemstra and Kale Sniderman for their constructive review. The first author thanks Jaime Escobar (Universidad del Norte, Barranquilla) and Carlos Jaramillo (Smithsonian Tropical Research Institute) for their constant support during the writing phase of this manuscript.</t>
  </si>
  <si>
    <t>10.1016/j.quascirev.2022.107560</t>
  </si>
  <si>
    <t>1S3MH</t>
  </si>
  <si>
    <t>hybrid, Green Submitted</t>
  </si>
  <si>
    <t>WOS:000803958000001</t>
  </si>
  <si>
    <t>Baker, B; Garnett, S</t>
  </si>
  <si>
    <t>Baker, Barry; Garnett, Stephen</t>
  </si>
  <si>
    <t>Dr Eric Woehler OAM</t>
  </si>
  <si>
    <t>EMU-AUSTRAL ORNITHOLOGY</t>
  </si>
  <si>
    <t>Biographical-Item</t>
  </si>
  <si>
    <t>[Baker, Barry] Univ Tasmania, Inst Marine &amp; Antarctic Studies, Hobart, Tas, Australia; [Garnett, Stephen] Charles Darwin Univ, Coll Engn IT &amp; Environm, Res Inst Environm &amp; Livelihoods, Conservat &amp; Sustainable Livelihoods, Darwin, NT, Australia</t>
  </si>
  <si>
    <t>University of Tasmania; Charles Darwin University</t>
  </si>
  <si>
    <t>Baker, B (corresponding author), Univ Tasmania, Inst Marine &amp; Antarctic Studies, Hobart, Tas, Australia.</t>
  </si>
  <si>
    <t>barry.baker@latitude42.com.au</t>
  </si>
  <si>
    <t>Garnett, Stephen/M-3877-2013</t>
  </si>
  <si>
    <t>Garnett, Stephen/0000-0002-0724-7060; Baker, G. Barry/0000-0003-4766-8182</t>
  </si>
  <si>
    <t>TAYLOR &amp; FRANCIS AUSTRALIA</t>
  </si>
  <si>
    <t>MELBOURNE</t>
  </si>
  <si>
    <t>LEVEL 2, 11 QUEENS RD, MELBOURNE, VIC 3004, AUSTRALIA</t>
  </si>
  <si>
    <t>0158-4197</t>
  </si>
  <si>
    <t>1448-5540</t>
  </si>
  <si>
    <t>EMU</t>
  </si>
  <si>
    <t>Emu</t>
  </si>
  <si>
    <t>OCT 2</t>
  </si>
  <si>
    <t>10.1080/01584197.2022.2071122</t>
  </si>
  <si>
    <t>Ornithology</t>
  </si>
  <si>
    <t>5Z9MO</t>
  </si>
  <si>
    <t>WOS:000797447200001</t>
  </si>
  <si>
    <t>Perera-Castro, AV; González-Rodríguez, AM; Fernandez-Marín, B</t>
  </si>
  <si>
    <t>Perera-Castro, Alicia, V; Gonzalez-Rodriguez, agueda M.; Fernandez-Marin, Beatriz</t>
  </si>
  <si>
    <t>When time is not of the essence: constraints to the carbon balance of bryophytes</t>
  </si>
  <si>
    <t>JOURNAL OF EXPERIMENTAL BOTANY</t>
  </si>
  <si>
    <t>Bryophytes; carbon balance; cell wall; optimum temperature; photosynthesis; relative growth rate; Rubisco; structure; water relations</t>
  </si>
  <si>
    <t>TRAIT SCALING RELATIONSHIPS; DESICCATION-TOLERANCE; MESOPHYLL CONDUCTANCE; ANTARCTIC MOSS; PHOTOSYNTHETIC RESPONSES; TEMPERATURE RESPONSES; CRYPTOMERIA-JAPONICA; PIGMENT COMPOSITION; NET PHOTOSYNTHESIS; VASCULAR PLANTS</t>
  </si>
  <si>
    <t>The data available so far indicate that the photosynthetic and relative growth rates of bryophytes are 10% of those reported for tracheophytes. By examining the existing literature and reanalysing data published in over 100 studies, this review examines the ecophysiological, biochemical, and structural reasons behind this phenomenon. The limiting Rubisco content and surface for gas exchange are the internal factors that can explain the low photosynthetic and growth rates of bryophytes. The role of the thicker cell walls of bryophytes in limiting CO2 diffusion is unclear, due to the current uncertainties regarding their porosity and permeability to CO2. From this review, it is also evident that, despite bryophytes having low photosynthetic rates, their positive carbon balance is tightly related to their capacity to deal with extreme conditions. Contributing factors include their capacity to deal with large daily temperature oscillations, and their capacity to delay the cessation of photosynthesis under water deficit (or to tolerate desiccation in extreme situations). Although further studies on bryophytes are needed before more solid conclusions can be drawn, it seems that their success relies on their remarkable tolerance to a highly variable environment, possibly at the expense of their maximum photosynthetic rate. Biochemical and structural traits that typically limit gas exchange in tracheophytes are compiled for bryophytes, highlighting the factors that explain their low photosynthetic and growth rates.</t>
  </si>
  <si>
    <t>[Perera-Castro, Alicia, V; Gonzalez-Rodriguez, agueda M.; Fernandez-Marin, Beatriz] Univ La Laguna, Dept Bot Ecol &amp; Plant Physiol, San Cristobal la Laguna 38200, Canary Islands, Spain</t>
  </si>
  <si>
    <t>Universidad de la Laguna</t>
  </si>
  <si>
    <t>Perera-Castro, AV (corresponding author), Univ La Laguna, Dept Bot Ecol &amp; Plant Physiol, San Cristobal la Laguna 38200, Canary Islands, Spain.</t>
  </si>
  <si>
    <t>aperera@fg.ull.es</t>
  </si>
  <si>
    <t>Gonzalez-Rodriguez, Agueda/ACM-5330-2022; Perera Castro, Alicia V./C-4856-2019</t>
  </si>
  <si>
    <t>Gonzalez-Rodriguez, Agueda/0000-0003-2114-476X; Perera Castro, Alicia V./0000-0001-8451-6052</t>
  </si>
  <si>
    <t>0022-0957</t>
  </si>
  <si>
    <t>1460-2431</t>
  </si>
  <si>
    <t>J EXP BOT</t>
  </si>
  <si>
    <t>J. Exp. Bot.</t>
  </si>
  <si>
    <t>JUL 16</t>
  </si>
  <si>
    <t>10.1093/jxb/erac104</t>
  </si>
  <si>
    <t>2Z5UN</t>
  </si>
  <si>
    <t>WOS:000797063100001</t>
  </si>
  <si>
    <t>Zhang, X; Zhang, ZF; Zhang, XM; Zhu, FJ; Li, YF; Cai, MH; Kallenborn, R</t>
  </si>
  <si>
    <t>Zhang, Xue; Zhang, Zi-Feng; Zhang, Xianming; Zhu, Fu-Jie; Li, Yi-Fan; Cai, Minghong; Kallenborn, Roland</t>
  </si>
  <si>
    <t>Polycyclic Aromatic Hydrocarbons in the Marine Atmosphere from the Western Pacific to the Southern Ocean: , Gas-Particle Partitioning, and Source Apportionment</t>
  </si>
  <si>
    <t>ENVIRONMENTAL SCIENCE &amp; TECHNOLOGY</t>
  </si>
  <si>
    <t>Spatial Variability; gas-particle partitioning; positive matrix factorization; Southern Ocean</t>
  </si>
  <si>
    <t>POLYCHLORINATED-BIPHENYLS; NORTH PACIFIC; SPATIAL-DISTRIBUTION; ORGANIC POLLUTANTS; DRY DEPOSITION; SOOT CARBON; PAHS; AIR; ATLANTIC; URBAN</t>
  </si>
  <si>
    <t>The spatial variability of polycyclic aromatic hydrocarbons (PAHs) in the marine atmosphere contributes to the understanding of the global sources, fate, and impact of this contaminant. Few studies conducted to measure PAHs in the oceanic atmosphere have covered a large scale, especially in the Southern Ocean. In this study, high-volume air samples were taken along a cross-section from China to Antarctica and analyzed for gaseous and particulate PAHs. The data revealed the spatial distribution, gas-particle partitioning, and source contributions of PAHs in the Pacific, Indian, and Southern Oceans. The median concentration (gaseous + particulate) of n-ary sumation (24)PAHs was 3900 pg/m(3) in the Pacific Ocean, 2000 pg/m(3) in the Indian Ocean, and 1200 pg/m(3) in the Southern Ocean. A clear latitudinal gradient was observed for airborne PAHs from the western Pacific to the Southern Ocean. Back trajectories (BTs) analysis showed that air masses predominantly originated from populated land had significantly higher concentrations of PAHs than those from the oceans or Antarctic continents/islands. The air mass origins and temperature have significant influences on the gas-particle partitioning of PAHs. Source analysis by positive matrix factorization (PMF) showed that the highest contribution to PAHs was from coal combustion emissions (52%), followed by engine combustion emissions (27%) and wood combustion emissions (21%). A higher contribution of PAHs from wood combustion was found in the eastern coastal region of Australia. In contrast, engine combustion emissions primarily influenced the sites in Southeast Asia</t>
  </si>
  <si>
    <t>[Zhang, Xue; Zhang, Zi-Feng; Zhu, Fu-Jie; Li, Yi-Fan; Kallenborn, Roland] Harbin Inst Technol, Int Joint Res Ctr Persistent Tox Subst IJRC PTS, State Key Lab Urban Water Resource &amp; Environm, Harbin 150090, Peoples R China; [Zhang, Xue; Zhang, Zi-Feng; Zhu, Fu-Jie; Li, Yi-Fan; Kallenborn, Roland] Harbin Inst Technol, Int Joint Res Ctr Arctic Environm &amp; Ecosyst IJRC, Polar Acad, Harbin 150090, Peoples R China; [Zhang, Xue; Zhang, Zi-Feng; Zhu, Fu-Jie; Li, Yi-Fan; Kallenborn, Roland] Harbin Inst Technol HIT, Heilongjiang Prov Key Lab Polar Environm &amp; Ecosys, Harbin 150090, Peoples R China; [Zhang, Xianming] Concordia Univ, Dept Chem &amp; Biochem, Montreal, PQ H4B 1R6, Canada; [Li, Yi-Fan] IJRC PTS NA, Toronto, ON M2N 6X9, Canada; [Kallenborn, Roland] Norwegian Univ Life Sci NMBU, Fac Chem, Biotechnol &amp; Food Sci KBM, NO-1432 As, Norway; [Cai, Minghong] Minist Nat Resources, Key Lab Polar Sci, Polar Res Inst China, Shanghai 200136, Peoples R China; [Cai, Minghong] Shanghai Jiao Tong Univ, Sch Oceanog, Shanghai 200030, Peoples R China</t>
  </si>
  <si>
    <t>Harbin Institute of Technology; Harbin Institute of Technology; Harbin Institute of Technology; Concordia University - Canada; Norwegian University of Life Sciences; Polar Research Institute of China; Ministry of Natural Resources of the People's Republic of China; Shanghai Jiao Tong University</t>
  </si>
  <si>
    <t>Zhang, ZF (corresponding author), Harbin Inst Technol, Int Joint Res Ctr Persistent Tox Subst IJRC PTS, State Key Lab Urban Water Resource &amp; Environm, Harbin 150090, Peoples R China.;Zhang, ZF (corresponding author), Harbin Inst Technol, Int Joint Res Ctr Arctic Environm &amp; Ecosyst IJRC, Polar Acad, Harbin 150090, Peoples R China.;Zhang, ZF (corresponding author), Harbin Inst Technol HIT, Heilongjiang Prov Key Lab Polar Environm &amp; Ecosys, Harbin 150090, Peoples R China.;Cai, MH (corresponding author), Minist Nat Resources, Key Lab Polar Sci, Polar Res Inst China, Shanghai 200136, Peoples R China.;Cai, MH (corresponding author), Shanghai Jiao Tong Univ, Sch Oceanog, Shanghai 200030, Peoples R China.</t>
  </si>
  <si>
    <t>pahit2019@163.com; caiminghong@pric.org.cn</t>
  </si>
  <si>
    <t>Zhang, XZ/HJA-4189-2022; Zhang, Zi-Feng/GPT-2243-2022; zhang, xian/GYA-0290-2022; Li, Yifan/HGA-6843-2022; ZHANG, XIAOLONG/IZQ-4553-2023; LI, YI-FAN/U-7024-2019; Kallenborn, Roland/F-8368-2011; li, yifei/IWU-7824-2023; zhang, xian/JAC-5480-2023; wang, yi/JYO-8193-2024; Zhang, Yuyao/KEH-7175-2024; Li, Yifan/JCE-0660-2023; LI, yi/HKO-0480-2023; Liu, Yi/HTN-4916-2023; Zhang, Xianming/A-2926-2010</t>
  </si>
  <si>
    <t>Li, Yifan/0000-0002-3249-1778; Kallenborn, Roland/0000-0003-1703-2538; Li, Yifan/0000-0002-3249-1778; Zhang, Zifeng/0000-0001-6439-4975; Zhang, Xianming/0000-0002-5301-7899; Cai, Minghong/0000-0003-2107-4386</t>
  </si>
  <si>
    <t>open project of State Key Laboratory of Urban Water Resource and Environment, Harbin Institute of Technology [ESK202005]; UArctic Project (Arctic-CEEP), Norway [UA 04/2020]; Heilongjiang Touyan Team, China</t>
  </si>
  <si>
    <t>open project of State Key Laboratory of Urban Water Resource and Environment, Harbin Institute of Technology; UArctic Project (Arctic-CEEP), Norway; Heilongjiang Touyan Team, China</t>
  </si>
  <si>
    <t>This study was supported by the open project of State Key Laboratory of Urban Water Resource and Environment, Harbin Institute of Technology (No. ESK202005) and UArctic Project Grants (Arctic-CEEP, UA 04/2020), Norway. This study was also supported by Heilongjiang Touyan Team, China. X.Z. thanks Man-Fei Yin for assistance with the BTs. We thank Lu Wang, Hong-Yuan Zheng, Pu-Fei Yang, Yuan Gao, and ZG for their help. The authors also thank the editors and anonymous reviewers for their invaluable input on the manuscript.</t>
  </si>
  <si>
    <t>AMER CHEMICAL SOC</t>
  </si>
  <si>
    <t>1155 16TH ST, NW, WASHINGTON, DC 20036 USA</t>
  </si>
  <si>
    <t>0013-936X</t>
  </si>
  <si>
    <t>1520-5851</t>
  </si>
  <si>
    <t>ENVIRON SCI TECHNOL</t>
  </si>
  <si>
    <t>Environ. Sci. Technol.</t>
  </si>
  <si>
    <t>MAY 17</t>
  </si>
  <si>
    <t>10.1021/acs.est.1c08429</t>
  </si>
  <si>
    <t>Engineering, Environmental; Environmental Sciences</t>
  </si>
  <si>
    <t>Engineering; Environmental Sciences &amp; Ecology</t>
  </si>
  <si>
    <t>1T5ZH</t>
  </si>
  <si>
    <t>WOS:000804806300026</t>
  </si>
  <si>
    <t>Matsui, H; Ikehara, M; Suganuma, Y; Seki, O; Oyabu, I; Kawamura, K</t>
  </si>
  <si>
    <t>Matsui, Hiroki; Ikehara, Minoru; Suganuma, Yusuke; Seki, Osamu; Oyabu, Ikumi; Kawamura, Kenji</t>
  </si>
  <si>
    <t>Dust correlation and oxygen isotope stratigraphy in the Southern Ocean over the last 450 kyrs: An Indian sector perspective</t>
  </si>
  <si>
    <t>Southern ocean; Dust correlation; Oxygen isotope stratigraphy</t>
  </si>
  <si>
    <t>SEA-SURFACE TEMPERATURE; ICE-CORE; GLACIAL MAXIMUM; DOME-C; MARINE SEDIMENT; SCOTIA SEA; ATLANTIC; ANTARCTICA; VOSTOK; VARIABILITY</t>
  </si>
  <si>
    <t>The chronology of Southern Ocean (SO) marine sediment cores forms the basis of understanding the SO paleoceanography, with significant implications for global climate. Because tuning of the oxygen isotope (delta O-18) record of a marine sediment core to a delta O-18 stack (delta O-18 stratigraphy) is difficult in the SO because of a general paucity of calcareous foraminifera, tuning of the dust proxy signal of a marine sediment core to the dust record of an ice core (dust correlation) is a promising way to construct an age-depth model. However, the reliability of dust correlation has not been established, especially beyond the last similar to 300 kyrs, and such work has been performed more in the Atlantic and Pacific sectors of the SO than in the Indian sector. Here we present a new dust correlation using the rock magnetic record, together with continuous delta O-18 stratigraphy, for a marine sediment core in the Indian sector of the SO over the last similar to 410 kyrs. The delta O-18 stratigraphy is consistent with the dust correlation within their chronological uncertainties, supporting the reliability of the latter chronology for glacial-interglacial timescales. However, the dust correlation often produces older ages than the delta O-18 stratigraphy by up to 3 kyrs (410-126 ka and 84-50 ka). We additionally compiled, based on dust correlation, available dust proxy records in the circumAntarctic SO for the last 450 kyrs to discuss variations in the dust proxy record within the Indian sector and between all three sectors. For the Indian sector, there is a marked difference in dust proxy signals for Marine Isotope Stage (MIS) 6 between two cores that have markedly different latitudinal positions relative to the oceanic fronts. Increased biogenic magnetite production by iron fertilization in the Subantarctic Zone during MIS 6 may partly explain the difference between the two cores. For the circum-Antarctic SO, moving correlation coefficients were computed between the marine sediment-core dust proxy signals and the dust flux of an Antarctic ice core. Strong correlation was recognized for intervals of high dust flux in the ice core, except for MIS 6. Although minor, the slightly lower correlation in the Indian sector than in the other sectors indicates a contribution from local dust source and volcanic materials and thus suggests the necessity for caution when performing dust correlation in the Indian sector of the SO. (C) 2022 Elsevier Ltd. All rights reserved.</t>
  </si>
  <si>
    <t>[Matsui, Hiroki] Akita Univ, Grad Sch Int Resource Sci, Tegatagakuen Machi 1-1, Akita 0108502, Japan; [Matsui, Hiroki; Ikehara, Minoru] Kochi Univ, Ctr Adv Marine Core Res, Nanko Ku, B200 Monobe, Kochi 7838502, Japan; [Suganuma, Yusuke; Oyabu, Ikumi; Kawamura, Kenji] Natl Inst Polar Res Res Org Informat &amp; Syst, Midori Cho 10-3, Tachikawa, Tokyo 1908518, Japan; [Suganuma, Yusuke; Kawamura, Kenji] Grad Univ Adv Studies SOKENDAI, Sch Multidisciplinary Sci, Dept Polar Sci, Midori Cho 10-3, Tachikawa, Tokyo 1908518, Japan; [Seki, Osamu] Hokkaido Univ, Inst Low Temp Sci, Kita Ku, N19W8,8, Sapporo, Hokkaido 0600819, Japan</t>
  </si>
  <si>
    <t>Akita University; Kochi University; Graduate University for Advanced Studies - Japan; Hokkaido University</t>
  </si>
  <si>
    <t>Matsui, H (corresponding author), Akita Univ, Grad Sch Int Resource Sci, Tegatagakuen Machi 1-1, Akita 0108502, Japan.</t>
  </si>
  <si>
    <t>hmatsui@gipc.akita-u.ac.jp; ikehara@kochi-u.ac.jp; suganuma.yusuke@nipr.ac.jp; seki@pop.lowtem.hokudai.ac.jp; oyabu.ikumi@nipr.ac.jp; kawamura@nipr.ac.jp</t>
  </si>
  <si>
    <t>Oyabu, Ikumi/AGE-1164-2022; Matsui, Hiroki/Q-2041-2016; Kawamura, Kenji/C-7660-2011</t>
  </si>
  <si>
    <t>Oyabu, Ikumi/0000-0001-8017-1085; Matsui, Hiroki/0000-0002-6985-7083; Kawamura, Kenji/0000-0003-1163-700X; Ikehara, Minoru/0000-0002-2695-4713</t>
  </si>
  <si>
    <t>Japan Society for the Promotion of Science KAKENHI [17H06318, 17H06320, 17H06321]; Grants-in-Aid for Scientific Research [17H06318] Funding Source: KAKEN</t>
  </si>
  <si>
    <t>Japan Society for the Promotion of Science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</si>
  <si>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would like to thank Y. Fujimura, T. Minami, and H. Wakaki-Uchimura for their support during the stable isotope measure-ments of the DCR-1PC core. We also thank T. Yamazaki for providing access to the magnetic susceptibility data of the MR03K04-PC5 core, and X. Crosta, E. Michel, H.E. Amsler, M. Civel-Mazens, H. Asahi, Y. Kato, and the members of the research project Giant Reservoirs-Antarctic for helpful suggestions about marine sediment-core and ice core chronologies. We are grateful to the scientists and crew of the Hakuho-maru KH-10-7 Cruise for the initial data collection of the DCR-1PC core. All the figures were plotted using R and GMT software. The manuscript was improved by constructive comments from the editor (I. Hendy) and two anonymous reviewers. This work was supported by the Japan Society for the Promotion of Science KAKENHI (Grants-in-Aid for Scientific Research) [grant numbers 17H06318 to MI and OS, 17H06320 to KK, and 17H06321 to YS] . Supporting data are included as three tables in the supporting information files; any additional data may be obtained from H.M. (email: hmatsui@gipc. akita-u.ac.jp) .</t>
  </si>
  <si>
    <t>10.1016/j.quascirev.2022.107508</t>
  </si>
  <si>
    <t>1S3LA</t>
  </si>
  <si>
    <t>WOS:000803954700008</t>
  </si>
  <si>
    <t>Ghaderiardakani, F; Langhans, L; Kurbel, VB; Fenizia, S; Wichard, T</t>
  </si>
  <si>
    <t>Ghaderiardakani, Fatemeh; Langhans, Linda; Kurbel, Valentin B.; Fenizia, Simona; Wichard, Thomas</t>
  </si>
  <si>
    <t>Metabolite profiling reveals insights into the species-dependent cold stress response of the green seaweed holobiont Ulva (Chlorophyta)</t>
  </si>
  <si>
    <t>ENVIRONMENTAL AND EXPERIMENTAL BOTANY</t>
  </si>
  <si>
    <t>Antarctica; Cold adaptation; Cold stress adaptation factors; Cross-kingdom interactions; Cryoprotective; DMSP; Ectoine; Seaweed; Taurine; Ulva microbiome</t>
  </si>
  <si>
    <t>DIMETHYLSULPHONIOPROPIONATE DMSP CONTENT; GAMETE RELEASE; MACROALGAE; DIMETHYLSULFONIOPROPIONATE; ACCUMULATION; MUTABILIS; PROLINE; GROWTH; CHROMATOGRAPHY; MORPHOGENESIS</t>
  </si>
  <si>
    <t>The green seaweed Ulva (Chlorophyta) and its associated epibacterial microbiome form a functional holobiont that adapts to stress as a whole. As the macroalga provides carbon sources for bacteria and relies on algal growth and morphogenesis-promoting factors (AGMPF) released by bacteria, those cross-kingdom interactions are especially fascinating. We hypothesized that the Ulva holobionts from the warm-temperate MediterraneanAtlantic and cold Antarctic habitats respond to cold stress differently depending on the production of highly polar low molecular weight compounds (LMWCs) with stress-regulating activity. We compared the microbiome of and metabolic changes in U. compressa (cultivar U. mutabilis), initially collected in Ria Formosa (Portugal), with that of U. bulbosa (strain AWI #1002) collected in Antarctica by performing a warm-cold temperature shift experiment. Microbiome analysis indicated significant differences between the two species and that the number of operational taxonomic units (OTUs) was lower in cultivated U. bulbosa than in freshly isolated Ulva; despite this, AGMPF-producing bacteria were detected in both holobionts. Significant differences in metabolite profiles were observed between both species using hydrophilic interaction liquid chromatography coupled with electrospray ionization mass spectrometry (HILIC-ESI-MS). Biomarkers such as dimethylsulfoniopropionate (DMSP) and taurine were identified following a temperature shift from 18 degrees C to 5 degrees C in the warm-temperate U. mutabilis and the cold-adapted U. bulbosa, respectively. Our findings show that metabolic changes in the holobiont in response to cold are species-dependent.To evaluate the contribution of the metabolic changes of bacteria and algae to the stress response, the reductionistic model system of the tripartite community formed by U. mutabilis and its two essential bacteria, Roseovarius sp. strain MS2 and Maribacter sp. strain MS6, which release all essential AGMPFs, was investigated. We examined the production of polar LMWCs in the presence and absence of bacteria following a shift to cold temperatures. Among the metabolites studied, ectoine ((4S)-2-methyl-3,4,5,6-tetrahydropyrimidine-4-carboxylic acid) was only detected in the presence of bacteria, highlighting the role of bacteria in releasing compounds that mitigate environmental stresses through cold stress adaptation factors (CSAF). Our findings suggest that microbiome engineering will allow us to improve macroalgae adaptability to stressful situations, which can be further applied to the sustainable management of (land-based) aquaculture systems.</t>
  </si>
  <si>
    <t>[Ghaderiardakani, Fatemeh; Langhans, Linda; Kurbel, Valentin B.; Fenizia, Simona; Wichard, Thomas] Friedrich Schiller Univ Jena, Inst Inorgan &amp; Analyt Chem, Lessingstr 8, D-07743 Jena, Germany; [Fenizia, Simona] Max Planck Inst Chem Ecol, Hans Knoll Str 8, D-07745 Jena, Germany</t>
  </si>
  <si>
    <t>Friedrich Schiller University of Jena; Max Planck Society</t>
  </si>
  <si>
    <t>Wichard, T (corresponding author), Friedrich Schiller Univ Jena, Inst Inorgan &amp; Analyt Chem, Lessingstr 8, D-07743 Jena, Germany.</t>
  </si>
  <si>
    <t>thomas.wichard@uni-jena.de</t>
  </si>
  <si>
    <t>Wichard, Thomas/C-2794-2009; Ghaderiardakani, Fatemeh/HGB-6725-2022</t>
  </si>
  <si>
    <t>Fenizia, Simona/0000-0002-3592-9368; Ghaderiardakani, Fatemeh/0000-0003-3497-8421</t>
  </si>
  <si>
    <t>Deutsche Forschungsgemeinschaft (DFG, German Research Foundation) [SPP 1158, 424256657]; International Max Planck Research School Exploration of Ecological Interactions with Molecular Techniques</t>
  </si>
  <si>
    <t>Deutsche Forschungsgemeinschaft (DFG, German Research Foundation)(German Research Foundation (DFG)); International Max Planck Research School Exploration of Ecological Interactions with Molecular Techniques</t>
  </si>
  <si>
    <t>This work was supported by the Deutsche Forschungsgemeinschaft (DFG, German Research Foundation) in the framework of the priority program (SPP 1158) Antarctic Research with comparative investigations in Arctic ice areas (424256657, FG, and TW) and by the International Max Planck Research School Exploration of Ecological Interactions with Molecular Techniques (SF)</t>
  </si>
  <si>
    <t>0098-8472</t>
  </si>
  <si>
    <t>1873-7307</t>
  </si>
  <si>
    <t>ENVIRON EXP BOT</t>
  </si>
  <si>
    <t>Environ. Exp. Bot.</t>
  </si>
  <si>
    <t>10.1016/j.envexpbot.2022.104913</t>
  </si>
  <si>
    <t>Plant Sciences; Environmental Sciences</t>
  </si>
  <si>
    <t>1S0XF</t>
  </si>
  <si>
    <t>WOS:000803781700001</t>
  </si>
  <si>
    <t>Sun, XY; He, YW; Lv, TT; Li, CH; Gao, Y; Zhao, F; Xue, ZS</t>
  </si>
  <si>
    <t>Sun, Xiaoyu; He, Yawen; Lv, Tingting; Li, Chunhua; Gao, Yi; Zhao, Fu; Xue, Zhenshan</t>
  </si>
  <si>
    <t>Spatiotemporal Analysis and Modeling of Sea Ice Growth Rate in Nella Fjord, Antarctica: Based on Observations During the 36th Chinese National Antarctic Research Expedition in 2020</t>
  </si>
  <si>
    <t>Antarctica; Nella Fjord; sea ice growth rate; spatiotemporal analysis; empirical model</t>
  </si>
  <si>
    <t>Obtaining field sea ice data is crucial for the validation and improvement of satellite data and numerical models. During the 36th Chinese National Antarctic Research Expedition, seven field observations covering the whole area were conducted in Nella Fjord, and large amounts of in situ sea ice and snow thickness data were acquired. Then, the influences of snow cover, topography, and air temperature on the sea ice growth rate were examined. Based on the relationship between the sea ice growth rate and air temperature, an empirical model of sea ice thickness was developed. The results show that sea ice started to freeze in early March, and the peak growth rate was reached in mid-June, with a mean growth rate of 0.62 cm/d. Between mid-June and mid-October, the mean growth rate was 0.36-0.4 cm/d; between mid-October and mid-November, the mean growth rate decreased to 0.15 cm/d. After mid-November, ice growth stopped, and the ice thickness decreased. The growth rate and thickness of sea ice near the shore were generally greater than those closer to the center of the fjord, with differences of 0.25 cm/d in mean growth rate and 7.16 cm in mean thickness. Because of the large exchanges of heat between the atmosphere and the ocean, the sea ice thickness increased rapidly during the early stage of freeze-up. When the air temperature was between -12 and -15 degrees C, the ice growth rate was between 0.36 and 0.4 cm/d. However, when the ice thickness reached 0.5 m, the sea ice growth rate became less sensitive to air temperature. In addition, we found that the proposed model has high simulation accuracy for the growth rate of sea ice. Based on the model, we estimated that the growth rates become zero at an air temperature of approximately -4 degrees C. Our study highlights the inverse relationship between the sea ice growth rate and the snow thickness and the fact that the sea ice thickness is mainly affected by air temperature.</t>
  </si>
  <si>
    <t>[Sun, Xiaoyu; Li, Chunhua; Gao, Yi; Zhao, Fu] Natl Marine Environm Forecasting Ctr, Beijing, Peoples R China; [He, Yawen] China Univ Petr, Ocean &amp; Spatial Informat Coll, Qingdao, Peoples R China; [Lv, Tingting] Chinese Acad Sci, Aerosp Informat Res Inst, Beijing, Peoples R China; [Xue, Zhenshan] Chinese Acad Sci, Northeast Inst Geog &amp; Agroecol, Changchun, Peoples R China</t>
  </si>
  <si>
    <t>National Marine Environmental Forecasting Center; China University of Petroleum; Chinese Academy of Sciences; Aerospace Information Research Institute, CAS; Chinese Academy of Sciences; Northeast Institute of Geography &amp; Agroecology, CAS</t>
  </si>
  <si>
    <t>He, YW (corresponding author), China Univ Petr, Ocean &amp; Spatial Informat Coll, Qingdao, Peoples R China.;Lv, TT (corresponding author), Chinese Acad Sci, Aerosp Informat Res Inst, Beijing, Peoples R China.</t>
  </si>
  <si>
    <t>heyw@upc.edu.cn; lvtt@aircas.ac.cn</t>
  </si>
  <si>
    <t>National Key R&amp;D Program of China [2018YFA0605902]; National Natural Science Foundation of China [41976184, 41876212, 41922045, U19A2042, U20A2083]; Operational and Scientific Research for Polar Regions</t>
  </si>
  <si>
    <t>National Key R&amp;D Program of China; National Natural Science Foundation of China(National Natural Science Foundation of China (NSFC)); Operational and Scientific Research for Polar Regions</t>
  </si>
  <si>
    <t>This work was supported by the National Key R&amp;D Program of China (No. 2018YFA0605902); the National Natural Science Foundation of China (No. 41976184, 41876212, 41922045, U19A2042 and U20A2083); and Operational and Scientific Research for Polar Regions (2021).</t>
  </si>
  <si>
    <t>10.3389/fenvs.2022.875399</t>
  </si>
  <si>
    <t>1U0MO</t>
  </si>
  <si>
    <t>WOS:000805115500001</t>
  </si>
  <si>
    <t>Liu, XY; Zhou, MY; Sun, R; Xing, S; Wu, T; He, HL; Chen, JB; Bielicki, JK</t>
  </si>
  <si>
    <t>Liu, Xiaoyu; Zhou, Mingyang; Sun, Rui; Xing, Shu; Wu, Tao; He, Hailun; Chen, Jianbin; Bielicki, John Kevin</t>
  </si>
  <si>
    <t>Characterization of a Novel Esterase Est33 From an Antarctic Bacterium: A Representative of a New Esterase Family</t>
  </si>
  <si>
    <t>esterase; Antarctic; bacterium; soil; new esterase family XXI</t>
  </si>
  <si>
    <t>COLD-ADAPTED ESTERASE; THERMOSTABLE ESTERASE; LIPOLYTIC ENZYMES; LIPASE; EXPRESSION; HYDROLASE; SEQUENCE; CLASSIFICATION; FEATURES; CLONING</t>
  </si>
  <si>
    <t>Studies of microorganisms from extreme environments can sometimes reveal novel proteins with unique properties. Here, we identified a novel esterase gene (Est33) from an Antarctic bacterium. The protein was expressed and purified for biochemical characterizations. Site-mutation variants including S94A, D205A, and H233A were constructed to explore the structure-function relationship of the catalytic triad of Est33, and we found mutating Ser(94), Asp(205), and His(233) residues lead to a complete loss of enzyme activity. In addition, the catalytic Ser(94) located in a conserved pentapeptide motif GVSWG. Phylogenetic analysis showed that Est33 and its closely related homologs belonged to an independent group apart from other known family members, indicating that Est33 represented a new family of esterase. The Est33 enzyme was found to be a cold-active esterase retaining 25%-100% activity from 10 degrees C to 30 degrees C and to have optimal catalytic activity toward p-nitrophenol acetate (30 degrees C and pH7.5). The serine modifying reagent phenylmethylsulfonyl fluoride inhibited the activity of Est33 by 77.34%, while thiol reagents such as dithiol threitol (DTT) activated the enzyme by 3-fold. Metal chelating reagents EDTA had no effects, indicating that Est33 is not a metalloenzyme. Collectively, these results indicate that Est33 constitutes the first member of a novel esterase family XXI that has been identified.</t>
  </si>
  <si>
    <t>[Liu, Xiaoyu; Zhou, Mingyang; Sun, Rui; Xing, Shu; Wu, Tao; Chen, Jianbin] Qilu Univ Technol, Shandong Acad Sci, Sch Chem &amp; Chem Engn, Jinan, Peoples R China; [He, Hailun] Cent South Univ, Sch Life Sci, State Key Lab Med Genet, Changsha, Peoples R China; [Chen, Jianbin] Qilu Univ Technol, Shandong Acad Sci, Shandong Prov Key Lab Mol Engn, Jinan, Peoples R China; [Bielicki, John Kevin] Univ Calif Berkeley, Lawrence Berkeley Natl Lab, Berkeley, CA USA</t>
  </si>
  <si>
    <t>Qilu University of Technology; Central South University; Qilu University of Technology; United States Department of Energy (DOE); Lawrence Berkeley National Laboratory; University of California System; University of California Berkeley</t>
  </si>
  <si>
    <t>Zhou, MY; Chen, JB (corresponding author), Qilu Univ Technol, Shandong Acad Sci, Sch Chem &amp; Chem Engn, Jinan, Peoples R China.;Chen, JB (corresponding author), Qilu Univ Technol, Shandong Acad Sci, Shandong Prov Key Lab Mol Engn, Jinan, Peoples R China.</t>
  </si>
  <si>
    <t>myzhou@qlu.edu.cn; jchen@qlu.edu.cn</t>
  </si>
  <si>
    <t>Chen, Jianbin/HGF-1513-2022; He, Hailun/L-4424-2018; Liu, Xiaoyu/HJH-8805-2023; Zhou, Mingyang/JRY-7534-2023</t>
  </si>
  <si>
    <t>Chen, Jianbin/0000-0003-1104-7237; Zhou, Mingyang/0009-0001-8519-7118</t>
  </si>
  <si>
    <t>National Natural Science Foundation of China [31400002, 22171154, 31370104]; Natural Science Foundation of Shandong Province [ZR2020QB114, ZR2020QB008]; Youth Innovative Talents Recruitment and Cultivation Program of Shandong Higher Education; Qilu University of Technology (Shandong Academy of Sciences) International Cooperation Fund [QLUTGJHZ2018002]</t>
  </si>
  <si>
    <t>National Natural Science Foundation of China(National Natural Science Foundation of China (NSFC)); Natural Science Foundation of Shandong Province(Natural Science Foundation of Shandong Province); Youth Innovative Talents Recruitment and Cultivation Program of Shandong Higher Education; Qilu University of Technology (Shandong Academy of Sciences) International Cooperation Fund</t>
  </si>
  <si>
    <t>Funding This research was funded by the National Natural Science Foundation of China, grant numbers 31400002, 22171154, and 31370104; the Natural Science Foundation of Shandong Province, grant numbers ZR2020QB114 and ZR2020QB008; Youth Innovative Talents Recruitment and Cultivation Program of Shandong Higher Education; and Qilu University of Technology (Shandong Academy of Sciences) International Cooperation Fund, grant number QLUTGJHZ2018002.</t>
  </si>
  <si>
    <t>10.3389/fmicb.2022.855658</t>
  </si>
  <si>
    <t>1S5SE</t>
  </si>
  <si>
    <t>WOS:000804110000001</t>
  </si>
  <si>
    <t>Rhee, HH; Seong, YB; Lee, MK; Jeong, A; Dash, C; Lee, JI; Yoo, KC; Yu, BY</t>
  </si>
  <si>
    <t>Rhee, Hyun Hee; Seong, Yeong Bae; Lee, Min Kyung; Jeong, Ara; Dash, Chinmay; Lee, Jae Il; Yoo, Kyu-Cheul; Yu, Byung Yong</t>
  </si>
  <si>
    <t>Spatial variations of authigenic beryllium isotopes in surface sediments of the Antarctic oceans: a proxy for sea ice dynamics and sedimentary environments</t>
  </si>
  <si>
    <t>GEOSCIENCES JOURNAL</t>
  </si>
  <si>
    <t>Antarctica; cosmogenic Be-10; sea ice; oceanic sedimentation; local contamination offset</t>
  </si>
  <si>
    <t>WEDDELL SEA; BE-10/BE-9 RATIOS; ATLANTIC SECTOR; ROSS SEA; SHELF; COLLAPSE; FLUXES; WATERS; CYCLE</t>
  </si>
  <si>
    <t>This study documents spatial variations in authigenic Be-9 and Be-10 concentrations and Be-10/Be-9 ratios in different glacial settings in the Weddell and Ross seas, Antarctica. Weddell Sea surface sediments have the lowest Be-10 and highest Be-9 concentrations, and most depleted Be-10/Be-9 ratios, as compared with other regions, indicating Be-9 enrichment from the recently collapsed Larsen Ice Shelf (LIS) B and reduction of Be-10 supply due to blockage by the un-deglaciated LIS C. Local Be-10 deposition varies across the open marine Ross Sea, which is more affected by seasonal sea ice persistence than ocean currents. Higher Be-10/Be-9 ratios in the western Ross Sea and higher Be-10 concentrations in the eastern Ross Sea correlate with higher sea ice concentrations and changes, and vice versa in the central Ross Sea. The higher sea ice concentration not only blocks atmospheric Be-10 and dust deposition during the frozen season, but increases the dust flux and supply of Be isotopes during the sea ice melting season. Thus, the spatial distribution of Be isotopes in surface sediments of the Antarctic oceans can be used as a proxy for sea ice dynamics and sedimentary environments.</t>
  </si>
  <si>
    <t>[Rhee, Hyun Hee; Lee, Min Kyung; Lee, Jae Il; Yoo, Kyu-Cheul] Korea Polar Res Inst, Div Glacial Environm Res, Incheon 21990, South Korea; [Seong, Yeong Bae; Dash, Chinmay] Korea Univ, Dept Geog Educ, 145 Anam Ro, Seoul 02841, South Korea; [Jeong, Ara] Korea Mil Acad, Dept Civil Engn &amp; Environm Sci, Seoul 01805, South Korea; [Yu, Byung Yong] Korea Inst Sci &amp; Technol, AMS Lab, Seoul 02792, South Korea</t>
  </si>
  <si>
    <t>Korea Polar Research Institute (KOPRI); Korea University; Korea Institute of Science &amp; Technology (KIST)</t>
  </si>
  <si>
    <t>Seong, YB (corresponding author), Korea Univ, Dept Geog Educ, 145 Anam Ro, Seoul 02841, South Korea.</t>
  </si>
  <si>
    <t>ybseong@korea.ac.kr</t>
  </si>
  <si>
    <t>RHEE, Hyun Hee/ISA-4439-2023; Seong, Yeong Bae/K-2420-2019</t>
  </si>
  <si>
    <t>Seong, Yeong Bae/0000-0001-6605-3912; rhee, hyunhee/0000-0003-0738-1160; Jeong, Ara/0000-0002-0177-1187</t>
  </si>
  <si>
    <t>Korea Polar Research Institute [PE21090]</t>
  </si>
  <si>
    <t>This research was supported by Korea Polar Research Institute (PE21090).</t>
  </si>
  <si>
    <t>GEOLOGICAL SOCIETY KOREA</t>
  </si>
  <si>
    <t>NEW BLD RM 813, 22, TEHERAN-RO 7-GIL, SEOUL, 06130, SOUTH KOREA</t>
  </si>
  <si>
    <t>1226-4806</t>
  </si>
  <si>
    <t>1598-7477</t>
  </si>
  <si>
    <t>GEOSCI J</t>
  </si>
  <si>
    <t>Geosci. J.</t>
  </si>
  <si>
    <t>10.1007/s12303-022-0003-4</t>
  </si>
  <si>
    <t>2R3NB</t>
  </si>
  <si>
    <t>WOS:000796812200002</t>
  </si>
  <si>
    <t>La Mesa, M; La Mesa, G; Piepenburg, D; Gutt, J; Eastman, JT</t>
  </si>
  <si>
    <t>La Mesa, Mario; La Mesa, Gabriele; Piepenburg, Dieter; Gutt, Julian; Eastman, Joseph T.</t>
  </si>
  <si>
    <t>Spatial patterns and behaviour of notothenioid fishes off the northern Antarctic Peninsula</t>
  </si>
  <si>
    <t>Photographic survey; Notothenioid fish; Spatial distribution; Fish behaviour; Antarctic Peninsula</t>
  </si>
  <si>
    <t>POLARSTERN EXPEDITION PS81; MARINE ECOSYSTEM; FAUNA; ABUNDANCE; ELEPHANT; ISLANDS; STOCKS</t>
  </si>
  <si>
    <t>A photographic seabed survey conducted off the Antarctic Peninsula region provided the opportunity to study spatial patterns, abundance and behaviour of the notothenioid benthic fish fauna. Overall, a total of 12,715 images taken with the Ocean Floor Observation System (OFOS) along 26 transects in three ecoregions (Joinville Island, Bransfield Strait and Drake Passage) were analysed. The fish fauna consisted of at least 34 species belonging to four families of both low-Antarctic and high-Antarctic origin. Nototheniids showed the highest relative abundance and species richness, followed by channichthyids, bathydraconids and artedidraconids. Direct in-situ observations in OFOS seabed images allowed descriptions of fish behaviour, such as aggregation of individuals (Notothenia coriiceps), specific body postures (Cygnodraco mawsoni and Cryodraco antarcticus) and parental care (Chaenodraco wilsoni, Chionodraco rastrospinosus, Pagetopsis macropterus and Trematomus hansoni). Fish density and species richness was primarily correlated with the occurrence of bryozoans, ascidians, and large cup-shaped sponges, providing a three-dimensional habitat suitable for fish settling, foraging, breeding and refuge from predators. Fish diversity was higher (a) off Joinville Island and in Bransfield Strait than in Drake Passage, where almost exclusively low-Antarctic species were recorded, and (b) between 100 and 600 m than at greater depths. Overall, the benthic fish fauna off the northern Antarctic Peninsula is zoogeographically composite and widespread, with well-structured spatial partitioning.</t>
  </si>
  <si>
    <t>[La Mesa, Mario] CNR, Inst Polar Sci ISP, Area Ric Bologna, Via P Gobetti 101, I-40129 Bologna, Italy; [La Mesa, Gabriele] Italian Inst Environm Protect &amp; Res ISPRA, Via Vitaliano Brancati 60, I-00144 Rome, Italy; [Piepenburg, Dieter; Gutt, Julian] Helmholtz Ctr Polar &amp; Marine Res, Alfred Wegener Inst AWI, Handelshafen 12, D-26570 Bremerhaven, Germany; [Eastman, Joseph T.] Ohio Univ, Dept Biomed Sci, Athens, OH 45701 USA; [Piepenburg, Dieter] Univ Oldenburg HIFMB, Helmholtz Inst Funct Marine Biodivers, Ammerlander Heerstr 231, D-26129 Oldenburg, Germany; [Piepenburg, Dieter] Univ Kiel, Inst Ecosyst Res, D-24118 Kiel, Germany</t>
  </si>
  <si>
    <t>Consiglio Nazionale delle Ricerche (CNR); Istituto di Scienze Polari (ISP-CNR); Italian Institute for Environmental Protection &amp; Research (ISPRA); Helmholtz Association; Alfred Wegener Institute, Helmholtz Centre for Polar &amp; Marine Research; University System of Ohio; Ohio University; University of Kiel</t>
  </si>
  <si>
    <t>La Mesa, M (corresponding author), CNR, Inst Polar Sci ISP, Area Ric Bologna, Via P Gobetti 101, I-40129 Bologna, Italy.</t>
  </si>
  <si>
    <t>mario.lamesa@cnr.it</t>
  </si>
  <si>
    <t>Eastman, Joseph T./O-6150-2019</t>
  </si>
  <si>
    <t>Eastman, Joseph T./0000-0003-3868-261X; Piepenburg, Dieter/0000-0003-3977-2860</t>
  </si>
  <si>
    <t>National Science Foundation [NSF ANT 04-36190]; [AWI_PS81_03]</t>
  </si>
  <si>
    <t>National Science Foundation(National Science Foundation (NSF));</t>
  </si>
  <si>
    <t>We are grateful to the crew and scientific personnel aboard R/V Polarstern during the cruise ANT-XXIX/3 (PS81) off the Antarctic Peninsula for their valuable support during field activities. We are much indebted to Richard Eakin, who greatly contributed to the taxonomic identification of artedidraconids. The sampling of seabed images during the cruise was supported by grants AWI_PS81_03. JT Eastman was supported by National Science Foundation grant NSF ANT 04-36190.</t>
  </si>
  <si>
    <t>10.1007/s00300-022-03047-y</t>
  </si>
  <si>
    <t>WOS:000796817400001</t>
  </si>
  <si>
    <t>Gu, FG; Yang, QH; Kauker, F; Liu, CW; Hao, GH; Yang, CY; Liu, JP; Heil, P; Li, XW; Han, B</t>
  </si>
  <si>
    <t>Gu, Fengguan; Yang, Qinghua; Kauker, Frank; Liu, Changwei; Hao, Guanghua; Yang, Chao-Yuan; Liu, Jiping; Heil, Petra; Li, Xuewei; Han, Bo</t>
  </si>
  <si>
    <t>The sensitivity of landfast sea ice to atmospheric forcing in single-column model simulations: a case study at Zhongshan Station, Antarctica</t>
  </si>
  <si>
    <t>Single-column sea ice models are used to focus on the thermodynamic evolution of the ice. Generally, these models are forced by atmospheric reanalysis in the absence of atmospheric in situ observations. Here we assess the sea ice thickness simulated by a single-column model (ICEPACK) with in situ observations obtained off Zhongshan Station for the austral winter of 2016. In the reanalysis, the surface air temperature is about 1 degrees C lower, the total precipitation is about 2 mm d(-1) greater, and the surface wind speed is about 2 m s(-1) higher compared to the in situ observations. We designed sensitivity experiments to evaluate the simulation bias in sea ice thickness due to the uncertainty in the individual atmospheric forcing variables. Our results show that the unrealistic precipitation in the reanalysis leads to a bias of 14.5 cm in sea ice thickness and 17.3 cm in snow depth. In addition, our data show that increasing snow depth works to gradually inhibit the growth of sea ice associated with thermal blanketing by the snow due to changing the vertical heat flux. Conversely, given suitable conditions, the sea ice thickness may grow suddenly when the snow load gives rise to flooding and leads to snow-ice formation. However, there are still uncertainties related to the model results because superimposed ice and snowdrift are not implemented in the version of the ice model used and because snow-ice formation might be overestimated at locations with landfast sea ice.</t>
  </si>
  <si>
    <t>[Gu, Fengguan; Yang, Qinghua; Liu, Changwei; Yang, Chao-Yuan; Li, Xuewei; Han, Bo] Sun Yat Sen Univ, Sch Atmospher Sci, Zhuhai 519082, Peoples R China; [Gu, Fengguan; Yang, Qinghua; Liu, Changwei; Yang, Chao-Yuan; Li, Xuewei; Han, Bo] Southern Marine Sci &amp; Engn Guangdong Lab Zhuhai, Zhuhai 519082, Peoples R China; [Kauker, Frank] Helmholtz Ctr Polar &amp; Marine Res, Alfred Wegener Inst, Handelshafen 12, D-27570 Bremerhaven, Germany; [Kauker, Frank] Ocean Atmosphere Syst, Tewesstseg 4, D-20249 Hamburg, Germany; [Hao, Guanghua] Minist Nat Resources, Key Lab Marine Hazards Forecasting, Natl Marine Environm Forecasting Ctr, Beijing 100081, Peoples R China; [Liu, Jiping] SUNY Albany, Dept Atmospher &amp; Environm Sci, Albany, NY 12222 USA; [Heil, Petra] Australian Antarctic Program Partnership, Australian Antarctic Div, Private Bag 80, Hobart, Tas 7001, Australia</t>
  </si>
  <si>
    <t>Sun Yat Sen University; Southern Marine Science &amp; Engineering Guangdong Laboratory; Southern Marine Science &amp; Engineering Guangdong Laboratory (Zhuhai); Helmholtz Association; Alfred Wegener Institute, Helmholtz Centre for Polar &amp; Marine Research; National Marine Environmental Forecasting Center; Ministry of Natural Resources of the People's Republic of China; State University of New York (SUNY) System; State University of New York (SUNY) Albany; Australian Antarctic Division</t>
  </si>
  <si>
    <t>Han, B (corresponding author), Sun Yat Sen Univ, Sch Atmospher Sci, Zhuhai 519082, Peoples R China.;Han, B (corresponding author), Southern Marine Sci &amp; Engn Guangdong Lab Zhuhai, Zhuhai 519082, Peoples R China.</t>
  </si>
  <si>
    <t>hanb5@mail.sysu.edu.cn</t>
  </si>
  <si>
    <t>Han, Bo/KBC-0855-2024; Hao, Guanghua/AAC-3979-2019; Li, Xuewei/HSH-3459-2023</t>
  </si>
  <si>
    <t>Han, Bo/0000-0002-6137-7907; Li, Xuewei/0000-0003-3435-7422; Kauker, Frank/0000-0002-7976-3005; Heil, Petra/0000-0003-2078-0342; Yang, Chao-Yuan/0000-0002-8015-5234</t>
  </si>
  <si>
    <t>National Natural Science Foundation of China [41941009, 41922044, 42105072]; Guangdong Basic and Applied Basic Research Foundation [2020B1515020025, 2021A1515012209]; Southern Marine Science and Engineering Guangdong Laboratory (Zhuhai) [SML2020SP007]; CAS Light of West China Program [E129030101, Y929641001]; AAS [4506]</t>
  </si>
  <si>
    <t>National Natural Science Foundation of China(National Natural Science Foundation of China (NSFC)); Guangdong Basic and Applied Basic Research Foundation; Southern Marine Science and Engineering Guangdong Laboratory (Zhuhai); CAS Light of West China Program; AAS</t>
  </si>
  <si>
    <t>This research has been supported by the National Natural Science Foundation of China (grant nos. 41941009, 41922044, and 42105072), the Guangdong Basic and Applied Basic Research Foundation (grant nos. 2020B1515020025 and 2021A1515012209), the Southern Marine Science and Engineering Guangdong Laboratory (Zhuhai) (grant no. SML2020SP007), and CAS Light of West China Program (grant nos. E129030101, Y929641001). Petra Heil was supported by AAS (grant no. 4506).</t>
  </si>
  <si>
    <t>10.5194/tc-16-1873-2022</t>
  </si>
  <si>
    <t>1H3NN</t>
  </si>
  <si>
    <t>WOS:000796452000001</t>
  </si>
  <si>
    <t>Troshichev, OA; Dolgacheva, SA; Sormakov, DA</t>
  </si>
  <si>
    <t>Troshichev, O. A.; Dolgacheva, S. A.; Sormakov, D. A.</t>
  </si>
  <si>
    <t>Invariability of relationships between the solar wind electric field EKL and the magnetic activity indices PC, AL and Dst</t>
  </si>
  <si>
    <t>JOURNAL OF ATMOSPHERIC AND SOLAR-TERRESTRIAL PHYSICS</t>
  </si>
  <si>
    <t>The solar wind electric field Ekl; The polar cap magnetic activity index PC; Magnetospheric substorms and magnetic storms; 23rd and 24th cycles of solar activity</t>
  </si>
  <si>
    <t>ALIGNED CURRENTS; POLAR-CAP; DISTRIBUTIONS; QUANTITIES; ENERGY</t>
  </si>
  <si>
    <t>The daily values of the E-KL field and indices of magnetic activity PC, AL and Dst were used to verify stability of relationships between these parameters in course of 23rd and 24th solar cycles. The results of analysis demonstrate that the mean level of correlation between the E-KL field and PC index remains in range R = 0.85-0.90 over 24 years. During the solar maximum epochs (2008, 2015) the correlation between E-KL and PC reduced down to R = 0.75, the decrease being related to solar protons events (SPE), which strongly affect the ionospheric conductivity in polar caps. In the course of both cycles the daily AL index well correlated with PC index (R = 0.93) and with E-KL field (R = 0.83); correlation of daily Dst index with PC and EKL values was much worse (R = 0.72 and 0.64, correspondingly), the correlation being independent of solar activity epochs and cycles. The PC indices in northern (PCN) and southern (PCS) indices hemispheres demonstrate the evident seasonal variation; the PCsummer index is commonly larger than the PCwinter index, but PCwinter index better correlates with E-KL field. The conclusion is made that relationships between the E-KL field, PC index, and the magnetic disturbance indices AL and Dst remained valid in course of 23rd and 24th solar cycles and, therefore, the calibrating coefficients, determining these relationships, are not affected by solar activity.</t>
  </si>
  <si>
    <t>[Troshichev, O. A.; Dolgacheva, S. A.; Sormakov, D. A.] Tha Arctic &amp; Antarctic Res Inst, St Petersburg, Russia</t>
  </si>
  <si>
    <t>Troshichev, OA (corresponding author), Tha Arctic &amp; Antarctic Res Inst, St Petersburg, Russia.</t>
  </si>
  <si>
    <t>olegtro@aari.ru</t>
  </si>
  <si>
    <t>Sormakov, Dmitry A/K-1695-2014; Troshichev, Oleg/P-3848-2015</t>
  </si>
  <si>
    <t>Dolgacheva, Svetlana/0000-0003-3661-4197; Troshichev, Oleg/0000-0002-7887-9831</t>
  </si>
  <si>
    <t>1364-6826</t>
  </si>
  <si>
    <t>1879-1824</t>
  </si>
  <si>
    <t>J ATMOS SOL-TERR PHY</t>
  </si>
  <si>
    <t>J. Atmos. Sol.-Terr. Phys.</t>
  </si>
  <si>
    <t>SEP 1</t>
  </si>
  <si>
    <t>10.1016/j.jastp.2022.105894</t>
  </si>
  <si>
    <t>2B0QV</t>
  </si>
  <si>
    <t>WOS:000809900600005</t>
  </si>
  <si>
    <t>Aulich, MG; McCauley, RD; Miller, BS; Samaran, F; Giorli, G; Saunders, BJ; Erbe, C</t>
  </si>
  <si>
    <t>Aulich, Meghan G.; McCauley, Robert D.; Miller, Brian S.; Samaran, Flore; Giorli, Giacomo; Saunders, Benjamin J.; Erbe, Christine</t>
  </si>
  <si>
    <t>Seasonal Distribution of the Fin Whale (Balaenoptera physalus) in Antarctic and Australian Waters Based on Passive Acoustics</t>
  </si>
  <si>
    <t>Antarctica; Australia; Balaenoptera physalus; fin whale; migratory pathway; passive acoustic monitoring; seasonal distribution</t>
  </si>
  <si>
    <t>POPULATION-STRUCTURE; BLUE; CALLS; SEA; CALIFORNIA; ABUNDANCE; DISTANCE; RANGE; KRILL; GULF</t>
  </si>
  <si>
    <t>The fin whale is listed as globally vulnerable, with ongoing threats to their population, yet little is known about the distribution and movements of the Southern Hemisphere sub-species, Balaenoptera physalus quoyi. This study assesses fin whale distribution in the Southern Hemisphere analysing acoustic recordings from 15 locations in Antarctic and Australian waters from 2002 to 2019. A seasonal acoustic presence of fin whales in Antarctic waters from late austral summer to autumn (February to June) with long-term, consistent annual usage areas was identified at the Southern Kerguelen Plateau and Dumont d'Urville sites. In comparison, limited vocal presence of fin whales was observed at the Casey site. In Australian waters, fin whales were seasonally present from austral autumn to mid-spring (May to October) on east and west coasts, with a decadal pattern of acoustic presence observed at Cape Leeuwin, WA. Two migratory pathways are identified, from the Indian sector of Antarctica to the west coast of Australia and from the Pacific sector of Antarctica to the east coast of Australia. The identified seasonal distributions and migratory pathways provide valuable information to aid in monitoring the recovery of this vulnerable sub-species. We suggest the identified distribution and dispersal from the Southern Kerguelen Plateau and Dumont d'Urville sites to the west and east coasts of Australia respectively, as well as the spatial separation between Antarctic sites, provide preliminary evidence of separate sub-populations of the Southern Hemisphere sub-species of fin whale.</t>
  </si>
  <si>
    <t>[Aulich, Meghan G.; McCauley, Robert D.; Erbe, Christine] Curtin Univ, Ctr Marine Sci &amp; Technol, Bentley, WA, Australia; [Miller, Brian S.] Australian Antarctic Div, Kingston, Tas, Australia; [Samaran, Flore] ENSTA Bretagne, Lab STICC, CNRS UMR 6285, Brest, France; [Giorli, Giacomo] Natl Inst Water &amp; Atmospher Res NIWA, Wellington, New Zealand; [Saunders, Benjamin J.] Curtin Univ, Sch Mol &amp; Life Sci, Bentley, WA, Australia</t>
  </si>
  <si>
    <t>Curtin University; Australian Antarctic Division; Universite de Bretagne Occidentale; ENSTA Bretagne; National Institute of Water &amp; Atmospheric Research (NIWA) - New Zealand; Curtin University</t>
  </si>
  <si>
    <t>Aulich, MG (corresponding author), Curtin Univ, Ctr Marine Sci &amp; Technol, Bentley, WA, Australia.</t>
  </si>
  <si>
    <t>Meghan.aulich@hotmail.com</t>
  </si>
  <si>
    <t>Erbe, Christine/AAA-3801-2021; Saunders, Benjamin/J-5220-2013</t>
  </si>
  <si>
    <t>Erbe, Christine/0000-0002-7884-9907; Saunders, Benjamin/0000-0003-1929-518X; Miller, Brian/0000-0001-7615-3044; Aulich, Meghan/0000-0002-4316-8642</t>
  </si>
  <si>
    <t>Australian Antarctic Science Projects [4101, 4102, 4600]; Institut Polaire Francais Paul Emile Victor; NIWA</t>
  </si>
  <si>
    <t>Australian Antarctic Science Projects; Institut Polaire Francais Paul Emile Victor; NIWA</t>
  </si>
  <si>
    <t>The Australian Antarctic Division (AAD) provided underwater acoustic recordings made under the Australian Antarctic Science Projects 4101, 4102 and 4600 and the International Whaling Commission's Southern Ocean Research Partnership (IWC-SORP) Southern Ocean Hydrophone Network (SOHN). The Dumont d'Urville deployments were possible with the support of the Institut Polaire Francais Paul Emile Victor under the program SOHN, AREA V (http://dx.doi.org/10.18142/313). Data was sourced from Australias Integrated Marine Observing System (IMOS) - IMOS enabled by the National Collaborative Research Infrastructure Strategy (NCRIS). It is operated by a consortium of institutions as an unincorporated joint venture, with the University of Tasmania as Lead Agent. Geoscience Australia provided the acoustic data from the Comprehensive Test Ban Treaty Organisation (CTBTO) hydroacoustic station. Dr Matt Pinkerton at NIWA funded the deployment of the two AMARs in the Ross Sea under the Ross Sea Research and Monitoring Programme of the New Zealand's Ministry of Business, Innovation and Employment.</t>
  </si>
  <si>
    <t>MAY 16</t>
  </si>
  <si>
    <t>10.3389/fmars.2022.864153</t>
  </si>
  <si>
    <t>1T2RU</t>
  </si>
  <si>
    <t>WOS:000804583300001</t>
  </si>
  <si>
    <t>Grattepanche, JD; Jeffrey, WH; Gast, RJ; Sanders, RW</t>
  </si>
  <si>
    <t>Grattepanche, Jean-David; Jeffrey, Wade H.; Gast, Rebecca J.; Sanders, Robert W.</t>
  </si>
  <si>
    <t>Diversity of Microbial Eukaryotes Along the West Antarctic Peninsula in Austral Spring</t>
  </si>
  <si>
    <t>picoplankton; nanoplankton; microplankton; Antarctic protists; high-throughput sequencing; RNA community</t>
  </si>
  <si>
    <t>SEA-ICE; COMMUNITY COMPOSITION; MARGUERITE BAY; SOUTHERN-OCEAN; RIBOSOMAL DNA; TOP-DOWN; MARINE; PHYTOPLANKTON; VARIABILITY; ECOSYSTEM</t>
  </si>
  <si>
    <t>During a cruise from October to November 2019, along the West Antarctic Peninsula, between 64.32 and 68.37 degrees S, we assessed the diversity and composition of the active microbial eukaryotic community within three size fractions: micro- (&gt; 20 mu m), nano- (20-5 mu m), and pico-size fractions (5-0.2 mu m). The communities and the environmental parameters displayed latitudinal gradients, and we observed a strong similarity in the microbial eukaryotic communities as well as the environmental parameters between the sub-surface and the deep chlorophyll maximum (DCM) depths. Chlorophyll concentrations were low, and the mixed layer was shallow for most of the 17 stations sampled. The richness of the microplankton was higher in Marguerite Bay (our southernmost stations), compared to more northern stations, while the diversity for the nano- and pico-plankton was relatively stable across latitude. The microplankton communities were dominated by autotrophs, mostly diatoms, while mixotrophs (phototrophs-consuming bacteria and kleptoplastidic ciliates, mostly alveolates, and cryptophytes) were the most abundant and active members of the nano- and picoplankton communities. While phototrophy was the dominant trophic mode, heterotrophy (mixotrophy, phagotrophy, and parasitism) tended to increase southward. The samples from Marguerite Bay showed a distinct community with a high diversity of nanoplankton predators, including spirotrich ciliates, and dinoflagellates, while cryptophytes were observed elsewhere. Some lineages were significantly related-either positively or negatively-to ice coverage (e.g., positive for Pelagophyceae, negative for Spirotrichea) and temperature (e.g., positive for Cryptophyceae, negative for Spirotrichea). This suggests that climate changes will have a strong impact on the microbial eukaryotic community.</t>
  </si>
  <si>
    <t>[Grattepanche, Jean-David; Sanders, Robert W.] Temple Univ, Dept Biol, Philadelphia, PA 19122 USA; [Jeffrey, Wade H.] Univ West Florida, Ctr Environm Diagnosticsand Bioremediat, Pensacola, FL USA; [Gast, Rebecca J.] Woods HoleOceanog Inst, Dept Biol, Pensacola, MA USA</t>
  </si>
  <si>
    <t>Pennsylvania Commonwealth System of Higher Education (PCSHE); Temple University; State University System of Florida; University of West Florida</t>
  </si>
  <si>
    <t>Grattepanche, JD (corresponding author), Temple Univ, Dept Biol, Philadelphia, PA 19122 USA.</t>
  </si>
  <si>
    <t>jd.grattepanche@temple.edu</t>
  </si>
  <si>
    <t>Grattepanche, Jean-David/C-7101-2013; Sanders, Robert/C-1116-2011</t>
  </si>
  <si>
    <t>Grattepanche, Jean-David/0000-0002-1854-3762; Sanders, Robert/0000-0001-7264-1059</t>
  </si>
  <si>
    <t>10.3389/fmicb.2022.844856</t>
  </si>
  <si>
    <t>1R8GK</t>
  </si>
  <si>
    <t>WOS:000803602300001</t>
  </si>
  <si>
    <t>Peterson, CA; Huang, XL; Chen, XH; Yang, P</t>
  </si>
  <si>
    <t>Peterson, Colten A.; Huang, Xianglei; Chen, Xiuhong; Yang, Ping</t>
  </si>
  <si>
    <t>Synergistic Use of Far- and Mid-Infrared Spectral Radiances for Satellite-Based Detection of Polar Ice Clouds Over Ocean</t>
  </si>
  <si>
    <t>MIXED-PHASE; MULTIPLE-SCATTERING; ANTARCTIC ICE; SURFACE; PARAMETERIZATION; CLASSIFICATION; IDENTIFICATION; MICROPHYSICS; ALGORITHM; WATER</t>
  </si>
  <si>
    <t>Cloud phase is an important factor affecting cloud contributions to the polar energy budget. Brightness temperature differences (BTDs) between two mid-infrared (mid-IR) spectral channels are commonly used in satellite remote sensing to determine the cloud phase, but the mid-IR has limitations for cloud phase determination in polar regions. This study explores the synergy between the far- and mid-IR for ice cloud phase determinations over polar oceans. A far-IR BTD test (BTD449-521) is developed based on the spectral variations of both ice cloud scattering and absorption properties in the far-IR dirty window region (400-600 cm(-1) or 16.7-25 mu m). Synthetic IR radiances at 1 cm(-1) spectral resolution are generated using ERA5 reanalysis data for both polar regions. A subset of these spectra is used to compare the ice phase determination skill of the far-IR test with an AIRS-Like mid-IR BTD test (BTD1231-960) for combinations of effective ice particle diameter (D-eff_ice), cloud optical depth (COD), and cloud top pressure (CTP). The far-IR test is performing better for ice clouds with the smallest D-eff_ice that we have studied (20 mu m) due to the sensitivity of far-IR scattering to ice particle size. The mid-IR test was either comparable to or more successful than the far-IR test for ice clouds with large particle sizes. For all D-eff_ice, increasing COD leads to enhanced far-IR BTD signals due to stronger multiple scattering in the far-IR than in the mid-IR. Overall, the variations in far-IR and mid-IR BTD test performance are strongly sensitive to D-eff_ice, followed by COD and CTP.</t>
  </si>
  <si>
    <t>[Peterson, Colten A.; Huang, Xianglei; Chen, Xiuhong] Univ Michigan, Dept Climate &amp; Space Sci &amp; Engn, Ann Arbor, MI 48109 USA; [Yang, Ping] Texas A&amp;M Univ, Dept Atmospher Sci, College Stn, TX USA</t>
  </si>
  <si>
    <t>University of Michigan System; University of Michigan; Texas A&amp;M University System; Texas A&amp;M University College Station</t>
  </si>
  <si>
    <t>Peterson, CA (corresponding author), Univ Michigan, Dept Climate &amp; Space Sci &amp; Engn, Ann Arbor, MI 48109 USA.</t>
  </si>
  <si>
    <t>coltenp@umich.edu</t>
  </si>
  <si>
    <t>Yang, Ping/B-4590-2011; Huang, Xianglei/E-6273-2018; Huang, Xianglei/G-6127-2011</t>
  </si>
  <si>
    <t>Yang, Ping/0000-0001-6803-9903; Peterson, Colten/0000-0003-4904-9959; Huang, Xianglei/0000-0002-7129-614X; Chen, Xiuhong/0000-0002-6860-3276</t>
  </si>
  <si>
    <t>NASA [80NSSC18K0845]; NASA PREFIRE mission [80NSSC18K1485]; University of Wisconsin; NASA FINNEST program [80NSSC19K1331]</t>
  </si>
  <si>
    <t>NASA(National Aeronautics &amp; Space Administration (NASA)); NASA PREFIRE mission; University of Wisconsin; NASA FINNEST program</t>
  </si>
  <si>
    <t>We are thankful to three anonymous reviewers for their thorough comments. The research described in this paper was carried out at the University of Michigan, Ann Arbor. Lead author CAP was supported by the NASA FINNEST program under Grant No. 80NSSC19K1331. XLH and XHC were supported by the NASA PREFIRE mission under Grant No. 80NSSC18K1485 with a subcontract from the University of Wisconsin. PY acknowledges NASA support under Grant No. 80NSSC18K0845.</t>
  </si>
  <si>
    <t>e2021JD035733</t>
  </si>
  <si>
    <t>10.1029/2021JD035733</t>
  </si>
  <si>
    <t>1G3JQ</t>
  </si>
  <si>
    <t>WOS:000795747600001</t>
  </si>
  <si>
    <t>Zeb, L; Teng, XN; Shafiq, M; Dong, YS; Xiu, ZL</t>
  </si>
  <si>
    <t>Zeb, Liaqat; Teng, Xin-Nan; Shafiq, Muhammad; Dong, Yue-Sheng; Xiu, Zhi-Long</t>
  </si>
  <si>
    <t>Simultaneous extraction of DHA- and EPA-rich oil and separation of proteins from Antarctic krill using three-phase partitioning system of cosolvents and organic salt</t>
  </si>
  <si>
    <t>JOURNAL OF CHEMICAL TECHNOLOGY AND BIOTECHNOLOGY</t>
  </si>
  <si>
    <t>Antarctic krill; docosahexaenoic acid; eicosapentaenoic acid; extraction efficiency; three-phase partitioning system; antioxidant</t>
  </si>
  <si>
    <t>POLYUNSATURATED FATTY-ACIDS; EUPHAUSIA-SUPERBA; LIPID EXTRACTION; OUT EXTRACTION; INFLAMMATION; CO2</t>
  </si>
  <si>
    <t>BACKGROUND: The nutritional and functional potential of eicosapentaenoic acid (EPA)- and docosahexaenoic acid (DHA)-rich oil from Antarctic krill has continued to attract attention worldwide. Therefore, a highly effective approach is essential for extracting Antarctic krill's DHA/EPA-rich oil and proteins from wet biomass in the same system. RESULTS: A cosolvent three-phase partitioning system (TPPS) was developed to simultaneously extract DHA/EPA-rich oil and separate proteins (PT) from wet Antarctic krill (Euphausia superba) biomass. The COSMO-RS was used to screen cosolvents for the extraction of EPA and DHA. The TPPS parameters were optimized by response surface methodology using a central-composite design, which consisted of 52% (w/w) of cosolvents (t-butanol:n-hexane (4:6)), 20% (w/w) of ammonium citrate, 500 rpm of stirring speed, 37 degrees C of temperature, and 60 min of extraction time. Under the optimized conditions, the extraction efficiency of EPA and DHA was 95.36 +/- 0.94% and 93.85 +/- 1.31% in the top cosolvents phase, respectively, as well as 86.57 +/- 0.98% of proteins in the middle interface. Compared to supercritical CO2 (SCO2) and three-liquid-phase salting-out extraction system (TLPSOES), the recovery rate of krill oil (KO) extracted by TPPS (96.48 +/- 1.14%) was much higher than that of the SCO2 (67.8%) and of the TLPSOES method (91%). CONCLUSION: This study demonstrates that cosolvent TPPSs can extract krill oil from wet krill biomass with higher extraction efficiency, and that the obtained krill oil showed potential antioxidant effects compared to commercial fish oil. Therefore, the cosolvent TPPS could be an alternative in the nutraceutical industry. (c) 2022 Society of Chemical Industry (SCI).</t>
  </si>
  <si>
    <t>[Zeb, Liaqat; Teng, Xin-Nan; Shafiq, Muhammad; Dong, Yue-Sheng; Xiu, Zhi-Long] Dalian Univ Technol, Sch Bioengn, Dalian, Peoples R China</t>
  </si>
  <si>
    <t>Dalian University of Technology</t>
  </si>
  <si>
    <t>Xiu, ZL (corresponding author), Dalian Univ Technol, Sch Bioengn, 2 Linggong Rd, Dalian 116024, Peoples R China.</t>
  </si>
  <si>
    <t>zhlxiu@dlut.edu.cn</t>
  </si>
  <si>
    <t>Zeb, Liaqat/AAZ-9953-2020</t>
  </si>
  <si>
    <t>Zeb, Liaqat/0000-0002-3657-5362</t>
  </si>
  <si>
    <t>National Natural Science Foundation of China [22078042]</t>
  </si>
  <si>
    <t>National Natural Science Foundation of China(National Natural Science Foundation of China (NSFC))</t>
  </si>
  <si>
    <t>This study was financially supported by the National Natural Science Foundation of China (22078042).</t>
  </si>
  <si>
    <t>0268-2575</t>
  </si>
  <si>
    <t>1097-4660</t>
  </si>
  <si>
    <t>J CHEM TECHNOL BIOT</t>
  </si>
  <si>
    <t>J. Chem. Technol. Biotechnol.</t>
  </si>
  <si>
    <t>10.1002/jctb.7101</t>
  </si>
  <si>
    <t>Biotechnology &amp; Applied Microbiology; Chemistry, Multidisciplinary; Engineering, Environmental; Engineering, Chemical</t>
  </si>
  <si>
    <t>Biotechnology &amp; Applied Microbiology; Chemistry; Engineering</t>
  </si>
  <si>
    <t>D3RX5</t>
  </si>
  <si>
    <t>WOS:000796268200001</t>
  </si>
  <si>
    <t>Chen, JX; Hu, XM; Yang, S; Lin, SH; Li, ZN</t>
  </si>
  <si>
    <t>Chen, Jiaxin; Hu, Xiaoming; Yang, Song; Lin, Shuheng; Li, Zhenning</t>
  </si>
  <si>
    <t>Influence of Convective Heating Over the Maritime Continent on the West Antarctic Climate</t>
  </si>
  <si>
    <t>Maritime Continent; deep convective heating; Amundsen Sea Low; austral fall; Rossby wave</t>
  </si>
  <si>
    <t>GLOBAL CLIMATE; RAINFALL; VARIABILITY; FLOW; SEA; OSCILLATION; CIRCULATION; PACIFIC; IMPACTS; TROPICS</t>
  </si>
  <si>
    <t>The Maritime Continent (MC) is regarded as an important heat source region and the impact of MC heating on the West Antarctic climate which is largely controlled by the Amundsen Sea Low (ASL) is unknown. This study is focused on the impact of intensified convective heating over the MC on the variation of the ASL in the austral fall. It is observed that enhanced MC heating is linked to deepening of the eastern ASL, a feature reproduced successfully by a model experiment in which additional heating is introduced to the MC. The intensified MC heating generates anticyclonic anomalies that result in a Rossby wave source in the upper troposphere to the south of MC. Then the Rossby wave originated from the new source propagates southeastward and deepens the eastern ASL. Additional model experiments prove that the response of ASL to MC heating is stronger than that to central Pacific cooling.</t>
  </si>
  <si>
    <t>[Chen, Jiaxin; Hu, Xiaoming; Yang, Song; Lin, Shuheng] Sun Yat Sen Univ, Sch Atmospher Sci, Zhuhai, Peoples R China; [Chen, Jiaxin; Hu, Xiaoming; Yang, Song; Lin, Shuheng] Southern Marine Sci &amp; Engn Guangdong Lab Zhuhai, Zhuhai, Peoples R China; [Hu, Xiaoming; Yang, Song] Guangdong Prov Key Lab Climate Change &amp; Nat Disas, Zhuhai, Peoples R China; [Li, Zhenning] Hong Kong Univ Sci &amp; Technol, Div Environm &amp; Sustainabil, Hong Kong, Peoples R China</t>
  </si>
  <si>
    <t>Sun Yat Sen University; Southern Marine Science &amp; Engineering Guangdong Laboratory; Southern Marine Science &amp; Engineering Guangdong Laboratory (Zhuhai); Hong Kong University of Science &amp; Technology</t>
  </si>
  <si>
    <t>Yang, S (corresponding author), Sun Yat Sen Univ, Sch Atmospher Sci, Zhuhai, Peoples R China.;Yang, S (corresponding author), Southern Marine Sci &amp; Engn Guangdong Lab Zhuhai, Zhuhai, Peoples R China.;Yang, S (corresponding author), Guangdong Prov Key Lab Climate Change &amp; Nat Disas, Zhuhai, Peoples R China.</t>
  </si>
  <si>
    <t>yangsong3@mail.sysu.edu.cn</t>
  </si>
  <si>
    <t>Lin, Shuheng/0000-0001-8951-7417</t>
  </si>
  <si>
    <t>National Natural Science Foundation of China [42075028]; Guangdong Major Project of Basic and Applied Basic Research [2020B0301030004]; Southern Marine Science and Engineering Guangdong Laboratory (Zhuhai) [SML2021SP302]; Guangdong Province Key Laboratory for Climate Change and Natural Disaster Studies [2020B1212060025]</t>
  </si>
  <si>
    <t>National Natural Science Foundation of China(National Natural Science Foundation of China (NSFC)); Guangdong Major Project of Basic and Applied Basic Research; Southern Marine Science and Engineering Guangdong Laboratory (Zhuhai); Guangdong Province Key Laboratory for Climate Change and Natural Disaster Studies</t>
  </si>
  <si>
    <t>We would thank Prof. Bin Wang of the University of Hawaii for several constructive discussions. This work is funded by the National Natural Science Foundation of China (Grant 42088101), the Guangdong Major Project of Basic and Applied Basic Research (Grant 2020B0301030004), the National Natural Science Foundation of China (Grant 42075028), the Southern Marine Science and Engineering Guangdong Laboratory (Zhuhai) (Grant SML2021SP302), and the Guangdong Province Key Laboratory for Climate Change and Natural Disaster Studies (Grant 2020B1212060025).</t>
  </si>
  <si>
    <t>e2021GL097322</t>
  </si>
  <si>
    <t>10.1029/2021GL097322</t>
  </si>
  <si>
    <t>1D5TA</t>
  </si>
  <si>
    <t>WOS:000793862000001</t>
  </si>
  <si>
    <t>Yin, SR; Hernández-Molina, FJ; Jutzeler, M; Li, JB</t>
  </si>
  <si>
    <t>Yin, Shaoru; Hernandez-Molina, F. Javier; Jutzeler, Martin; Li, Jiabiao</t>
  </si>
  <si>
    <t>Progressive Intensification of Pacific Deep Water Circulation Since the Early Pliocene</t>
  </si>
  <si>
    <t>RISE OCEANIC PLATEAU; ANTARCTIC ICE-SHEET; SEISMIC EXPRESSION; NORTHWEST PACIFIC; EVOLUTION; SOUTH; SEA; STRATIGRAPHY; VOLCANISM; ATLANTIC</t>
  </si>
  <si>
    <t>An important stage in global ocean overturning circulation is the upwelling of the Antarctic Bottom Water into the Pacific Deep Water (PDW). The long-term evolution of PDW circulation, however, is scarcely addressed. We use seismic reflection data and cores from the International Ocean Discovery Program (and its predecessors) in contourites to reconstruct regional deep ocean circulation patterns. Here, we demonstrate that PDW circulation was progressively enhanced at about 4.35, 3.84, 2.16, and 0.97 Ma since the early Pliocene. Coeval growth of volcanic arcs and tectonic uplifts gradually isolated marginal seas from the PDW and, in conjunction with climate cooling, effectively increasing deep-water flux within a shrinking Pacific basin. Regional stratigraphic discontinuities in contourites indicate thresholds in the intensification of ocean circulation.</t>
  </si>
  <si>
    <t>[Yin, Shaoru; Li, Jiabiao] Minist Nat Resources, Inst Oceanog 2, Key Lab Submarine Geosci, Hangzhou, Peoples R China; [Hernandez-Molina, F. Javier] Royal Holloway Univ London, Dept Earth Sci, Egham, Surrey, England; [Jutzeler, Martin] Univ Tasmania, Sch Nat Sci, Ctr Ore Deposit &amp; Earth Sci CODES, Hobart, Tas, Australia</t>
  </si>
  <si>
    <t>Ministry of Natural Resources of the People's Republic of China; University of London; Royal Holloway University London; University of Tasmania</t>
  </si>
  <si>
    <t>Yin, SR (corresponding author), Minist Nat Resources, Inst Oceanog 2, Key Lab Submarine Geosci, Hangzhou, Peoples R China.;Jutzeler, M (corresponding author), Univ Tasmania, Sch Nat Sci, Ctr Ore Deposit &amp; Earth Sci CODES, Hobart, Tas, Australia.</t>
  </si>
  <si>
    <t>shaoru2017@outlook.com; jutzeler@gmail.com</t>
  </si>
  <si>
    <t>; Jutzeler, Martin/D-2090-2012</t>
  </si>
  <si>
    <t>Yin, Shaoru/0000-0002-9406-4827; Jutzeler, Martin/0000-0002-3720-6315; Li, Jiabiao/0000-0003-1807-4043</t>
  </si>
  <si>
    <t>Australia-New Zealand IODP Consortium (ANZIC); National Natural Science Foundation of China [41706043, 41976067]; Scientific Research Fund of the Second Institute of Oceanography, MNR grant [JG2004]; Australian Research Council's LIEF grant [LE160100067]; Australian Research Council [LE160100067] Funding Source: Australian Research Council</t>
  </si>
  <si>
    <t>Australia-New Zealand IODP Consortium (ANZIC); National Natural Science Foundation of China(National Natural Science Foundation of China (NSFC)); Scientific Research Fund of the Second Institute of Oceanography, MNR grant; Australian Research Council's LIEF grant(Australian Research Council); Australian Research Council(Australian Research Council)</t>
  </si>
  <si>
    <t>We thank the International Ocean Discovery Program (IODP), which provided data and samples. This study was conducted in collaboration with The Drifters Research Group at Royal Holloway University of London (UK). MJ thanks the Australia-New Zealand IODP Consortium (ANZIC), which provided Legacy/Special Analytical Funding for this study. National Natural Science Foundation of China Grant 41976067 (SY). National Natural Science Foundation of China Grant 41706043 (SY). Scientific Research Fund of the Second Institute of Oceanography, MNR grant JG2004 (SY). Australian Research Council's LIEF grant LE160100067.</t>
  </si>
  <si>
    <t>e2022GL098051</t>
  </si>
  <si>
    <t>10.1029/2022GL098051</t>
  </si>
  <si>
    <t>1D4VM</t>
  </si>
  <si>
    <t>WOS:000793799800001</t>
  </si>
  <si>
    <t>Takahashi, K; Sahoo, YV; Nakai, Y; Motoyama, H; Motizuki, Y</t>
  </si>
  <si>
    <t>Takahashi, Kazuya; Sahoo, Yu Vin; Nakai, Yoichi; Motoyama, Hideaki; Motizuki, Yuko</t>
  </si>
  <si>
    <t>Annually Resolved Profiles of δ34S and Sulfate in Shallow Ice Core DF01 (Dome Fuji, Antarctica) Spanning the Nineteenth Century and Their Geochemical Implications</t>
  </si>
  <si>
    <t>SULFUR ISOTOPIC COMPOSITION; VOLCANISM; ERUPTIONS; RECORD; LAND; SNOW; SO2</t>
  </si>
  <si>
    <t>We report the results of a high-sensitivity sulfur-isotope (delta S-34) analysis of samples from shallow ice core DF01 from Dome Fuji, East Antarctica, and present chronological profiles of the data with an annual resolution covering the entire nineteenth century. In the delta S-34 and non-sea-salt (nss)-sulfate ([SO42-]nss) profiles, the signals of five well-known nineteenth century volcanic eruptions were confirmed: Krakatau 1883 (and Tarawera 1886), Makian 1861, Cosiguina 1835, Tambora 1815, and Unknown 1809. Due to large influence of sulfate caused by volcanic eruptions in the first half of the nineteenth century, the averages of nss-sulfur-isotope composition (delta S-34(nss)) and [SO42-]nss for the second half (+14.6 parts per thousand and 67.6 mu g/L), calculated after excluding these prominent signals, were found to differ from those of the first half century (+9.1 parts per thousand and 84.1 mu g/L). We also examined anomalous variations other than the five major volcanic signals in the delta S-34 and [SO42-]nss profiles based on not only variations in delta S-34 and [SO42-]nss but also variations in the concentrations of other ions. We then identified the presence of three additional volcanic signals: Babuyan 1831, Galunggung 1822, and an unknown volcanic eruption around 1807. The latter two signals confirmed for the first time in Antarctic ice cores. Other delta S-34 and [SO42-]nss anomalies may be related to an influx of coastal air masses, a nonstratospheric volcanic eruption near Antarctica or an increase in the relative contribution of a stratospheric component to the precipitation in inland Antarctica. These demonstrate the importance of obtaining the annually resolved, continuous delta S-34 profile over a certain period. Plain Language Summary We analyzed delta S-34 and several ion concentrations, such as SO42-, in ice core samples from Antarctica (DF01 core) with approximate annual resolutions for an entire period of the nineteenth century. On the profiles of delta S-34 and SO42-, we found several singular fluctuations other than the prominent volcanic eruptions. Some of them may be unknown volcanic eruption signals in the Antarctic ice cores, but there were also singular points that implied some unique meteorological conditions that are not volcanic eruptions.</t>
  </si>
  <si>
    <t>[Takahashi, Kazuya; Sahoo, Yu Vin; Nakai, Yoichi; Motizuki, Yuko] RIKEN Nishina Ctr, Wako, Saitama, Japan; [Motoyama, Hideaki] Natl Inst Polar Res Res Org Informat &amp; Syst, Tachikawa, Tokyo, Japan</t>
  </si>
  <si>
    <t>RIKEN</t>
  </si>
  <si>
    <t>Takahashi, K (corresponding author), RIKEN Nishina Ctr, Wako, Saitama, Japan.</t>
  </si>
  <si>
    <t>kazuyat@riken.jp</t>
  </si>
  <si>
    <t>Nakai, Yoichi/D-6190-2017; Takahashi, kazuyat/U-3232-2018</t>
  </si>
  <si>
    <t>Takahashi, kazuyat/0000-0002-5104-2601</t>
  </si>
  <si>
    <t>Japan Society for the Promotion of Science [26242016, 17H01119, 21H03594]; Funding Program for Next-Generation World-Leading Researchers (NEXT Program) [GR098]; Grants-in-Aid for Scientific Research [21H03594, 26242016, 17H01119] Funding Source: KAKEN</t>
  </si>
  <si>
    <t>Japan Society for the Promotion of Science(Ministry of Education, Culture, Sports, Science and Technology, Japan (MEXT)Japan Society for the Promotion of Science); Funding Program for Next-Generation World-Leading Researchers (NEXT Program)(Ministry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</si>
  <si>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Dome Fuji drilling team and the JARE-42 party. We also thank all members who participated in sampling the DF01 core at National Institute of Polar Research (NIPR) between 2004 and 2009. This study was supported by Grants-in-Aid for Scientific Research (A) (Nos. 26242016 and 17H01119) and (B) (No. 21H03594) from the Japan Society for the Promotion of Science. Yuko Motizuki acknowledges support from the Funding Program for Next-Generation World-Leading Researchers (NEXT Program, Grant No. GR098) initiated by the Council for Science and Technology Policy. The authors sincerely appreciate and value the constructive comments and contributions of all reviewers for the improvement of this manuscript.</t>
  </si>
  <si>
    <t>e2021JD036137</t>
  </si>
  <si>
    <t>10.1029/2021JD036137</t>
  </si>
  <si>
    <t>0X0EQ</t>
  </si>
  <si>
    <t>WOS:000789390100001</t>
  </si>
  <si>
    <t>Zheng, L; Cheng, X; Chen, ZQ; Wang, SY; Liang, Q; Wang, K</t>
  </si>
  <si>
    <t>Zheng, Lei; Cheng, Xiao; Chen, Zhuoqi; Wang, Shaoyin; Liang, Qi; Wang, Kang</t>
  </si>
  <si>
    <t>Global Snowmelt Onset Reflects Climate Variability: Insights from Spaceborne Radiometer Observations</t>
  </si>
  <si>
    <t>JOURNAL OF CLIMATE</t>
  </si>
  <si>
    <t>Antarctica; Arctic; Remote sensing; Climate variability</t>
  </si>
  <si>
    <t>ARCTIC SEA-ICE; PASSIVE-MICROWAVE; INTERANNUAL VARIABILITY; SOUTHERN OSCILLATION; MELT SEASON; FREEZE-UP; TEMPERATURE; ANTARCTICA; DURATION; EURASIA</t>
  </si>
  <si>
    <t>Snowmelt is a critical component in the cryosphere and has a direct impact on Earth's energy and water budget. Here, a 40-yr integrated melt onset (MO) dataset over sea ice, ice sheets, and terrestrial snow is compiled from spaceborne microwave radiometers and ERA5, allowing an overall assessment of the cryosphere. Results suggest that MO in both hemispheres shows latitudinal and vertical zonalities. The global cryosphere presented a trend toward earlier MO (-2 days decade(-1)) with hotpots distributed at the Northern Hemisphere high latitudes where the warming rate is much higher than that at lower latitudes. Overall, variations in MO showed a similar pattern to that in near-surface temperature. The advance of MO has been slowing down since the 1990s and no significant trend was observed during the so-called warming hiatus period (1998-2012). Regionally, climatic linkage analyses suggest the local MO variations were associated with different climate indices. MO in the pan-Arctic region is related with the Arctic Oscillation and North Atlantic Oscillation, while that in the pan-Antarctic region is associated with El Nino-Southern Oscillation and the southern annular mode. Occasionally, abnormal MO occurs as a result of extreme weather conditions. In February 2018, abnormal early melt events that occurred in the Arctic Ocean are found to be linked with the warm southerly flow due to sudden stratospheric warming. These findings suggest the satellite-based MO allows examining the dynamics and extremes in the climate system, both regionally and globally.</t>
  </si>
  <si>
    <t>[Zheng, Lei; Cheng, Xiao; Chen, Zhuoqi; Wang, Shaoyin; Liang, Qi] Sun Yat Sen Univ, Sch Geospatial Engn &amp; Sci, Guangzhou, Peoples R China; [Zheng, Lei; Cheng, Xiao; Chen, Zhuoqi; Wang, Shaoyin; Liang, Qi] Southern Marine Sci &amp; Engn Guangdong Lab Zhuhai, Zhuhai, Peoples R China; [Zheng, Lei; Cheng, Xiao; Chen, Zhuoqi; Wang, Shaoyin; Liang, Qi] Univ Corp Polar Res, Beijing, Peoples R China; [Wang, Kang] East China Normal Univ, Sch Geog Sci, Shanghai, Peoples R China</t>
  </si>
  <si>
    <t>Sun Yat Sen University; Southern Marine Science &amp; Engineering Guangdong Laboratory; Southern Marine Science &amp; Engineering Guangdong Laboratory (Zhuhai); East China Normal University</t>
  </si>
  <si>
    <t>Cheng, X (corresponding author), Sun Yat Sen Univ, Sch Geospatial Engn &amp; Sci, Guangzhou, Peoples R China.;Cheng, X (corresponding author), Southern Marine Sci &amp; Engn Guangdong Lab Zhuhai, Zhuhai, Peoples R China.;Cheng, X (corresponding author), Univ Corp Polar Res, Beijing, Peoples R China.</t>
  </si>
  <si>
    <t>chengxiao9@mail.sysu.edu.cn</t>
  </si>
  <si>
    <t>Wang, Kang/J-7351-2019; Liang, Qi/AAI-4973-2020</t>
  </si>
  <si>
    <t>Wang, Kang/0000-0003-3416-572X;</t>
  </si>
  <si>
    <t>National Natural Science Foundation of China [42006192]; Innovation Group Project of Southern Marine Science and Engineering Guangdong Laboratory (Zhuhai) [311021008]; China Postdoctoral Science Foundation [2020M683054, 2021T140756]; National Key Research and Development Program of China [2019YFC1509104]</t>
  </si>
  <si>
    <t>National Natural Science Foundation of China(National Natural Science Foundation of China (NSFC)); Innovation Group Project of Southern Marine Science and Engineering Guangdong Laboratory (Zhuhai); China Postdoctoral Science Foundation(China Postdoctoral Science Foundation); National Key Research and Development Program of China</t>
  </si>
  <si>
    <t>We thank the NASA DAAC at the NSIDC for providing the passive microwave datasets and sea ice concentration product (SMMR, https://n5eil01u.ecs.nsidc.org/PM/NSIDC-0071.001; SSM/I and SSMIS, https://n5eil01u.ecs.nsidc.org/DP1/PM/NSIDC-0032.002; Bootstrap sea ice concentration, https://n5eil01u.ecs.nsidc.org/PM/NSIDC-0079.003). The European Centre for Medium-Range Weather Forecasts (ECMWF) is thanked for providing the ERA5 data. Sea ice AWS observations are obtained from the buoys deployed by the International Arctic Buoy Programme (IABP) (http://iabp.apl.washington.edu/). Measurements from the Greenland Ice Sheet AWS are provided by the Programme for Monitoring of the Greenland Ice Sheet (PROMICE) (https://www.promice.dk/). Land surface AWS observations are obtained from the National Oceanic and Atmospheric Administration (https://gis.ncdc.noaa.gov/maps/ncei). This study was supported by the National Natural Science Foundation of China (Grant 42006192), the Innovation Group Project of Southern Marine Science and Engineering Guangdong Laboratory (Zhuhai) (311021008), the China Postdoctoral Science Foundation (2020M683054 and 2021T140756), and the National Key Research and Development Program of China (Grant 2019YFC1509104). The authors declare that they have no conflict of interest.</t>
  </si>
  <si>
    <t>45 BEACON ST, BOSTON, MA 02108-3693 USA</t>
  </si>
  <si>
    <t>0894-8755</t>
  </si>
  <si>
    <t>1520-0442</t>
  </si>
  <si>
    <t>J CLIMATE</t>
  </si>
  <si>
    <t>J. Clim.</t>
  </si>
  <si>
    <t>MAY 15</t>
  </si>
  <si>
    <t>10.1175/JCLI-D-21-0265.1</t>
  </si>
  <si>
    <t>1J5GA</t>
  </si>
  <si>
    <t>WOS:000797946000002</t>
  </si>
  <si>
    <t>Santoso, A; England, MH; Kajtar, JB; Cai, WJ</t>
  </si>
  <si>
    <t>Santoso, Agus; England, Matthew H.; Kajtar, Jules B.; Cai, Wenju</t>
  </si>
  <si>
    <t>Indonesian Throughflow Variability and Linkage to ENSO and IOD in an Ensemble of CMIP5 Models</t>
  </si>
  <si>
    <t>Indian Ocean; Pacific Ocean; El Nino; ENSO; La Nina; Ocean circulation; Ocean dynamics; Climate change; Climate variability; Climate models; Ocean models; Reanalysis data; Interannual variability; Oceanic variability; Tropical variability; Maritime Continent</t>
  </si>
  <si>
    <t>INDIAN-OCEAN DIPOLE; INTERANNUAL VARIABILITY; CLIMATE VARIABILITY; VERTICAL STRUCTURE; PACIFIC; SEAS; TRANSPORT; SCALE</t>
  </si>
  <si>
    <t>Understanding variability of the Indonesian Throughflow (ITF) and its links to El Nino-Southern Oscillation (ENSO) and the Indian Ocean dipole (IOD), and how they are represented across climate models constitutes an important step toward improved future climate projections. These issues are examined using 20 models from phase 5 of the Coupled Model Intercomparison Project (CMIP5) and the SODA-2.2.4 ocean reanalysis. It is found that the CMIP5 models overall simulate aspects of ITF variability, such as spectral and vertical structure, that are consistent with the reanalysis, although intermodel differences are substantial. The ITF variability is shown to exhibit two dominant principal vertical structures: a surface-intensified transport anomaly (ITFM1) and an anomalous transport characterized by opposing flows in the surface and subsurface (ITFM2). In the CMIP5 models and reanalysis, ITFM2 is linked to both ENSO and the IOD via anomalous Indo-Pacific Walker circulation. The driver of ITFM1 however differs between the reanalysis and the CMIP5 models. In the reanalysis ITFM1 is a delayed response to ENSO, whereas in the CMIP5 models it is linked to the IOD associated with the overly strong IOD amplitude bias. Further, the CMIP5 ITF variability tends to be weaker than in the reanalysis, due to a tendency for the CMIP5 models to simulate a delayed IOD in response to ENSO. The importance in considering the vertical structure of ITF variability in understanding ENSO and IOD impact is further underscored by the close link between greenhouse-forced changes in ENSO variability and projected changes in subsurface ITF variability.</t>
  </si>
  <si>
    <t>[Santoso, Agus; England, Matthew H.] Univ New South Wales, ARC Ctr Excellence Climate Extremes, Sydney, Australia; [Santoso, Agus; England, Matthew H.] Univ New South Wales, Climate Change Res Ctr, Sydney, Australia; [Cai, Wenju] Ctr Southern Hemisphere Oceans Res CSHOR, CSIRO Oceans &amp; Atmosphere, Hobart, Tas, Australia; [Kajtar, Jules B.] Univ Tasmania, Inst Marine &amp; Antarctic Studies, Hobart, Tas, Australia; [Kajtar, Jules B.] Univ Tasmania, ARC Ctr Excellence Climate Extremes, Hobart, Tas, Australia; [Cai, Wenju] Ocean Univ China, Inst Adv Ocean Studies, Key Lab Phys Oceanog, Qingdao, Peoples R China; [Cai, Wenju] Qingdao Natl Lab Marine Sci &amp; Technol, Qingdao, Peoples R China</t>
  </si>
  <si>
    <t>University of New South Wales Sydney; University of New South Wales Sydney; Commonwealth Scientific &amp; Industrial Research Organisation (CSIRO); University of Tasmania; University of Tasmania; Ocean University of China; Laoshan Laboratory</t>
  </si>
  <si>
    <t>Santoso, A (corresponding author), Univ New South Wales, ARC Ctr Excellence Climate Extremes, Sydney, Australia.</t>
  </si>
  <si>
    <t>a.santoso@unsw.edu.au</t>
  </si>
  <si>
    <t>Cai, Wei-Jun/C-1361-2013; England, Matthew/A-7539-2011; Santoso, Agus/J-7350-2012; Kajtar, Jules B./A-5897-2016; Santoso, Agus/P-1918-2019; cai, wenju/C-2864-2012</t>
  </si>
  <si>
    <t>England, Matthew/0000-0001-9696-2930; Kajtar, Jules B./0000-0003-0114-6610; Santoso, Agus/0000-0001-7749-8124; cai, wenju/0000-0001-6520-0829</t>
  </si>
  <si>
    <t>Australian Research Council (ARC); Centre for Southern Hemisphere Oceans Research (CSHOR); QNLM; CSIRO; Australian Government's National Environmental Science Program (NESP); ARC's Centre of Excellence for Climate Extremes [CE170100023]</t>
  </si>
  <si>
    <t>Australian Research Council (ARC)(Australian Research Council); Centre for Southern Hemisphere Oceans Research (CSHOR); QNLM; CSIRO(Commonwealth Scientific &amp; Industrial Research Organisation (CSIRO)); Australian Government's National Environmental Science Program (NESP)(Australian Government); ARC's Centre of Excellence for Climate Extremes</t>
  </si>
  <si>
    <t>The authors thank three anonymous reviewers who provided constructive feedback that led to significant improvements to the manuscript. This research is supported by the Australian Research Council (ARC). AS, WC, and MHE are supported by the Centre for Southern Hemisphere Oceans Research (CSHOR), a joint research center between QNLM and CSIRO, and by the Australian Government's National Environmental Science Program (NESP). JBK is supported by the ARC's Centre of Excellence for Climate Extremes (CE170100023).</t>
  </si>
  <si>
    <t>10.1175/JCLI-D-21-0485.1</t>
  </si>
  <si>
    <t>WOS:000797946000015</t>
  </si>
  <si>
    <t>Khokhlov, V; Lukin, V; Khokhlov, S</t>
  </si>
  <si>
    <t>Khokhlov, Vladimir; Lukin, Valery; Khokhlov, Sergey</t>
  </si>
  <si>
    <t>Modelling full-colour images of Earth: simulation of radiation brightness field of Earth's atmosphere and underlying surface</t>
  </si>
  <si>
    <t>ANNALS OF GIS</t>
  </si>
  <si>
    <t>Albedo; the earth colour images; earth's atmosphere; satellite; geostationary orbits</t>
  </si>
  <si>
    <t>This article is dedicated to the problem of realistic colour rendering of space object images using the tools of computer graphics. In the form of a short essay, the authors describe the essence, sources and functionality of modern graphics applications. Particular attention is paid to the application of modern graphics in space science. The specific purpose of the study is the use of computer graphics in the field of remote sensing of the Earth's surface. This article describes a method for synthesizing images to develop realistic 3D models of colour Earth images in the visible spectral range, observed from geostationary orbits. The method is based on the improved model of atmospheric radiation for arbitrary sighting conditions in an inhomogeneous spherical atmosphere. Physical models of horizontally inhomogeneous distributions of atmospheric density, temperature and albedo of the Earth were improved. All calculations were performed in accordance with the model of molecular scattering of radiation in a spherical atmosphere, taking into account sunlight forward-scattering and reflection from the planet's surface. This allows us to obtain images of the Earth in its various phases, observed from arbitrary heights. The obtained theoretical colour images of the Earth were compared with black and white images from modern geostationary satellites.</t>
  </si>
  <si>
    <t>[Khokhlov, Vladimir; Lukin, Valery] Arctic &amp; Antarctic Res Inst, Russian Antarctic expedit, St Petersburg, Russia; [Khokhlov, Sergey] St Petersburg Min Univ, Min Engn Fac, St Petersburg, Russia</t>
  </si>
  <si>
    <t>Arctic &amp; Antarctic Research Institute; Saint Petersburg Mining University</t>
  </si>
  <si>
    <t>Khokhlov, S (corresponding author), St Petersburg Min Univ, Min Engn Fac, St Petersburg, Russia.</t>
  </si>
  <si>
    <t>khokhlov_sv@pers.spmi.ru</t>
  </si>
  <si>
    <t>Khokhlov, Sergey/AAG-5849-2019</t>
  </si>
  <si>
    <t>Khokhlov, Sergey/0000-0003-1040-8328</t>
  </si>
  <si>
    <t>Spanish MINECO [AYA2017-84089, 2021 FSRWW-2020-0014]</t>
  </si>
  <si>
    <t>Spanish MINECO(Spanish Government)</t>
  </si>
  <si>
    <t>AcknowledgementsThis research has made use of the SVO Filter Profile Service (http://svo2.cab.inta-csic.es/theory/fps/) supported by the Spanish MINECO through grant AYA2017-84089.The research was performed at the expense of the subsidy for the state assignment in the field of scientific activity for 2021 #FSRWW-2020-0014.The authors would like to thank anonymous reviewers for their constructive comments on an earlier version of this paper.</t>
  </si>
  <si>
    <t>TAYLOR &amp; FRANCIS LTD</t>
  </si>
  <si>
    <t>ABINGDON</t>
  </si>
  <si>
    <t>2-4 PARK SQUARE, MILTON PARK, ABINGDON OR14 4RN, OXON, ENGLAND</t>
  </si>
  <si>
    <t>1947-5683</t>
  </si>
  <si>
    <t>1947-5691</t>
  </si>
  <si>
    <t>ANN GIS</t>
  </si>
  <si>
    <t>Ann. GIS</t>
  </si>
  <si>
    <t>JAN 2</t>
  </si>
  <si>
    <t>10.1080/19475683.2022.2064911</t>
  </si>
  <si>
    <t>Geography; Geography, Physical; Remote Sensing</t>
  </si>
  <si>
    <t>Geography; Physical Geography; Remote Sensing</t>
  </si>
  <si>
    <t>8P8HE</t>
  </si>
  <si>
    <t>WOS:000892298000001</t>
  </si>
  <si>
    <t>Moore, JL; Terhune, JM</t>
  </si>
  <si>
    <t>Moore, Jennifer L.; Terhune, John M.</t>
  </si>
  <si>
    <t>Resonance plays a secondary role in amplifying underwater vocalizations of Weddell seals (Leptonychotes weddellii)</t>
  </si>
  <si>
    <t>MARINE MAMMAL SCIENCE</t>
  </si>
  <si>
    <t>call amplitudes; Leptonychotes weddellii; phocid; resonance; seals; underwater vocalizations; Weddell seals</t>
  </si>
  <si>
    <t>PAGOPHILUS-GROENLANDICUS; HARP SEAL; SOUND; CALLS; AIR; COMMUNICATION; MODELS</t>
  </si>
  <si>
    <t>During the breeding season, male Weddell seals (Leptonychotes weddellii) defend underwater territories using high amplitude trill vocalizations (some &gt;190 dB re 1 mu Pa-m). The source-filter theory states that the characteristics of vocalizations are a product of both the sound produced at the source and the effects of soundwave reflection within the vocal tract. This study aimed to determine the relative influence of reflection (resonance). Weddell seal trills (tonal descending frequency sweeps ranging from &gt;20 to &lt;0.1 kHz) offered a unique opportunity to look for resonance in the spectral patterns, appearing as periodic peaks in amplitude over short frequency intervals. Additionally, distributions of frequencies with absolute maximum amplitude (FMA) were tested against random distributions to look for frequencies where FMAs occur more frequently than by chance. All methods exhibited evidence of resonance at 0.45-0.56 and 2.25-2.83 kHz. These frequencies would resonate in closed-at-both-ends tubes with lengths of 32-40 and 6-8 cm, respectively. These lengths approximate the likely sizes of the trachea and larynx or pharynx respectively. The amplitudes of the underwater calls of Weddell seals primarily result from the amplitude generated by the sound source in the larynx with some additional amplitude associated with resonance in the vocal tract.</t>
  </si>
  <si>
    <t>[Moore, Jennifer L.; Terhune, John M.] Univ New Brunswick, Dept Biol Sci, 100 Tucker Pk Rd, St John, NB E2L 4L5, Canada</t>
  </si>
  <si>
    <t>University of New Brunswick</t>
  </si>
  <si>
    <t>Terhune, JM (corresponding author), Univ New Brunswick, Dept Biol Sci, 100 Tucker Pk Rd, St John, NB E2L 4L5, Canada.</t>
  </si>
  <si>
    <t>terhune@unb.ca</t>
  </si>
  <si>
    <t>Moore, Jennifer/0000-0001-7706-5716; Terhune, John/0000-0002-2661-7389</t>
  </si>
  <si>
    <t>Australian Antarctic Division; Natural Sciences and Engineering Research Council of Canada</t>
  </si>
  <si>
    <t>Australian Antarctic Division; Natural Sciences and Engineering Research Council of Canada(Natural Sciences and Engineering Research Council of Canada (NSERC)CGIAR)</t>
  </si>
  <si>
    <t>0824-0469</t>
  </si>
  <si>
    <t>1748-7692</t>
  </si>
  <si>
    <t>MAR MAMMAL SCI</t>
  </si>
  <si>
    <t>Mar. Mamm. Sci.</t>
  </si>
  <si>
    <t>10.1111/mms.12935</t>
  </si>
  <si>
    <t>Marine &amp; Freshwater Biology; Zoology</t>
  </si>
  <si>
    <t>5E3DT</t>
  </si>
  <si>
    <t>WOS:000795164000001</t>
  </si>
  <si>
    <t>Filippini, JP; Gambrel, AE; Rahlin, AS; Young, EY; Ade, PAR; Amiri, M; Benton, SJ; Bergman, AS; Bihary, R; Bock, JJ; Bond, JR; Bonetti, JA; Bryan, SA; Chiang, HC; Contaldi, CR; Doré, O; Duivenvoorden, AJ; Eriksen, HK; Farhang, M; Fraisse, AA; Freese, K; Galloway, M; Gandilo, NN; Ganga, K; Gualtieri, R; Gudmundsson, JE; Halpern, M; Hartley, J; Hasselfield, M; Hilton, G; Holmes, W; Hristov, VV; Huang, Z; Irwin, KD; Jones, WC; Karakci, A; Kuo, CL; Kermish, ZD; Leung, JSY; Li, S; Mak, DSY; Mason, PV; Megerian, K; Moncelsi, L; Morford, TA; Nagy, JM; Netterfield, CB; Nolta, M; O'Brient, R; Osherson, B; Padilla, IL; Racine, B; Reintsema, C; Ruhl, JE; Runyan, MC; Ruud, TM; Shariff, JA; Shaw, EC; Shiu, C; Soler, JD; Song, X; Trangsrud, A; Tucker, C; Tucker, RS; Turner, AD; van der List, JF; Weber, AC; Wehus, IK; Wen, S; Wiebe, DV</t>
  </si>
  <si>
    <t>Filippini, J. P.; Gambrel, A. E.; Rahlin, A. S.; Young, E. Y.; Ade, P. A. R.; Amiri, M.; Benton, S. J.; Bergman, A. S.; Bihary, R.; Bock, J. J.; Bond, J. R.; Bonetti, J. A.; Bryan, S. A.; Chiang, H. C.; Contaldi, C. R.; Dore, O.; Duivenvoorden, A. J.; Eriksen, H. K.; Farhang, M.; Fraisse, A. A.; Freese, K.; Galloway, M.; Gandilo, N. N.; Ganga, K.; Gualtieri, R.; Gudmundsson, J. E.; Halpern, M.; Hartley, J.; Hasselfield, M.; Hilton, G.; Holmes, W.; Hristov, V. V.; Huang, Z.; Irwin, K. D.; Jones, W. C.; Karakci, A.; Kuo, C. L.; Kermish, Z. D.; Leung, J. S-Y; Li, S.; Mak, D. S. Y.; Mason, P., V; Megerian, K.; Moncelsi, L.; Morford, T. A.; Nagy, J. M.; Netterfield, C. B.; Nolta, M.; O'Brient, R.; Osherson, B.; Padilla, I. L.; Racine, B.; Reintsema, C.; Ruhl, J. E.; Runyan, M. C.; Ruud, T. M.; Shariff, J. A.; Shaw, E. C.; Shiu, C.; Soler, J. D.; Song, X.; Trangsrud, A.; Tucker, C.; Tucker, R. S.; Turner, A. D.; van der List, J. F.; Weber, A. C.; Wehus, I. K.; Wen, S.; Wiebe, D., V</t>
  </si>
  <si>
    <t>In-Flight Gain Monitoring of SPIDER's Transition-Edge Sensor Arrays</t>
  </si>
  <si>
    <t>JOURNAL OF LOW TEMPERATURE PHYSICS</t>
  </si>
  <si>
    <t>Cosmic microwave background; Transition edge sensor; Bolometer</t>
  </si>
  <si>
    <t>Experiments deploying large arrays of transition-edge sensors (TESs) often require a robust method to monitor gain variations with minimal loss of observing time. We propose a sensitive and non-intrusive method for monitoring variations in TES responsivity using small square waves applied to the TES bias. We construct an estimator for a TES's small-signal power response from its electrical response that is exact in the limit of strong electrothermal feedback. We discuss the application and validation of this method using flight data from SPIDER, a balloon-borne telescope that observes the polarization of the cosmic microwave background with more than 2000 TESs. This method may prove useful for future balloon- and space-based instruments, where observing time and ground control bandwidth are limited.</t>
  </si>
  <si>
    <t>[Filippini, J. P.; Osherson, B.; Shaw, E. C.] Univ Illinois, Dept Phys, Urbana, IL 61820 USA; [Filippini, J. P.] Univ Illinois, Dept Astron, Urbana, IL 61820 USA; [Gambrel, A. E.; Rahlin, A. S.] Univ Chicago, Kavli Inst Cosmol Phys, Chicago, IL 60637 USA; [Rahlin, A. S.] Fermilab Natl Accelerator Lab, Batavia, IL 60510 USA; [Young, E. Y.; Irwin, K. D.; Kuo, C. L.] Stanford Univ, Dept Phys, Stanford, CA 94305 USA; [Young, E. Y.; Irwin, K. D.] SLAC Natl Accelerator Lab, Menlo Pk, CA USA; [Ade, P. A. R.; Tucker, C.] Cardiff Univ, Sch Phys &amp; Astron, Cardiff, Wales; [Amiri, M.; Halpern, M.; Wiebe, D., V] Univ British Columbia, Dept Phys &amp; Astron, Vancouver, BC, Canada; [Benton, S. J.; Bergman, A. S.; Duivenvoorden, A. J.; Fraisse, A. A.; Jones, W. C.; Kermish, Z. D.; Li, S.; Shiu, C.; Song, X.; van der List, J. F.] Princeton Univ, Dept Phys, Princeton, NJ 08544 USA; [Bihary, R.; Ruhl, J. E.; Wen, S.] Case Western Reserve Univ, Dept Phys, Cleveland, OH 44106 USA; [Bock, J. J.; Dore, O.; Hristov, V. V.; Mason, P., V; Moncelsi, L.; Morford, T. A.; Runyan, M. C.; Trangsrud, A.; Tucker, R. S.] CALTECH, Div Phys Math &amp; Astron, Pasadena, CA 91125 USA; [Bock, J. J.; Bonetti, J. A.; Dore, O.; Holmes, W.; Megerian, K.; O'Brient, R.; Trangsrud, A.; Turner, A. D.; Weber, A. C.] Jet Prop Lab, Pasadena, CA USA; [Bond, J. R.; Farhang, M.; Huang, Z.; Nolta, M.; Shariff, J. A.] Univ Toronto, Canadian Inst Theoret Astrophys, Toronto, ON, Canada; [Bryan, S. A.] Arizona State Univ, Sch Elect Comp &amp; Energy Engn, Tempe, AZ USA; [Chiang, H. C.] McGill Univ, Dept Phys, Montreal, PQ, Canada; [Chiang, H. C.] Univ KwaZulu Natal, Sch Math Stat &amp; Comp Sci, Durban, South Africa; [Contaldi, C. R.; Mak, D. S. Y.] Imperial Coll London, Blackett Lab, London, England; [Duivenvoorden, A. J.; Freese, K.; Gudmundsson, J. E.] Stockholm Univ, Oskar Klein Ctr Cosmoparticle Phys, Dept Phys, Stockholm, Sweden; [Eriksen, H. K.; Galloway, M.; Karakci, A.; Racine, B.; Ruud, T. M.; Wehus, I. K.] Univ Oslo, Inst Theoret Astrophys, Oslo, Norway; [Farhang, M.] Shahid Beheshti Univ, Dept Phys, Tehran, Iran; [Farhang, M.; Leung, J. S-Y; Netterfield, C. B.; Padilla, I. L.] Univ Toronto, Dept Astron &amp; Astrophys, Toronto, ON, Canada; [Freese, K.] Univ Texas Austin, Dept Phys, Austin, TX 78712 USA; [Gandilo, N. N.] Steward Observ, Tucson, AZ USA; [Ganga, K.] Univ Paris Diderot, Sorbonne Paris Cite, Obs Paris, CEA Irfu,CNRS IN2P3,APC, Paris, France; [Ganga, K.] Univ Paris Diderot, Sorbonne Paris Cite, Obs Paris, CEA Irfu,CNRS IN2P3, Paris, France; [Gualtieri, R.] Argonne Natl Lab, High Energy Phys Div, Argonne, IL 60439 USA; [Hartley, J.; Netterfield, C. B.] Univ Toronto, Dept Phys, Toronto, ON, Canada; [Hasselfield, M.] Penn State Univ, Dept Astron &amp; Astrophys, University Pk, PA 16802 USA; [Hilton, G.; Reintsema, C.] NIST, Boulder, CO USA; [Leung, J. S-Y] Univ Toronto, Dunlap Inst Astron &amp; Astrophys, Toronto, ON, Canada; [Li, S.] Princeton Univ, Dept Mech &amp; Aerosp Engn, Princeton, NJ 08544 USA; [Nagy, J. M.] Washington Univ, Dept Phys, St Louis, MO 63130 USA; [Nagy, J. M.] Washington Univ, McDonnell Ctr Space Sci, St Louis, MO 63110 USA; [Padilla, I. L.] Johns Hopkins Univ, Dept Phys &amp; Astron, Baltimore, MD 21218 USA; [Soler, J. D.] Max Planck Inst Astron, Heidelberg, Germany</t>
  </si>
  <si>
    <t>University of Illinois System; University of Illinois Urbana-Champaign; University of Illinois System; University of Illinois Urbana-Champaign; University of Chicago; United States Department of Energy (DOE); University of Chicago; Fermi National Accelerator Laboratory; Stanford University; Stanford University; United States Department of Energy (DOE); SLAC National Accelerator Laboratory; Cardiff University; University of British Columbia; Princeton University; University System of Ohio; Case Western Reserve University; California Institute of Technology; National Aeronautics &amp; Space Administration (NASA); NASA Jet Propulsion Laboratory (JPL); University of Toronto; Arizona State University; Arizona State University-Tempe; McGill University; University of Kwazulu Natal; Imperial College London; Oskar Klein Centre; Stockholm University; University of Oslo; Shahid Beheshti University; University of Toronto; University of Texas System; University of Texas Austin; Universite Paris Saclay; Universite PSL; Observatoire de Paris; CEA; Centre National de la Recherche Scientifique (CNRS); Universite Paris Cite; CNRS - National Institute of Nuclear and Particle Physics (IN2P3); Universite Paris Saclay; Universite PSL; Observatoire de Paris; Universite Paris Cite; CEA; Centre National de la Recherche Scientifique (CNRS); CNRS - National Institute of Nuclear and Particle Physics (IN2P3); United States Department of Energy (DOE); Argonne National Laboratory; University of Toronto; Pennsylvania Commonwealth System of Higher Education (PCSHE); Pennsylvania State University; Pennsylvania State University - University Park; National Institute of Standards &amp; Technology (NIST) - USA; University of Toronto; Princeton University; Washington University (WUSTL); Washington University (WUSTL); Johns Hopkins University; Max Planck Society</t>
  </si>
  <si>
    <t>Filippini, JP (corresponding author), Univ Illinois, Dept Phys, Urbana, IL 61820 USA.;Filippini, JP (corresponding author), Univ Illinois, Dept Astron, Urbana, IL 61820 USA.</t>
  </si>
  <si>
    <t>jpf@illinois.edu</t>
  </si>
  <si>
    <t>Ruhl, John/HHS-2212-2022; Huang, Zhiqi/JVN-7317-2024; Moncelsi, Lorenzo/AAU-1009-2020; Gualtieri, Riccardo/AAH-2961-2019; jones, william C/AGJ-6132-2022</t>
  </si>
  <si>
    <t>Ruhl, John/0000-0001-5875-4751; Huang, Zhiqi/0000-0002-1506-1063; Moncelsi, Lorenzo/0000-0002-4242-3015; Gualtieri, Riccardo/0000-0003-4245-2315; jones, william C/0000-0002-3636-1241; Contaldi, Carlo/0000-0001-7285-0707; Tucker, Carole/0000-0002-1851-3918; Racine, Benjamin/0000-0001-8861-3052; Leung, Jason/0000-0001-7116-3710; Nagy, Johanna/0000-0002-2036-7008; Irwin, Kent/0000-0002-2998-9743; Galloway, Mathew/0000-0001-9279-137X; Duivenvoorden, Adri/0000-0003-2856-2382; Li, Lun/0000-0002-8896-911X</t>
  </si>
  <si>
    <t>National Aeronautics and Space Administration through the Science Mission Directorate [NNX07AL64G, NNX12AE95G, NNX17AC55G, 80NSSC21K1986]; National Science Foundation [PLR-1043515]; Natural Sciences and Engineering Research Council; Canadian Space Agency; Research Council of Norway; Swedish Research Council through the Oskar Klein Centre [638-2013-8993]; Swedish Research Council [2019-93959]; Swedish Space Agency [139/17]; University of Toronto; Canada Foundation for Innovation; British Columbia Knowledge Development Fund; David and Lucile Packard Foundation; UKRI Consolidated Grants [ST/P000762/1, ST/N000838/1, ST/T000791/1]; David Dunlap family; STFC [ST/T000791/1, ST/L00044X/1, ST/N000838/1, ST/P000762/1] Funding Source: UKRI</t>
  </si>
  <si>
    <t>National Aeronautics and Space Administration through the Science Mission Directorate;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Swedish Research Council(Swedish Research Council); Swedish Space Agency; University of Toronto(University of Toronto); Canada Foundation for Innovation(Canada Foundation for InnovationCGIARSpanish Government); British Columbia Knowledge Development Fund; David and Lucile Packard Foundation(The David &amp; Lucile Packard Foundation); UKRI Consolidated Grants; David Dunlap family; STFC(UK Research &amp; Innovation (UKRI)Science &amp; Technology Facilities Council (STFC))</t>
  </si>
  <si>
    <t>Spider is supported in the U.S. by the National Aeronautics and Space Administration under grants NNX07AL64G, NNX12AE95G, NNX17AC55G, and 80NSSC21K1986 issued through the Science Mission Directorate and by the National Science Foundation through PLR-1043515. Logistical support for the Antarctic deployment and operations is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as well as a grant from the Swedish Research Council (dnr. 2019-93959) and a grant from the Swedish Space Agency (dnr. 139/17). The Dunlap Institute is funded through an endowment established by the David Dunlap family and the University of Toronto. The multiplexing readout electronics were developed with support from the Canada Foundation for Innovation and the British Columbia Knowledge Development Fund. KF holds the Jeff &amp; Gail Kodosky Endowed Chair at UT Austin and is grateful for that support. WCJ acknowledges the generous support of the David and Lucile Packard Foundation, which has been crucial to the success of the project. CRC was supported by UKRI Consolidated Grants, ST/P000762/1, ST/N000838/1, and ST/T000791/1. The data analyzed during the current study are available from the corresponding author on reasonable request.</t>
  </si>
  <si>
    <t>SPRINGER/PLENUM PUBLISHERS</t>
  </si>
  <si>
    <t>233 SPRING ST, NEW YORK, NY 10013 USA</t>
  </si>
  <si>
    <t>0022-2291</t>
  </si>
  <si>
    <t>1573-7357</t>
  </si>
  <si>
    <t>J LOW TEMP PHYS</t>
  </si>
  <si>
    <t>J. Low Temp. Phys.</t>
  </si>
  <si>
    <t>NOV</t>
  </si>
  <si>
    <t>10.1007/s10909-022-02729-5</t>
  </si>
  <si>
    <t>Physics, Applied; Physics, Condensed Matter</t>
  </si>
  <si>
    <t>Physics</t>
  </si>
  <si>
    <t>6J9UC</t>
  </si>
  <si>
    <t>Green Submitted, Green Accepted</t>
  </si>
  <si>
    <t>WOS:000795029200001</t>
  </si>
  <si>
    <t>Burdige, DJ; Christensen, JP</t>
  </si>
  <si>
    <t>Burdige, David J.; Christensen, John P.</t>
  </si>
  <si>
    <t>Iron biogeochemistry in sediments on the western continental shelf of the Antarctic Peninsula</t>
  </si>
  <si>
    <t>Iron; Sediment diagenesis; Southern Ocean</t>
  </si>
  <si>
    <t>EARLY DIAGENETIC PROCESSES; LABILE ORGANIC-MATTER; PORE-WATER; ISOTOPIC COMPOSITION; CARBON OXIDATION; MARINE SEDIMENT; SEA-ICE; MANGANESE; DISSOLUTION; COASTAL</t>
  </si>
  <si>
    <t>We examined iron biogeochemistry in continental margin sediments along the western side of the Antarctic Peninsula (WAP) to explore the connections between iron redox cycling and other sediment biogeochemical processes, and to specifically examine the role of sediments as a source of iron to support Southern Ocean primary productivity. Total iron (Fe-T) in WAP sediments ranged from similar to 4 to 6 wt% Fe and showed no consistent depth variations. Total iron oxides (Fe-Ox) represented similar to 20-30% of Fe-T in WAP surface sediments and was comprised of two types of materials: Fe-ox1, which is thought to contain amorphous, highly reactive, and poorly crystalline iron oxides such as ferrihydrite and lepidocrocite, and Fe-ox2, which is thought to contain magnetite and less reactive, more crystalline iron oxides such as goethite and hematite. Absolute and relative concentrations of Fe-Ox declined with sediment depth, presumably due to reductive dissolution, and there was also a major depth change in the speciation of Fe-Ox. Near the sediment surface similar to 30% of Fe-Ox was Fe-ox1, while below similar to 30 cm Fe-ox1 was almost completely consumed and therefore here virtually all Fe-Ox was Fe-ox2. Consistent with these observations, a simple reaction-transport model applied to the depth distributions of Fe-ox1 and Fe-ox2 iron in WAP shelf sediments suggested a similar to 20-fold difference in the relative reactivity of these different oxides towards reductive dissolution (Fe-ox1 &gt; Fe-ox2). At several stations profiles of pore water dissolved iron and solid phase Fe-ox1 can be explained by steady state iron redox cycling. In contrast, profiles at other stations showed evidence of non steady-state iron redox cycling. Seasonal changes in the sediment organic carbon rain rate at these sites may explain this latter behavior. Differences in the behavior of iron at different sites may be related to the interplay between changes in sediment redox conditions and their impact on bioturbation and iron redox cycling. Sediment iron sources to the water column include dissolved iron (similar to Fe2+) benthic fluxes as well as sediment resuspension processes that mix iron oxides (i.e., Fe-ox1) found in surface sediments into the bottom waters. The impact these benthic iron sources will have on surface water iron concentrations (and eventually primary production) will depend on transport processes that move this iron from deeper waters to surface waters. They will also depend on chemical transformations in the water column that affect iron bioavailability. While sediment processes (in general) appear to be an important source of iron to Southern Ocean surface waters, there is large uncertainty in their magnitude. However, the results presented here demonstrate that the suspended sediment flux of amorphous iron oxides needs to be considered when discussing sediment iron sources to Southern Ocean surface waters. (C) 2022 Elsevier Ltd. All rights reserved.</t>
  </si>
  <si>
    <t>[Burdige, David J.] Old Dominion Univ, Dept Ocean &amp; Earth Sci, Norfolk, VA 23529 USA; [Christensen, John P.] New England Oceanog Lab, Brunswick, ME 04011 USA</t>
  </si>
  <si>
    <t>Old Dominion University</t>
  </si>
  <si>
    <t>Burdige, DJ (corresponding author), Old Dominion Univ, Dept Ocean &amp; Earth Sci, Norfolk, VA 23529 USA.</t>
  </si>
  <si>
    <t>dburdige@odu.edu; jchriste@newenglandoceanlab.org</t>
  </si>
  <si>
    <t>US National Science Foundation [AES-1551195]</t>
  </si>
  <si>
    <t>US National Science Foundation(National Science Foundation (NSF))</t>
  </si>
  <si>
    <t>We thank the following individuals for their assistance with sample collection and shipboard processing on our cruise: Jeremy Bleakney, Brett Buzzanga, Cedric Magen, Rich Taylor, Steve Zee-man, Chris Glover, and Anna Makaretz. Back at ODU Jeremy Bleakney was instrumental in carrying out the vast majority of the analyses of these samples we collected. We thank the Captain and crew of the R/V Nathaniel B Palmer for their assistance in this work, Antarctic Support Services for assistance with many aspects of the cruise logistics, and Don Nuzzio (Analytical Instrument Ser-vices) and George Luther (Univ. of Delaware) for graciously train-ing us and getting us up to speed with the polarographic microelectrode measurements. Finally, we thank Susann Henkel, Peter Kraal, an anonymous third reviewer, and Associate Editor Caroline Slomp whose extensive reviews of an earlier version of this manuscript greatly improved the manuscript. The results presented here are based on work supported by the US National Science Foundation under grant AES-1551195.</t>
  </si>
  <si>
    <t>10.1016/j.gca.2022.03.013</t>
  </si>
  <si>
    <t>1X9CY</t>
  </si>
  <si>
    <t>WOS:000807748000006</t>
  </si>
  <si>
    <t>Cassel, MC; Chemale, F Jr; Vargas, MR; de Souza, MK; Girelli, TJ; de Oliveira, GS</t>
  </si>
  <si>
    <t>Cassel, Marlise Colling; Chemale Jr, Farid; Vargas, Mateus Rodrigues; de Souza, Marcelo Kehl; Girelli, Tiago Jonatan; de Oliveira, Gisela Serejo</t>
  </si>
  <si>
    <t>From the Andes and the Drake Passage to the Rio Grande Submarine Fan: Paleoclimatic and paleogeographic evidence in the Cenozoic Era from the South Atlantic-Austral Segment, Pelotas Basin</t>
  </si>
  <si>
    <t>GLOBAL AND PLANETARY CHANGE</t>
  </si>
  <si>
    <t>Passive margin; Compressive tectonics; Glaciotectonic; Antarctic circumpolar current; Pelotas basin; Paleogeography</t>
  </si>
  <si>
    <t>CONTINENTAL-MARGIN; SUBSIDENCE; GROWTH; AGE; CIRCULATION; MORPHOLOGY; SEDIMENTS; AMAZON; BRAZIL; UPLIFT</t>
  </si>
  <si>
    <t>The Cenozoic depositional history of the Pelotas Basin was driven by the interaction between the spreading processes of the Atlantic Ocean and the formation of the Andean Cordillera. We integrated seismic interpretation and backstripping techniques with evaluation of spreading rates in the South Atlantic and subduction beneath the Andes to unveil the main climatic, eustatic and active tectonic events in the Cenozoic. The achieved results integrated with regional geology and Cenozoic history data show the tectonic control that the Andean Cordillera exerted over the Pelotas Basin's passive margin. On the other hand, climatic and glacioeustatic changes that influenced the Pelotas Basin's sedimentation were mostly controlled by the tectonic opening of Drake Passage and the consequent onset of the Antarctic Circumpolar Current. These processes were directly connected to motions of the Antarctic, South American, and Nazca plates since the beginning of the Cenozoic. Our results allow us to detail the geological events of the Pelotas Basin and more accurately define its eustatic, tectonic, and climatic controls by closely observing the interaction between compressive tectonics and passive margins.</t>
  </si>
  <si>
    <t>[Cassel, Marlise Colling; Chemale Jr, Farid; Vargas, Mateus Rodrigues; de Souza, Marcelo Kehl; Girelli, Tiago Jonatan; de Oliveira, Gisela Serejo] Vale Rio Sinos Univ, Geol Grad Program, Ave Unisinos 950, BR-93022000 Sao Leopoldo, RS, Brazil</t>
  </si>
  <si>
    <t>Cassel, MC (corresponding author), Vale Rio Sinos Univ, Geol Grad Program, Ave Unisinos 950, BR-93022000 Sao Leopoldo, RS, Brazil.</t>
  </si>
  <si>
    <t>marlise.cassel@gmail.com</t>
  </si>
  <si>
    <t>Girelli, Tiago Jonatan/S-2880-2018</t>
  </si>
  <si>
    <t>Girelli, Tiago Jonatan/0000-0002-3029-6311; Chemale Junior, Farid/0000-0001-5003-5824; Rodrigues de Vargas, Mateus/0000-0002-0932-4285</t>
  </si>
  <si>
    <t>UNISINOS-PETROBRAS Cooperation Agreement [5900.0109881.18.9]; Coordination for the Improvement of Higher Education Personnel (CAPES); Coordination for the Improvement of Higher Education Personnel (CAPES)</t>
  </si>
  <si>
    <t>UNISINOS-PETROBRAS Cooperation Agreement; Coordination for the Improvement of Higher Education Personnel (CAPES)(Coordenacao de Aperfeicoamento de Pessoal de Nivel Superior (CAPES)); Coordination for the Improvement of Higher Education Personnel (CAPES)(Coordenacao de Aperfeicoamento de Pessoal de Nivel Superior (CAPES))</t>
  </si>
  <si>
    <t>This project has been supported by UNISINOS-PETROBRAS Cooperation Agreement (#5900.0109881.18.9) . The authors thank the Brazilian Agency of Petroleum, Natural Gas and Biofuels (ANP) for the data availability. Marlise Colling Cassel is grateful to Coordination for the Improvement of Higher Education Personnel (CAPES) for the Ph.D. scholarship. We thank Rodrigo Guerra for his contribution to the biozone studies and Geise Anjos-Zerfass for providing her chronostratigraphic data, and Jose Manuel M.T. de Oliveira and Giuseppe de Toni for the enriching discussions. We thank the Editor Liviu Matenco, the revierwe Graeme Eagles and anonymous reviewer for constructive comments.</t>
  </si>
  <si>
    <t>0921-8181</t>
  </si>
  <si>
    <t>1872-6364</t>
  </si>
  <si>
    <t>GLOBAL PLANET CHANGE</t>
  </si>
  <si>
    <t>Glob. Planet. Change</t>
  </si>
  <si>
    <t>10.1016/j.gloplacha.2022.103838</t>
  </si>
  <si>
    <t>1X4HM</t>
  </si>
  <si>
    <t>WOS:000807416900002</t>
  </si>
  <si>
    <t>Tielidze, LG; Eaves, SR; Norton, KP; Mackintosh, AN; Hidy, AJ</t>
  </si>
  <si>
    <t>Tielidze, Levan G.; Eaves, Shaun R.; Norton, Kevin P.; Mackintosh, Andrew N.; Hidy, Alan J.</t>
  </si>
  <si>
    <t>Cosmogenic 10Be constraints on deglacial snowline rise in the Southern Alps, New Zealand</t>
  </si>
  <si>
    <t>Last glacial maximum; Last deglaciation; Equilibrium line altitude; Past climate; Southern Alps; New Zealand</t>
  </si>
  <si>
    <t>LAST GLACIAL MAXIMUM; EQUILIBRIUM-LINE ALTITUDES; UPPER RANGITATA VALLEY; ANTARCTIC TEMPERATURE; EXPOSURE AGES; CLIMATE; MORAINE; ISLAND; RATES; SENSITIVITY</t>
  </si>
  <si>
    <t>Geochronological dating of glacial landforms, such as terminal and lateral moraines, is useful for determining the extent and timing of past glaciation and for reconstructing the magnitude and rate of past climate changes. In the Southern Alps of New Zealand, well-dated glacial geomorphological records constrain the last glacial cycle across much of the Waitaki River basin (e.g. Ohau, Pukaki, Tekapo) but its southern sector such as the Ahuriri River valley remains comparatively unconstrained. Recently, there has been debate on the scale and rapidity of mountain glacier retreat during the last glacial termination, particularly the 20-17 ka period in New Zealand. Missing from this debate is well-constrained equilibrium-line altitude (ELA) and associated temperature reconstructions, particularly over the period around 17 ka, which can help us to develop a more complete picture of how past temperature changes drove glacier retreat. Here we report the first glacial chronology dataset from the Last Glacial Maximum (LGM) and subsequent deglaciation from the Ahuriri River valley, Southern Alps, New Zealand (44 degrees 23'54 '' S, 169 degrees 39'48 '' E) based on 38 beryllium-10 (Be-10) surface-exposure ages from terminal moraine systems and glaciated bedrock situated at the lower and middle sections of the valley. Our results show that the former Ahuriri Glacier reached its maximum extent at 19.8 +/- 0.3 ka, which coincides with the global Last Glacial Maximum. By 16.7 +/- 0.3 ka, the glacier had retreat -18 km up-valley suggesting at least similar to 43% glacier-length loss relative to its full LGM extent. This deglaciation was accompanied by the formation of a shallow proglacial lake. Using the accumulation area ratio (AAR) method, we estimate that the ELA was lower than present by similar to 880 m (similar to 1120 m a.s.l.) at 19.8 +/- 0.3 ka, and similar to 770 m lower (similar to 1230 m a.s.l.) at 16.7 +/- 0.3 ka. Applying an estimate for temperature lapse rate, this ELA anomaly implies that local air temperature was 5 +/- 1 degrees C colder than present (1981-2010) at 19.8 +/- 0.3 ka, while it was 4.4 +/- 0.9 degrees C colder at 16.7 +/- 0.3 ka, assuming no change in precipitation. The substantial glacier retreat in response to a relatively small accompanying increases in ELA (110 m) and temperature (0.6 degrees C) may have been a result of the high glacier-length sensitivity of this glacier system due to its low gradient of former ice surface. Our low warming estimate differs markedly from other deglaciation studies, specifically from Rakaia River valley, which reports a much larger temperature increase at the onset of the last deglaciation. This precisely-dated moraine record along with reconstructed ELA as proxies for atmospheric conditions, provides new insight into post LGM glacier behaviour and climate conditions in New Zealand. (C) 2022 Elsevier Ltd. All rights reserved.</t>
  </si>
  <si>
    <t>[Tielidze, Levan G.; Eaves, Shaun R.] Victoria Univ Wellington, Antarctic Res Ctr, POB 600, Wellington 6140, New Zealand; [Tielidze, Levan G.; Eaves, Shaun R.; Norton, Kevin P.] Victoria Univ Wellington, Sch Geog Environm &amp; Earth Sci, POB 600, Wellington 6140, New Zealand; [Tielidze, Levan G.] Ilia State Univ, Sch Nat Sci &amp; Med, Cholokashvili Ave 3-5, Tbilisi 0162, Georgia; [Mackintosh, Andrew N.] Monash Univ, Sch Earth Atmosphere &amp; Environm, Wellington Rd, Melbourne, Vic 3168, Australia; [Hidy, Alan J.] Lawrence Livermore Natl Lab, Ctr Accelerator Mass Spectrometry, 7000 East Ave, Livermore, CA 94550 USA</t>
  </si>
  <si>
    <t>Victoria University Wellington; Victoria University Wellington; Ilia State University; Monash University; Melbourne Genomics Health Alliance; United States Department of Energy (DOE); Lawrence Livermore National Laboratory</t>
  </si>
  <si>
    <t>Tielidze, LG (corresponding author), Victoria Univ Wellington, Antarctic Res Ctr, POB 600, Wellington 6140, New Zealand.</t>
  </si>
  <si>
    <t>tielidzelevan@gmail.com</t>
  </si>
  <si>
    <t>Tielidze, Levan G/E-2690-2018; Norton, Kevin/F-1606-2011</t>
  </si>
  <si>
    <t>Tielidze, Levan G/0000-0002-4646-5458; Norton, Kevin/0000-0002-7995-6464; Mackintosh, Andrew/0000-0002-6430-4711</t>
  </si>
  <si>
    <t>Marsden Fund-Royal Society of New Zealand [E3230]; U.S. Department of Energy by Lawrence Livermore National Laboratory [DE-AC52-07NA27344]; Victoria University of Wellington</t>
  </si>
  <si>
    <t>Marsden Fund-Royal Society of New Zealand(Royal Society of New ZealandMarsden Fund (NZ)); U.S. Department of Energy by Lawrence Livermore National Laboratory(United States Department of Energy (DOE)); Victoria University of Wellington</t>
  </si>
  <si>
    <t>This work was supported by Victoria University of Wellington and Marsden Fund-Royal Society of New Zealand (E3230) . This work was performed in part under the auspices of the U.S. Department of Energy by Lawrence Livermore National Laboratory under Contract DE-AC52-07NA27344. This is LLNL-JRNL-820919.</t>
  </si>
  <si>
    <t>10.1016/j.quascirev.2022.107548</t>
  </si>
  <si>
    <t>WOS:000803954700006</t>
  </si>
  <si>
    <t>Davey, FJ</t>
  </si>
  <si>
    <t>Davey, Frederick J.</t>
  </si>
  <si>
    <t>The original Scott Base buildings</t>
  </si>
  <si>
    <t>Antarctica; Scott Base; Construction; Ross Island</t>
  </si>
  <si>
    <t>Scott Base was built in the summer of 1956/7 at Pram Point, Ross Island, initially to provide accommodation for the Ross Sea Support Party of the Commonwealth Transantarctic Expedition (NZ TAE) and for the New Zealand International Geophysical Year Antarctic Expedition (NZ IGY). It has generally been accepted that it was built primarily by and for the Ross Sea Support Party. This is reflected in naming one of the last, conserved, original huts (Hut A) after the NZ TAE and also in ignoring the existence of the other original huts (Hut G and H) still in use. The contribution of the NZ IGY programme to Scott Base (SB) has received little recognition. Furthermore, SB provided a presence in the Ross Dependency to support the New Zealand claimant position. The specifications for the base buildings were developed by a joint committee from both expeditions with final design by the Ministry of Works of the New Zealand Government. The base was constructed and largely paid for by the New Zealand Government. This note briefly reviews what occurred during the conception, design, construction and payment for the base.</t>
  </si>
  <si>
    <t>[Davey, Frederick J.] 3 Golf Rd,Paraparaumu Beach, Paraparaumu 5032, New Zealand</t>
  </si>
  <si>
    <t>Davey, FJ (corresponding author), 3 Golf Rd,Paraparaumu Beach, Paraparaumu 5032, New Zealand.</t>
  </si>
  <si>
    <t>fdavey@actrix.co.nz</t>
  </si>
  <si>
    <t>Archives New Zealand: Library, Institute of Geological and Nuclear Sciences Ltd</t>
  </si>
  <si>
    <t>The author thanks Archives New Zealand: Library, Institute of Geological and Nuclear Sciences Ltd for their support.</t>
  </si>
  <si>
    <t>MAY 13</t>
  </si>
  <si>
    <t>e12</t>
  </si>
  <si>
    <t>10.1017/S0032247422000122</t>
  </si>
  <si>
    <t>1E2VL</t>
  </si>
  <si>
    <t>WOS:000794352900001</t>
  </si>
  <si>
    <t>Bost, CA; Delord, K; Cherel, Y; Miskelly, CM; Carravieri, A; Bustamante, P; Arnould, JPY; Fromant, A</t>
  </si>
  <si>
    <t>Bost, C. A.; Delord, K.; Cherel, Y.; Miskelly, C. M.; Carravieri, A.; Bustamante, P.; Arnould, J. P. Y.; Fromant, A.</t>
  </si>
  <si>
    <t>Foraging trips and isotopic niche of chick-rearing South Georgian diving petrels from the Kerguelen Islands</t>
  </si>
  <si>
    <t>MARINE ECOLOGY PROGRESS SERIES</t>
  </si>
  <si>
    <t>At-sea distribution; Trophic niche; Procellariiformes; Pelecanoides georgicus; Southern Ocean</t>
  </si>
  <si>
    <t>KING PENGUINS; ENERGY-EXPENDITURE; MARINE PREDATORS; POLAR FRONT; SEABIRDS; HABITAT; CROZET; WATERS; AREAS; BLOOD</t>
  </si>
  <si>
    <t>Seabirds are central place foragers, relying on prey that is patchily distributed and of variable predictability. Species travelling at a high energetic cost are more strongly dependent on spatially predictable prey. This is the case for diving petrels Pelecanoides spp., which are small Procellariiformes that feed by pursuit diving and travel by flapping constantly. Despite their abundance and importance as zooplankton consumers, information on the foraging strategy of diving petrels is still lacking. The detailed at-sea movements and the trophic niche of the South Georgian diving petrel P. georgicus was investigated for the first time using miniaturized GPS and the stable isotope method, respectively. Overall, South Georgian diving petrels from the Kerguelen Islands performed unexpected, direct and long-distance trips (mean foraging range: 191-217 km) to the Antarctic Polar Front, south of the archipelago. This foraging ground is a productive and predictable area, where the birds stopped and fed at the distal part of their trip. Blood isotopic values indicate that the tracked birds fed consistently on macrozooplankton. Such a distant oceanic feeding strategy contrasts with the coastal foraging patterns of the closely related common diving petrel P. urinatrix. Commuting to a more distant but easily accessible resource allows South Georgian diving petrels to cope with their high commuting costs, and to segregate spatially from the sympatric common diving petrel during the breeding season.</t>
  </si>
  <si>
    <t>[Bost, C. A.; Delord, K.; Cherel, Y.; Carravieri, A.; Fromant, A.] La Rochelle Univ, Ctr Etud Biol Chize, UMR 7372, CNRS, 405 Route Prisse Charriere, F-79360 Villiers En Bois, France; [Miskelly, C. M.] Museum New Zealand Te Papa Tongarewa, POB 467, Wellington 6140, New Zealand; [Bustamante, P.] La Rochelle Univ, Littoral Environm &amp; Soc LIENSs, UMR 7266, CNRS, 2 Rue Olympe Gouges, F-17000 La Rochelle, France; [Bustamante, P.] Inst Univ France IUF, 1 Rue Descartes, F-75005 Paris, France; [Arnould, J. P. Y.; Fromant, A.] Deakin Univ, Sch Life &amp; Environm Sci, 221 Burwood Hwy, Burwood, Vic 3125, Australia</t>
  </si>
  <si>
    <t>Centre National de la Recherche Scientifique (CNRS); CNRS - Institute of Ecology &amp; Environment (INEE); Centre National de la Recherche Scientifique (CNRS); CNRS - Institute of Ecology &amp; Environment (INEE); Institut Universitaire de France; Deakin University</t>
  </si>
  <si>
    <t>Bost, CA (corresponding author), La Rochelle Univ, Ctr Etud Biol Chize, UMR 7372, CNRS, 405 Route Prisse Charriere, F-79360 Villiers En Bois, France.</t>
  </si>
  <si>
    <t>charly.bost@cebc.cnrs.fr</t>
  </si>
  <si>
    <t>Bustamante, Paco/G-5833-2011</t>
  </si>
  <si>
    <t>Bustamante, Paco/0000-0003-3877-9390</t>
  </si>
  <si>
    <t>French Polar Institute IPEV [IPEV 394]; Contrat de Projet Etat-Region (CPER); Fonds Europeen de Developpement Regional (FEDER); Institut Universitaire de France (IUF)</t>
  </si>
  <si>
    <t>French Polar Institute IPEV; Contrat de Projet Etat-Region (CPER); Fonds Europeen de Developpement Regional (FEDER)(European Union (EU)); Institut Universitaire de France (IUF)</t>
  </si>
  <si>
    <t>The French Polar Institute IPEV (Program IPEV 394: C.A.B.; 109: C. Barbraud) funded this study. We thank the IPEV logistic staff (Y. Le Meur, R. Bellec and the Geners of the 66-67-68 missions on Kerguelen Islands) for their full support and help in the field. Special thanks to Samuel Perroteau, Julien Fleureau, Ueline Courcoux-Caro, Tobie Getti and Emile Brisson-Curadeau for invaluable help with field work and Y. Eizenberg for helpful comments and corrections on the manuscript. We are grateful to G. Guillou from the `Plateforme analyses isotopiques' of LIENSs for running stable isotope analyses. Thanks to the Contrat de Projet Etat-Region (CPER) and the Fonds Europeen de Developpement Regional (FEDER) for funding the isotoperatio mass spectrometers of the LIENSs laboratory. The Institut Universitaire de France (IUF) is acknowledged for its support to P.B. as a Senior Member. The ethics committee of IPEV approved all field procedures.</t>
  </si>
  <si>
    <t>INTER-RESEARCH</t>
  </si>
  <si>
    <t>OLDENDORF LUHE</t>
  </si>
  <si>
    <t>NORDBUNTE 23, D-21385 OLDENDORF LUHE, GERMANY</t>
  </si>
  <si>
    <t>0171-8630</t>
  </si>
  <si>
    <t>1616-1599</t>
  </si>
  <si>
    <t>MAR ECOL PROG SER</t>
  </si>
  <si>
    <t>Mar. Ecol.-Prog. Ser.</t>
  </si>
  <si>
    <t>MAY 12</t>
  </si>
  <si>
    <t>10.3354/meps14029</t>
  </si>
  <si>
    <t>Ecology; Marine &amp; Freshwater Biology; Oceanography</t>
  </si>
  <si>
    <t>Environmental Sciences &amp; Ecology; Marine &amp; Freshwater Biology; Oceanography</t>
  </si>
  <si>
    <t>1V5BD</t>
  </si>
  <si>
    <t>WOS:000806104000012</t>
  </si>
  <si>
    <t>Gevi, F; Leo, P; Cassaro, A; Pacelli, C; de Vera, JPP; Rabbow, E; Timperio, AM; Onofri, S</t>
  </si>
  <si>
    <t>Gevi, Federica; Leo, Patrick; Cassaro, Alessia; Pacelli, Claudia; de Vera, Jean-Pierre Paul; Rabbow, Elke; Timperio, Anna Maria; Onofri, Silvano</t>
  </si>
  <si>
    <t>Metabolomic Profile of the Fungus Cryomyces antarcticus Under Simulated Martian and Space Conditions as Support for Life-Detection Missions on Mars</t>
  </si>
  <si>
    <t>extremophilic microorganism; LC-MS; metabolites; osmolytes; stress resistance; biosignature</t>
  </si>
  <si>
    <t>CRYPTOENDOLITHIC MICROBIAL ENVIRONMENT; GLYOXYLATE CYCLE; SACCHAROMYCES-CEREVISIAE; OXIDATIVE STRESS; GLYCINE BETAINE; CRYPTOCOCCUS-NEOFORMANS; DESICCATION-TOLERANCE; HALOPHILIC ARCHAEA; COMPATIBLE SOLUTES; ORGANIC OSMOLYTES</t>
  </si>
  <si>
    <t>The identification of traces of life beyond Earth (e.g., Mars, icy moons) is a challenging task because terrestrial chemical-based molecules may be destroyed by the harsh conditions experienced on extraterrestrial planetary surfaces. For this reason, studying the effects on biomolecules of extremophilic microorganisms through astrobiological ground-based space simulation experiments is significant to support the interpretation of the data that will be gained and collected during the ongoing and future space exploration missions. Here, the stability of the biomolecules of the cryptoendolithic black fungus Cryomyces antarcticus, grown on two Martian regolith analogues and on Antarctic sandstone, were analysed through a metabolomic approach, after its exposure to Science Verification Tests (SVTs) performed in the frame of the European Space Agency (ESA) Biology and Mars Experiment (BIOMEX) project. These tests are building a set of ground-based experiments performed before the space exposure aboard the International Space Station (ISS). The analysis aimed to investigate the effects of different mineral mixtures on fungal colonies and the stability of the biomolecules synthetised by the fungus under simulated Martian and space conditions. The identification of a specific group of molecules showing good stability after the treatments allow the creation of a molecular database that should support the analysis of future data sets that will be collected in the ongoing and next space exploration missions.</t>
  </si>
  <si>
    <t>[Gevi, Federica; Leo, Patrick; Cassaro, Alessia; Timperio, Anna Maria; Onofri, Silvano] Univ Tuscia, Dept Ecol &amp; Biol Sci DEB, Viterbo, Italy; [Leo, Patrick] Univ CaFoscari Venice, Dept Environm Sci Informat &amp; Stat, Venice, Italy; [Pacelli, Claudia] Italian Space Agcy ASI, Rome, Italy; [de Vera, Jean-Pierre Paul] German Aerosp Ctr DLR, MUSC, Space Operat &amp; Astronaut Training, Cologne, Germany; [Rabbow, Elke] German Aerosp Ctr, Inst Aerosp Med DLR, Cologne, Germany</t>
  </si>
  <si>
    <t>Tuscia University; Universita Ca Foscari Venezia; Agenzia Spaziale Italiana (ASI); Helmholtz Association; German Aerospace Centre (DLR); Helmholtz Association; German Aerospace Centre (DLR)</t>
  </si>
  <si>
    <t>Timperio, AM; Onofri, S (corresponding author), Univ Tuscia, Dept Ecol &amp; Biol Sci DEB, Viterbo, Italy.</t>
  </si>
  <si>
    <t>timperio@unitus.it; onofri@unitus.it</t>
  </si>
  <si>
    <t>Leo, Patrick/0000-0002-3422-4833</t>
  </si>
  <si>
    <t>Italian Space Agency [2013-063-R.0, 2018-6-U.0]</t>
  </si>
  <si>
    <t>Italian Space Agency(Agenzia Spaziale Italiana (ASI))</t>
  </si>
  <si>
    <t>This work was supported by the Italian Space Agency (BIOMEX MicroColonial Fungi - Experiment on ISS for tracking biomarkers on Martian and lunar rock analogues - ASI grant N. 2013-063-R.0 and BioSigN MicroFossils - ASI N. 2018-6-U.0).</t>
  </si>
  <si>
    <t>10.3389/fmicb.2022.749396</t>
  </si>
  <si>
    <t>1P7IM</t>
  </si>
  <si>
    <t>WOS:000802178500001</t>
  </si>
  <si>
    <t>Carter, CG; Codabaccus, MB</t>
  </si>
  <si>
    <t>Carter, Chris G.; Codabaccus, M. Basseer</t>
  </si>
  <si>
    <t>Assessing the value of single-cell ingredients in aquafeeds</t>
  </si>
  <si>
    <t>CURRENT OPINION IN BIOTECHNOLOGY</t>
  </si>
  <si>
    <t>SALMON SALMO-SALAR; ATLANTIC SALMON; FISH-MEAL; REPLACEMENT; DIGESTIBILITY; AQUACULTURE; GROWTH; FEEDS; ACID</t>
  </si>
  <si>
    <t>Aquaculture is critical for ensuring global food and nutrition security, and fed-aquaculture, which depends on formulated nutritionally balanced manufactured feeds, must be sustainable. Single-cell ingredients (SCI) are predicted to play a significant role in future aquafeeds and have the potential to underpin sustainable fed-aquaculture for many species. The value of an aquafeed ingredient includes nutritional, commercial, environmental, and socioeconomic factors. Here we aim to review approaches to understanding the value of ingredients and use this to outline a practical approach for considering the use of SCI in aquafeeds. We conclude that following an initial experimental focus on nutritional value, a collaborative and iterative approach with an aquafeed manufacturer will provide the most likely route to successful commercialisation of SCI.</t>
  </si>
  <si>
    <t>[Carter, Chris G.; Codabaccus, M. Basseer] Univ Tasmania, Inst Marine &amp; Antarctic Studies, Hobart, Tas 7001, Australia; [Carter, Chris G.] Blue Econ Cooperat Res Ctr, POB 897, Launceston, Tas 7250, Australia</t>
  </si>
  <si>
    <t>University of Tasmania; University of Western Australia</t>
  </si>
  <si>
    <t>Carter, CG (corresponding author), Univ Tasmania, Inst Marine &amp; Antarctic Studies, Hobart, Tas 7001, Australia.;Carter, CG (corresponding author), Blue Econ Cooperat Res Ctr, POB 897, Launceston, Tas 7250, Australia.</t>
  </si>
  <si>
    <t>chris.carter@utas.edu.au</t>
  </si>
  <si>
    <t>Carter, Chris Guy/A-3438-2008</t>
  </si>
  <si>
    <t>Carter, Chris Guy/0000-0001-5210-1282; codabaccus, mohamed/0000-0001-5108-373X</t>
  </si>
  <si>
    <t>0958-1669</t>
  </si>
  <si>
    <t>1879-0429</t>
  </si>
  <si>
    <t>CURR OPIN BIOTECH</t>
  </si>
  <si>
    <t>Curr. Opin. Biotechnol.</t>
  </si>
  <si>
    <t>10.1016/j.copbio.2022.102734</t>
  </si>
  <si>
    <t>Biochemical Research Methods; Biotechnology &amp; Applied Microbiology</t>
  </si>
  <si>
    <t>Biochemistry &amp; Molecular Biology; Biotechnology &amp; Applied Microbiology</t>
  </si>
  <si>
    <t>1L3LJ</t>
  </si>
  <si>
    <t>WOS:000799192700004</t>
  </si>
  <si>
    <t>Clucas, GV; Warwick-Evans, V; Hart, T; Trathan, PN</t>
  </si>
  <si>
    <t>Clucas, Gemma, V; Warwick-Evans, Victoria; Hart, Tom; Trathan, Philip N.</t>
  </si>
  <si>
    <t>Using habitat models for chinstrap penguins, Pygoscelis antarctica, to inform marine spatial management around the South Sandwich Islands during the penguin breeding season</t>
  </si>
  <si>
    <t>Chinstrap penguin; Foraging behaviour; Breeding season; Habitat selection</t>
  </si>
  <si>
    <t>EUPHAUSIA-SUPERBA DENSITY; ANTARCTIC KRILL; PYGOSCELIS-ANTARCTICA; ELEPHANT ISLAND; BALEEN WHALES; SCOTIA ARC; ADELIE; GEORGIA; BIOMASS; OCEAN</t>
  </si>
  <si>
    <t>If not carefully managed, harvesting of Antarctic krill risks disturbing the ecological balance of many Antarctic and sub-Antarctic sites where krill-dependent predators feed. One of the least disturbed sites anywhere within the Southern Ocean and one where krill fishing has so far been virtually non-existent is the South Sandwich Islands volcanic archipelago. Some of the main krill predators breeding at the South Sandwich Islands are penguins, with five species breeding on the islands, the dominant species of which is the chinstrap penguin. In this paper we report on the results of ARGOS PTT deployments during the chinstrap penguin chick-rearing period, using the recorded foraging trips to develop habitat models. Foraging habitats used by chinstrap penguins during this period were best characterised by distance from the colony and sea surface temperature and, using these two covariates, we predicted the chick-rearing foraging habitat use around all islands. We show that the provisions of the South Georgia and South Sandwich Islands Marine Protected Area ensure that chinstrap penguins, and other krill-dependent predators with similar foraging ranges, likely have robust protection during the summer. During the winter, when krill predators are likely to forage further offshore, seasonal sea ice provides a physical barrier to exclude the fishery, again ensuring the islands??? unique biodiversity receives strong protection. However, to the north of the marginal sea ice zone, competition between krill predators and the fishery could exist if the fishery were ever to explore new locations for resource extraction. We make a number of conclusions, including the need for winter tracking data to inform future management options.</t>
  </si>
  <si>
    <t>[Clucas, Gemma, V] Cornell Univ, Cornell Lab Ornithol, Ithaca, NY 14850 USA; [Warwick-Evans, Victoria; Trathan, Philip N.] British Antarctic Survey, NERC, Madingley Rd, Cambridge CB3 0ET, England; [Hart, Tom] Univ Oxford, Dept Zool, 11a Mansfield Rd, Oxford OX1 3SZ, England</t>
  </si>
  <si>
    <t>Cornell University; UK Research &amp; Innovation (UKRI); Natural Environment Research Council (NERC); NERC British Antarctic Survey; University of Oxford</t>
  </si>
  <si>
    <t>Clucas, GV (corresponding author), Cornell Univ, Cornell Lab Ornithol, Ithaca, NY 14850 USA.</t>
  </si>
  <si>
    <t>gemma.clucas@cornell.edu</t>
  </si>
  <si>
    <t>Clucas, Gemma/0000-0002-4305-1719</t>
  </si>
  <si>
    <t>Government of South Georgia; South Sandwich Islands; Pew Charitable Trusts [00033395, 00034295]; Cornell Atkinson Center for Sustainability; Cornell Lab of Ornithology Rose Postdoctoral Fellow-ship; Antarctic Science Bursary from Antarctic Science Ltd.; UKRI/BAS Ecosystems ALI-Science programme; John Ellerman Foundation; SY Pelagic Australis</t>
  </si>
  <si>
    <t>Government of South Georgia; South Sandwich Islands; Pew Charitable Trusts; Cornell Atkinson Center for Sustainability; Cornell Lab of Ornithology Rose Postdoctoral Fellow-ship; Antarctic Science Bursary from Antarctic Science Ltd.; UKRI/BAS Ecosystems ALI-Science programme; John Ellerman Foundation; SY Pelagic Australis</t>
  </si>
  <si>
    <t>This expedition to the South Sandwich Islands was supported by the Government of South Georgia and the South Sandwich Islands, by do-nations to Penguin Watch, in particular from Quark Expeditions, and by individual contributions by the various science teams. Satellite tracking devices for this study were funded by the Pew Charitable Trusts under grant 00033395. GC was supported by the Cornell Atkinson Center for Sustainability, a Cornell Lab of Ornithology Rose Postdoctoral Fellow-ship, and an Antarctic Science Bursary from Antarctic Science Ltd. PNT was supported by the UKRI/BAS Ecosystems ALI-Science programme. VWE was supported by the Pew Charitable Trusts under grant 00034295. TH was supported by the John Ellerman Foundation and donations to Penguin Watch. We gratefully acknowledge the support ofthe crew of SY Pelagic Australis and the rest of the expedition team.</t>
  </si>
  <si>
    <t>MAY</t>
  </si>
  <si>
    <t>10.1016/j.dsr2.2022.105093</t>
  </si>
  <si>
    <t>1N5KR</t>
  </si>
  <si>
    <t>WOS:000800695100002</t>
  </si>
  <si>
    <t>Ran, Q; Duan, MG; Wang, PC; Ye, ZJ; Mou, JF; Wang, XQ; Tian, YJ; Zhang, C; Qiao, HJ; Zhang, J</t>
  </si>
  <si>
    <t>Ran, Quan; Duan, Mengge; Wang, Pengcheng; Ye, Zhenjiang; Mou, Jianfeng; Wang, Xiangqin; Tian, Yongjun; Zhang, Chi; Qiao, Huijie; Zhang, Jie</t>
  </si>
  <si>
    <t>Predicting the current habitat suitability and future habitat changes of Antarctic jonasfish Notolepis coatsorum in the Southern Ocean</t>
  </si>
  <si>
    <t>Notolepis coatsorum; Species distribution; Ensemble model; Climate change; Cosmonaut Sea; Southern Ocean</t>
  </si>
  <si>
    <t>CLIMATE-CHANGE; COSMONAUT SEA; POTENTIAL DISTRIBUTIONS; RANGE SHIFTS; BAY-REGION; FISH; ICE; NORTH; MODEL; SHELF</t>
  </si>
  <si>
    <t>The Southern Ocean faces many challenges under global climate change. Species distribution models (SDMs) are considered a powerful tool for predicting the potential distributions of species when evaluating the effects of climate change. We employed a partially area-under-the-curve (AUC)-based ensemble model to predict the current habitat suitability and future habitat changes of N. coatsorum in the Southern Ocean. The SDMs developed included six different predictors that contribute to the N. coatsorum distribution: depth accounted for the highest contribution of 33.8%, closely followed by the sea surface temperature (30.3% contribution). The contributions of the sea surface salinity distance from land, sea ice thickness and current velocity were 12.7%, 12.3%, 8.1%, and 2.8%, respectively. N. coatsorum has a suitable distribution area of approximately 5.63 million km2 under current conditions, comprising 29.8% of the Southern Ocean area. A significant expected decrease (43.0%) at the species??? northward edges, especially on the southeast Antarctic coast, may occur in the future as suggested by comparing the current model range to the suitable habitat changes predicted in 2100 under the RCP8.5 scenario, resulting in the formation of three newly gained or remaining climate refugia for N. coatsorum: areas close to the Ronne and Filchner Ice Shelves in the Weddell Sea, the Ross Sea, and along the coast of northeastern Antarctica (including in the Cosmonaut Sea and Prydz Bay). Our ensemble approach for assessing the habitat features of N. coatsorum allows the impacts of climate change on a mesopelagic fish species in the Southern Ocean to be assessed.</t>
  </si>
  <si>
    <t>[Ran, Quan; Duan, Mengge; Wang, Pengcheng; Qiao, Huijie; Zhang, Jie] Chinese Acad Sci, Inst Zool, Key Lab Anim Ecol &amp; Conservat Biol, Beijing 100101, Peoples R China; [Duan, Mengge] Hebei Univ, Sch Life Sci, Baoding, Peoples R China; [Ye, Zhenjiang; Tian, Yongjun; Zhang, Chi] Ocean Univ China, Qingdao, Shandong, Peoples R China; [Mou, Jianfeng] Minist Nat Resources, Third Inst Oceanog, Lab Marine Biol &amp; Ecol, Xiamen 361005, Peoples R China; [Wang, Xiangqin] Minist Nat Resources, First Inst Oceanog, Key Lab Marine Geol &amp; Metallogeny, Qingdao 266061, Peoples R China</t>
  </si>
  <si>
    <t>Chinese Academy of Sciences; Institute of Zoology, CAS; Hebei University; Ocean University of China; Third Institute of Oceanography, Ministry of Natural Resources; Ministry of Natural Resources of the People's Republic of China; Ministry of Natural Resources of the People's Republic of China; First Institute of Oceanography, Ministry of Natural Resources</t>
  </si>
  <si>
    <t>Qiao, HJ; Zhang, J (corresponding author), Chinese Acad Sci, Inst Zool, Key Lab Anim Ecol &amp; Conservat Biol, Beijing 100101, Peoples R China.</t>
  </si>
  <si>
    <t>qiaohj@ioz.ac.cn; zhangjie@ioz.ac.cn</t>
  </si>
  <si>
    <t>Wang, Xiangqin/C-8854-2011; Han, Yang/JVN-5921-2024</t>
  </si>
  <si>
    <t>State Oceanic Administration of China [JDXT 2018-03]; Chinese Academy of Sciences, China [XDA19050202]</t>
  </si>
  <si>
    <t>State Oceanic Administration of China; Chinese Academy of Sciences, China(Chinese Academy of Sciences)</t>
  </si>
  <si>
    <t>The grants supporting this research were received from the State Oceanic Administration of China (JDXT 2018-03) and the Chinese Academy of Sciences, China (XDA19050202), both to Dr. Jie Zhang.</t>
  </si>
  <si>
    <t>10.1016/j.dsr2.2022.105077</t>
  </si>
  <si>
    <t>1N5EJ</t>
  </si>
  <si>
    <t>WOS:000800678700002</t>
  </si>
  <si>
    <t>Chernyshev, AV; Polyakova, NE</t>
  </si>
  <si>
    <t>V. Chernyshev, Alexei; Polyakova, Neonila E.</t>
  </si>
  <si>
    <t>Nemerteans collected in the Bering Sea during the research cruises aboard the R/V Akademik MA Lavrentyev in 2016, 2018, and 2021 with an analysis of deep-sea heteronemertean and hoplonemertean species</t>
  </si>
  <si>
    <t>Nemertea; Heteronemertea; Hoplonemertea; Bathyal; Abyssal; Hadal; Phylogeny; Turbo-taxonomy</t>
  </si>
  <si>
    <t>RIBBON WORM RELATIONSHIPS; COMPLEX NEMERTEA; DNA-SEQUENCES; PHYLOGENY; TAXONOMY; EXPEDITION; DIVERSITY; GENERA; GENUS; PALAEONEMERTEA</t>
  </si>
  <si>
    <t>During the research cruises aboard the R/V Akademik M.A. Lavrentyev in 2016, 2018, and 2021 four nemertean species were collected from the bathyal zone of the Bering Sea: Cerebratulus mordukhovichi sp. nov., Lineidae sp. Bering G06, Nipponnemertes cf. rubella (Koryak slope, depths 420???662 m), and Oerstedia sp. (Piip Volcano, depth 783???984 m). These species, as well as deep-sea nemerteans collected in the Northwestern Pacific, the North Atlantic, Arctic, and Antarctic, were included in a phylogenetic analysis of Lineidae, Cratenemertidae, and Oerstediidae based on five gene markers (COI, 16S, 18S, 28S, and histone H3). It has been shown that deep-sea species of Lineidae are found in 8 phylogenetic lineages out of 12, with new Lineage Q comprised only of deepsea species. Lineidae sp. Bering G06 belongs to Lineage G and is closely related to Lineidae sp. 3DS from the abyssal zone of the Sea of Okhotsk. Cerebratulus mordukhovichi sp. nov., found in the Bering Sea and off the Kuril Islands, belongs to Lineage J and the subclade including ???Micrura??? bathyalis, Cerebratulus herculeus, and Cerebratulus californiensis. Nipponnemertes cf. rubella, found at depths from 5 to 662 m in the Bering Sea, off the Kuril Islands, and California, belongs to clade A and is very close to N. pulchra (with COI p-distances within 3.8???4.3%). Oerstedia sp. is the deepest-dwelling of all known members of the genus Oerstedia, but it does not belong to any of the two clades (Oerstedia and Paroerstediella) of this genus. The subgenus Kurilonemertes Chernyshev, 1993 is upgraded to the genus level. The assumption on eurybathic distribution of any nemertean species should be supported by genetic methods. Pseudomicrura afzelii and Gononemertes parasita are confirmed to be eurybathic species found at depths from 15???70 m???886 m.</t>
  </si>
  <si>
    <t>[V. Chernyshev, Alexei; Polyakova, Neonila E.] Russian Acad Sci, Far East Branch, AV Zhirmunsky Natl Sci Ctr Marine Biol, Palchevskogo St 17, Vladivostok 690041, Russia</t>
  </si>
  <si>
    <t>Russian Academy of Sciences; National Scientific Center of Marine Biology, Far East Branch of the Russian Academy of Sciences</t>
  </si>
  <si>
    <t>Chernyshev, AV (corresponding author), Russian Acad Sci, Far East Branch, AV Zhirmunsky Natl Sci Ctr Marine Biol, Palchevskogo St 17, Vladivostok 690041, Russia.</t>
  </si>
  <si>
    <t>nemertea1969@gmail.com</t>
  </si>
  <si>
    <t>Polyakova, Neonila/AAN-7948-2020</t>
  </si>
  <si>
    <t>Polyakova, Neonila/0000-0002-4304-1270</t>
  </si>
  <si>
    <t>Ministry of Science and Higher Education of the Russian Federation [13.1902.21.0012, 075-15-2020-796]</t>
  </si>
  <si>
    <t>The investigations were supported by the Ministry of Science and Higher Education of the Russian Federation (grant ID 13.1902.21.0012, contract No 075-15-2020-796). We thank Dr. Jon L. Norenburg, Prof. Hiroshi Kajihara, Prof. Nuria Anadon, Dr. Saskia Brix, Dr. Vladimir V. Mordukhovich, Vasiliy G. Kuznetzov, Anna E. Vlasenko, and Grigorii V. Malykin for providing the material; Dr. Nadezhda P. Sanamyan and Dr. Anastasiya Maiorova for the color photographs of Nipponnemertes cf. rubella and Cerebratulus mordukhovichi. We are also grateful to Evgeniy P. Shvetsov for proofreading the English of this manuscript.</t>
  </si>
  <si>
    <t>10.1016/j.dsr2.2022.105081</t>
  </si>
  <si>
    <t>1N5IB</t>
  </si>
  <si>
    <t>WOS:000800688300001</t>
  </si>
  <si>
    <t>Van De Vijver, B; Lange-Bertalot, H; Goeyers, C; Mertens, A; Schuster, TM; Ector, L</t>
  </si>
  <si>
    <t>van De Vijver, Bart; Lange-Bertalot, Horst; Goeyers, Charlotte; Mertens, Adrienne; Schuster, Tanja M.; Ector, Luc</t>
  </si>
  <si>
    <t>The identity of Eunotia paludosa Grunow 1862 (Eunotiaceae, Bacillariophyta), a revision, and the description of three new species of Eunotia Ehrenberg</t>
  </si>
  <si>
    <t>PHYTOTAXA</t>
  </si>
  <si>
    <t>Arctic region; Eunotia; Europe; morphology; sub-Antarctica; type material</t>
  </si>
  <si>
    <t>INHABITING DIATOM COMMUNITIES; ILE AMSTERDAM; GENUS EUNOTIA; HABITATS; ISLAND</t>
  </si>
  <si>
    <t>Eunotia paludosa is an abundant and frequent diatom species in ombrotrophic, Sphagnum-dominated bog ponds in Europe. Analysis of the type material from Mandling, Austria, revealed that our currently accepted concept of E. paludosa, based on morphology, was incorrect. The valves in the type population of E. paludosa possess distinct, relatively large, acute spines on the dorsal margin, which are not present in what is currently understood under E. paludosa. Based on the comparison with the E. paludosa type material, three new Eunotia species are described. Eunotia sphagnicola encompasses all European populations formerly and thus incorrectly identified as E. paludosa. The former E. paludosa populations in the sub-Antarctic region are described as E. insularum, a widespread species on almost all sub-Antarctic islands. Finally, E. zackenbergensis was described from Greenland. The three new species differ from each other in valve dimensions, valve outline and shape of the apices.</t>
  </si>
  <si>
    <t>[van De Vijver, Bart; Goeyers, Charlotte] Meise Bot Garden Meise, Res Dept, Nieuwelaan 38, B-1860 Meise, Belgium; [van De Vijver, Bart] Univ Antwerp, Dept Biol ECOSPHERE, Univ Pl 1, B-2610 Wilnjk, Belgium; [Lange-Bertalot, Horst] Goethe Univ, Bot Inst, Frankfurt, Germany; [Mertens, Adrienne] Diatomella, IJkelaarstr 3, NL-6611 KN Overasselt, Netherlands; [Schuster, Tanja M.] Nat Hist Museum, Dept Bot, Herbarium, Burgring 7, A-1010 Vienna, Austria; [Ector, Luc] Luxembourg Inst Sci &amp; Technol LIST, Environm Res &amp; Innovat ERIN Dept, Observ Climate Environm &amp; BiodiversiO OCEB, 41 Rue Brill, L-4422 Belvaux, Luxembourg</t>
  </si>
  <si>
    <t>Goethe University Frankfurt; Luxembourg Institute of Science &amp; Technology</t>
  </si>
  <si>
    <t>Van De Vijver, B (corresponding author), Meise Bot Garden Meise, Res Dept, Nieuwelaan 38, B-1860 Meise, Belgium.;Van De Vijver, B (corresponding author), Univ Antwerp, Dept Biol ECOSPHERE, Univ Pl 1, B-2610 Wilnjk, Belgium.</t>
  </si>
  <si>
    <t>bart.vandevijver@plantentuinmeise.be; charlotte.goeyers@plantentuinmeise.be; adrienne@diatomella.nl; Tanja.Schuster@NHM-WIEN.AC.AT</t>
  </si>
  <si>
    <t>Schuster, Tanja M./0000-0003-0851-3372; Van de Vijver, Bart/0000-0002-6244-1886; Goeyers, Charlotte/0000-0002-1573-3923; Ector, Luc/0000-0002-4573-9445</t>
  </si>
  <si>
    <t>MAGNOLIA PRESS</t>
  </si>
  <si>
    <t>AUCKLAND</t>
  </si>
  <si>
    <t>PO BOX 41383, AUCKLAND, ST LUKES 1030, NEW ZEALAND</t>
  </si>
  <si>
    <t>1179-3155</t>
  </si>
  <si>
    <t>1179-3163</t>
  </si>
  <si>
    <t>Phytotaxa</t>
  </si>
  <si>
    <t>10.11646/phytotaxa.545.3.2</t>
  </si>
  <si>
    <t>1M6OP</t>
  </si>
  <si>
    <t>WOS:000800088300001</t>
  </si>
  <si>
    <t>Jansen, J; Woolley, SNC; Dunstan, PK; Foster, SD; Hill, NA; Haward, M; Johnson, CR</t>
  </si>
  <si>
    <t>Jansen, Jan; Woolley, Skipton N. C.; Dunstan, Piers K.; Foster, Scott D.; Hill, Nicole A.; Haward, Marcus; Johnson, Craig R.</t>
  </si>
  <si>
    <t>Stop ignoring map uncertainty in biodiversity science and conservation policy</t>
  </si>
  <si>
    <t>NATURE ECOLOGY &amp; EVOLUTION</t>
  </si>
  <si>
    <t>SPECIES DISTRIBUTION</t>
  </si>
  <si>
    <t>[Jansen, Jan; Hill, Nicole A.; Haward, Marcus; Johnson, Craig R.] Univ Tasmania, Inst Marine &amp; Antarctic Studies, Hobart, Tas, Australia; [Woolley, Skipton N. C.] Univ Melbourne, Sch Ecosyst &amp; Forest Sci, Parkville, Vic, Australia; [Woolley, Skipton N. C.; Dunstan, Piers K.] CSIRO Oceans &amp; Atmosphere, Hobart, Tas, Australia; [Foster, Scott D.] CSIRO Data61, Hobart, Tas, Australia</t>
  </si>
  <si>
    <t>University of Tasmania; University of Melbourne; Commonwealth Scientific &amp; Industrial Research Organisation (CSIRO); Commonwealth Scientific &amp; Industrial Research Organisation (CSIRO)</t>
  </si>
  <si>
    <t>Jansen, J (corresponding author), Univ Tasmania, Inst Marine &amp; Antarctic Studies, Hobart, Tas, Australia.</t>
  </si>
  <si>
    <t>Jan.Jansen@utas.edu.au</t>
  </si>
  <si>
    <t>Foster, Scott D/E-9311-2010; Dunstan, Piers K/B-7309-2016; Jansen, Jan/O-8632-2014; Haward, Marcus/G-3369-2014; Hill, Nicole/J-7856-2014; Johnson, Craig/E-1788-2013</t>
  </si>
  <si>
    <t>Jansen, Jan/0000-0001-5896-365X; Woolley, Skipton/0000-0001-7022-0509; Haward, Marcus/0000-0003-4775-0864; Hill, Nicole/0000-0001-9329-6717; Johnson, Craig/0000-0002-9511-905X</t>
  </si>
  <si>
    <t>2397-334X</t>
  </si>
  <si>
    <t>NAT ECOL EVOL</t>
  </si>
  <si>
    <t>Nat. Ecol. Evol.</t>
  </si>
  <si>
    <t>10.1038/s41559-022-01778-z</t>
  </si>
  <si>
    <t>Ecology; Evolutionary Biology</t>
  </si>
  <si>
    <t>Environmental Sciences &amp; Ecology; Evolutionary Biology</t>
  </si>
  <si>
    <t>2S7JO</t>
  </si>
  <si>
    <t>WOS:000794102000003</t>
  </si>
  <si>
    <t>Oh, J; Son, SW; Choi, J; Lim, EP; Garfinkel, C; Hendon, H; Kim, Y; Kang, HS</t>
  </si>
  <si>
    <t>Oh, Jiyoung; Son, Seok-Woo; Choi, Jung; Lim, Eun-Pa; Garfinkel, Chaim; Hendon, Harry; Kim, Yoonjae; Kang, Hyun-Suk</t>
  </si>
  <si>
    <t>Impact of stratospheric ozone on the subseasonal prediction in the southern hemisphere spring</t>
  </si>
  <si>
    <t>PROGRESS IN EARTH AND PLANETARY SCIENCE</t>
  </si>
  <si>
    <t>Antarctic ozone; Downward coupling; Subseasonal-to-seasonal prediction</t>
  </si>
  <si>
    <t>CLIMATE-CHANGE; DEPLETION; PERFORMANCE; MECHANISMS; CHEMISTRY; MODELS; SYSTEM</t>
  </si>
  <si>
    <t>Antarctic ozone has been regarded as a major driver of the Southern Hemisphere (SH) circulation change in the recent past. Here, we show that Antarctic ozone can also affect the subseasonal-to-seasonal (S2S) prediction during the SH spring. Its impact is quantified by conducting two reforecast experiments with the Global Seasonal Forecasting System 5 (GloSea5). Both reforecasts are initialized on September 1st of each year from 2004 to 2020 but with different stratospheric ozone: one with climatological ozone and the other with year-to-year varying ozone. The reforecast with climatological ozone, which is common in the operational S2S prediction, shows the skill re-emergence in October after a couple of weeks of no prediction skill in the troposphere. This skill re-emergence, mostly due to the stratosphere-troposphere dynamical coupling, becomes stronger in the reforecast with year-to-year varying ozone. The surface prediction skill also increases over Australia. This result suggests that a more realistic stratospheric ozone could lead to improved S2S prediction in the SH spring.</t>
  </si>
  <si>
    <t>[Oh, Jiyoung; Son, Seok-Woo; Choi, Jung] Seoul Natl Univ, Sch Earth &amp; Environm Sci, 1 Gwanak Ro, Seoul 08826, South Korea; [Oh, Jiyoung; Kim, Yoonjae; Kang, Hyun-Suk] Korea Meteorol Adm, Daejeon, South Korea; [Lim, Eun-Pa] Bur Meteorol, Melbourne, Vic, Australia; [Garfinkel, Chaim] Hebrew Univ Jerusalem, Fredy &amp; Nadine Herrmann Inst Earth Sci, Jerusalem, Israel; [Hendon, Harry] Monash Univ, Melbourne, Vic, Australia</t>
  </si>
  <si>
    <t>Seoul National University (SNU); Korea Meteorological Administration (KMA); Bureau of Meteorology - Australia; Hebrew University of Jerusalem; Monash University</t>
  </si>
  <si>
    <t>Son, SW (corresponding author), Seoul Natl Univ, Sch Earth &amp; Environm Sci, 1 Gwanak Ro, Seoul 08826, South Korea.</t>
  </si>
  <si>
    <t>projy001@snu.ac.kr; seokwooson@snu.ac.kr</t>
  </si>
  <si>
    <t>Son, Seok-Woo/A-8797-2013; garfinkel, chaim I/AAA-1134-2020</t>
  </si>
  <si>
    <t>garfinkel, chaim I/0000-0001-7258-666X; Simangan, Mon Erick/0000-0002-2480-245X</t>
  </si>
  <si>
    <t>National Research Foundation of Korea (NRF) [2017R1E1A1A01074889]; NRF R&amp;D Program for Oceans and Polar Regions - Ministry of Science and ICT [NRF-2020M1A5A1110579]</t>
  </si>
  <si>
    <t>National Research Foundation of Korea (NRF)(National Research Foundation of Korea); NRF R&amp;D Program for Oceans and Polar Regions - Ministry of Science and ICT(National Research Foundation of Korea)</t>
  </si>
  <si>
    <t>This work was supported by the National Research Foundation of Korea (NRF) grant (2017R1E1A1A01074889) and NRF R&amp;D Program for Oceans and Polar Regions (NRF-2020M1A5A1110579) funded by the Ministry of Science and ICT.</t>
  </si>
  <si>
    <t>2197-4284</t>
  </si>
  <si>
    <t>PROG EARTH PLANET SC</t>
  </si>
  <si>
    <t>Prog. Earth Planet. Sci.</t>
  </si>
  <si>
    <t>10.1186/s40645-022-00485-4</t>
  </si>
  <si>
    <t>1F0MQ</t>
  </si>
  <si>
    <t>WOS:000794871700001</t>
  </si>
  <si>
    <t>Southwell, C; Emmerson, L</t>
  </si>
  <si>
    <t>Southwell, Colin; Emmerson, Louise</t>
  </si>
  <si>
    <t>Resolving uncertainty in historical observations of the Adelie penguin breeding distribution in southern Prydz Bay, East Antarctica</t>
  </si>
  <si>
    <t>accuracy; baseline; metapopulation; occupancy; spatial ecology; spatial referencing</t>
  </si>
  <si>
    <t>The sophisticated spatial reference tools that exist today greatly facilitate studies of spatial ecology. Historically, however, the lack of such tools meant that spatial data were often imprecise, ambiguous or sometimes inaccurate. This can hinder or confound assessments of whether species distributions have changed in the past over decadal timescales. This is the case for Adelie penguins breeding at the southern limit of their breeding range in East Antarctica. In this short note, we resolve uncertainties in the locations of Adelie penguin breeding sites observed in the first population survey in Prydz Bay in 1981 by examining the original working notes of that work in combination with data from a recent survey in 2009 and a recently published spatial reference and identification system for coastal East Antarctica. By clarifying the historical locations, we conclude that the Adelie penguin breeding distribution has remained unchanged in this region over the past three decades, and we provide a robust baseline for assessing change in the future.</t>
  </si>
  <si>
    <t>[Southwell, Colin; Emmerson, Louise] Australian Antarctic Div, Dept Agriculiure Water &amp; Environm, Channel Highway, Kingston, Tas 7050, Australia</t>
  </si>
  <si>
    <t>Australian Antarctic Division</t>
  </si>
  <si>
    <t>Southwell, C (corresponding author), Australian Antarctic Div, Dept Agriculiure Water &amp; Environm, Channel Highway, Kingston, Tas 7050, Australia.</t>
  </si>
  <si>
    <t>colin.southwell@aad.gov.au</t>
  </si>
  <si>
    <t>[4088]; [4518]</t>
  </si>
  <si>
    <t>;</t>
  </si>
  <si>
    <t>We thank Michael Whitehead for making his original workings available to the Australian Antarctic Data Centre, and two reviewers for their constructive comments. This work was conducted as part of Australian Antarctic Science projects 4088 and 4518.</t>
  </si>
  <si>
    <t>PII S0954102022000062</t>
  </si>
  <si>
    <t>10.1017/S0954102022000062</t>
  </si>
  <si>
    <t>WOS:000794420700001</t>
  </si>
  <si>
    <t>Sousa-Lima, RS; Oliveira, JEL; Bassoi, M; dos Santos, FJ; Oliveira, LR</t>
  </si>
  <si>
    <t>Sousa-Lima, Renata S.; Lins Oliveira, Jorge E.; Bassoi, Manuela; dos Santos, Fernando Jose; Oliveira, Larissa R.</t>
  </si>
  <si>
    <t>Sub-Antarctic fur seal, Arctocephalus tropicalis, crossing hemispheres far offshore at Sao Pedro and Sao Paulo archipelago, Brazil</t>
  </si>
  <si>
    <t>Sub-Antarctic fur seal; Vagrant; Circumpolar distribution; Saint Peter and Saint Paul Rocks; Dispersal; Climate change</t>
  </si>
  <si>
    <t>POPULATION-CHANGES; COAST; RECORDS; GAZELLA; BAHIA</t>
  </si>
  <si>
    <t>Unusual records of marine organisms beyond their known distribution range aid the identification of dispersal capabilities, health issues, changing oceanographic patterns and/or anomalies, and may drive attention to underlying shifts in the polar marine environment. Here we report on an adult male sub-Antarctic fur seal, Arctocephalus tropicalis, sighted at Saint Peter and Saint Paul archipelago, also known as Arquipelago de Sao Pedro e Sao Paulo (ASPSP) (00 degrees 56' N; 29 degrees 22' W), Brazil, on January 18-21, 2022. The animal appeared healthy and stayed in the rocky islands of the archipelago making frequent incursions to sea. We have compiled information from wandering individuals A. tropicalis and found that this is the first indisputable record for the species in the ASPSP, crossing the ecuador to the Northern Hemisphere. We suggest that it comes from Gough or Tristan da Cunha islands which are the closest breeding locations of this species. Therefore, this male traveled at least similar to 5500 km from the natal area and was 1931 km north from the second northernmost sighting of this species in Ascension Island. We speculate that this species may be using currents and/or shallower mid-ocean ridges to guide dispersal routes from subpolar regions to the North.</t>
  </si>
  <si>
    <t>[Sousa-Lima, Renata S.; Bassoi, Manuela] Univ Fed Rio Grande do Norte, Ctr Biociencias, Dept Fisiol &amp; Comportamento, Lab Ecol Comportamental &amp; Acust LECA, BR-59078970 Natal, RN, Brazil; [Sousa-Lima, Renata S.; Bassoi, Manuela] Univ Fed Rio Grande do Norte, Ctr Biociencias, Dept Fisiol &amp; Comportamento, Lab Bioacust LaB, BR-59078970 Natal, RN, Brazil; [Lins Oliveira, Jorge E.] Univ Fed Rio Grande do Norte, Ctr Biociencias, Dept Oceanog &amp; Limnol, BR-59090001 Natal, RN, Brazil; [Sousa-Lima, Renata S.; Bassoi, Manuela] Univ Fed Rio Grande do Norte, Programa Posgrad Psicobiol, BR-59078970 Natal, RN, Brazil; [dos Santos, Fernando Jose] Marinha Brasil, BR-59040150 Natal, RN, Brazil; [Oliveira, Larissa R.] Univ Vale Rio dos Sinos, Lab Ecol Mamiferos, Sao Leopoldo, Brazil; [Oliveira, Larissa R.] Grp Estudos Mamiferos Aquat Rio Grande Sul GEMARS, Torres, Brazil</t>
  </si>
  <si>
    <t>Universidade Federal do Rio Grande do Norte; Universidade Federal do Rio Grande do Norte; Universidade Federal do Rio Grande do Norte; Universidade Federal do Rio Grande do Norte; Universidade do Vale do Rio dos Sinos (Unisinos)</t>
  </si>
  <si>
    <t>Sousa-Lima, RS (corresponding author), Univ Fed Rio Grande do Norte, Ctr Biociencias, Dept Fisiol &amp; Comportamento, Lab Ecol Comportamental &amp; Acust LECA, BR-59078970 Natal, RN, Brazil.;Sousa-Lima, RS (corresponding author), Univ Fed Rio Grande do Norte, Ctr Biociencias, Dept Fisiol &amp; Comportamento, Lab Bioacust LaB, BR-59078970 Natal, RN, Brazil.;Sousa-Lima, RS (corresponding author), Univ Fed Rio Grande do Norte, Programa Posgrad Psicobiol, BR-59078970 Natal, RN, Brazil.</t>
  </si>
  <si>
    <t>sousalima.renata@gmail.com</t>
  </si>
  <si>
    <t>Sousa-Lima, Renata S./O-7550-2015; Sousa-Lima, Renata S./AAD-4096-2020</t>
  </si>
  <si>
    <t>Sousa-Lima, Renata S./0000-0002-2638-1695; Sousa-Lima, Renata S./0000-0002-2638-1695; Bassoi, Manuela/0000-0003-4376-1128; Lins Oliveira, Jorge Eduardo/0000-0002-2841-7102</t>
  </si>
  <si>
    <t>Globalstar do Brasil; Brazilian Council for Scientific and Technological Development (CNPq-Brazil) [4433082019-5, 312763/2019-0]; CNPq-Brazil [310621/2017-8]; Coordenacao de Aperfeicoamento de Pessoal de Nivel Superior-Brasil (CAPES) [001]</t>
  </si>
  <si>
    <t>Globalstar do Brasil; Brazilian Council for Scientific and Technological Development (CNPq-Brazil)(Conselho Nacional de Desenvolvimento Cientifico e Tecnologico (CNPQ)); CNPq-Brazil(Conselho Nacional de Desenvolvimento Cientifico e Tecnologico (CNPQ)); Coordenacao de Aperfeicoamento de Pessoal de Nivel Superior-Brasil (CAPES)(Coordenacao de Aperfeicoamento de Pessoal de Nivel Superior (CAPES))</t>
  </si>
  <si>
    <t>RSL thanks Globalstar do Brasil for funding and support, the Brazilian Council for Scientific and Technological Development (CNPq-Brazil) for funding (process number 4433082019-5) and for her research fellowship (process number 312763/2019-0). LRO also thanks CNPq-Brazil for providing a research fellowship (process number 310621/2017-8). This study was financed in part by the Coordenacao de Aperfeicoamento de Pessoal de Nivel Superior-Brasil (CAPES)Finance Code 001.</t>
  </si>
  <si>
    <t>10.1007/s00300-022-03046-z</t>
  </si>
  <si>
    <t>WOS:000794083500001</t>
  </si>
  <si>
    <t>Faltynková, A; Kudlai, O; Salganskiy, OO; Korol, EM; Kuzmina, TA</t>
  </si>
  <si>
    <t>Faltynkova, Anna; Kudlai, Olena; Salganskiy, Oleksander O.; Korol, Eleonora M.; Kuzmina, Tetiana A.</t>
  </si>
  <si>
    <t>Trematodes from Antarctic teleost fishes off Argentine Islands, West Antarctica: molecular and morphological data</t>
  </si>
  <si>
    <t>SYSTEMATIC PARASITOLOGY</t>
  </si>
  <si>
    <t>1976 DIGENEA OPECOELIDAE; WEDDELL SEA; NEOLEBOURIA GIBSON; MACVICARIA GIBSON; LEPOCREADIIDAE DIGENEA; NOTOTHENIA-CORIICEPS; AKADEMIK VERNADSKY; NORTHEAST ATLANTIC; SPECIES RICHNESS; HOST-SPECIFICITY</t>
  </si>
  <si>
    <t>In 2014-2015 and 2019-2021, teleost fishes off Galindez Island (Antarctic Peninsula) were examined for trematodes. Combined morphological and molecular analyses revealed the presence of eight trematode species of four families (Hemiuridae, Lecithasteridae, Opecoelidae, Lepidapedidae) from five fish species. Only adult trematodes were found and all of them are Antarctic endemics with their congeners occurring on other continents. The hemiuroids, Elytrophalloides oatesi (Leiper &amp; Atkinson, 1914), Genolinea bowersi (Leiper &amp; Atkinson, 1914), and Lecithaster macrocotyle Szidat &amp; Graefe, 1967 belong to the most common Antarctic species and together with Lepidapedon garrardi (Leiper &amp; Atkinson, 1914) and Neolebouria georgiensis Gibson, 1976 they were recorded as the least host-specific parasites. The originally sub-Antarctic Neolepidapedon macquariensis Zdzitowiecki, 1993 is a new record for the Antarctic Peninsula and Parachaenichthys charcoti (Vaillant), is a new host record. Neolebouria terranovaensis Zdzitowiecki, Pisano &amp; Vacchi, 1993 is considered a synonym of N. georgiensis because of identical morphology and dimensions. The currently known phylogenetic relationships within the studied families are supported, including the polyphyly of Macvicaria Gibson &amp; Bray, 1982 with the future need to accommodate its Antarctic species in a new genus. The validity of M. georgiana (Kovaleva &amp; Gaevskaja, 1974) and M. magellanica Laskowski, Jezewski &amp; Zdzitowiecki, 2013 needs to be confirmed by further analyses. Genetic sequence data are still scarce from Antarctica, and more studies applying integrative taxonomic approaches and large-scale parasitological examinations of benthic invertebrates are needed to match sequences of larval stages to those of well-characterised adults and to elucidate trematode life-cycles.</t>
  </si>
  <si>
    <t>[Faltynkova, Anna; Kudlai, Olena] Czech Acad Sci, Inst Parasitol, Biol Ctr, Branisovska 31, Ceske Budejovice 37005, Czech Republic; [Faltynkova, Anna] Mendel Univ Brno, Fac Forestry &amp; Wood Technol, Dept Forest Ecol, Zemedelska 3, Brno 61300, Czech Republic; [Kudlai, Olena] Nat Res Ctr, Inst Ecol, Akad 2, LT-08412 Vilnius, Lithuania; [Salganskiy, Oleksander O.] Natl Antarctic Sci Ctr, State Inst, Taras Shevchenko Blvd 16, UA-01601 Kiev, Ukraine; [Salganskiy, Oleksander O.] Natl Univ Life &amp; Environm Sci Ukraine, Hero Oborony St 15, UA-03041 Kiev, Ukraine; [Korol, Eleonora M.] NAS Ukraine, Natl Museum Nat Hist, Bogdan Khmelnytsky St 15, UA-01030 Kiev, Ukraine; [Kuzmina, Tetiana A.] NAS Ukraine, II Schmalhausen Inst Zool, Bogdan Khmelnytsky St 15, UA-01030 Kiev, Ukraine</t>
  </si>
  <si>
    <t>Czech Academy of Sciences; Biology Centre of the Czech Academy of Sciences; Mendel University in Brno; Nature Research Center - Lithuania; Ministry of Education &amp; Science of Ukraine; State Institution National Antarctic Scientific Center; National University of Life &amp; Environmental Sciences of Ukraine; National Academy of Sciences Ukraine; National Museum of Natural History, NAS of Ukraine; National Academy of Sciences Ukraine; Schmalhausen Institute of Zoology of NASU</t>
  </si>
  <si>
    <t>Faltynková, A (corresponding author), Czech Acad Sci, Inst Parasitol, Biol Ctr, Branisovska 31, Ceske Budejovice 37005, Czech Republic.</t>
  </si>
  <si>
    <t>faltyn.anna@gmail.com</t>
  </si>
  <si>
    <t>Kudlai, Olena/N-5139-2015; Kuzmina, Tetiana/A-5457-2019; Korol, Eleonora/O-4148-2016</t>
  </si>
  <si>
    <t>Kudlai, Olena/0000-0002-5346-1658; Kuzmina, Tetiana/0000-0002-5054-4757; Korol, Eleonora/0000-0002-4061-5179; Faltynkova, Anna/0000-0003-3013-5881</t>
  </si>
  <si>
    <t>National Research Foundation of Ukraine [2020.02/0074]; National Antarctic Scientific Center, Ministry of Education and Science of Ukraine [H/03-2021]; Czech Academy of Sciences [NASU-20-05]; National Academy of Science of Ukraine [NASU-20-05]</t>
  </si>
  <si>
    <t>National Research Foundation of Ukraine; National Antarctic Scientific Center, Ministry of Education and Science of Ukraine; Czech Academy of Sciences(Czech Academy of Sciences); National Academy of Science of Ukraine</t>
  </si>
  <si>
    <t>This study was partially supported by the National Research Foundation of Ukraine (Project Number 2020.02/0074), the National Antarctic Scientific Center, Ministry of Education and Science of Ukraine (Projects H/03-2021) and the Joint Research Project between the National Academy of Science of Ukraine and the Czech Academy of Sciences 2020-2022 (NASU-20-05).</t>
  </si>
  <si>
    <t>0165-5752</t>
  </si>
  <si>
    <t>1573-5192</t>
  </si>
  <si>
    <t>SYST PARASITOL</t>
  </si>
  <si>
    <t>Syst. Parasitol.</t>
  </si>
  <si>
    <t>10.1007/s11230-022-10041-9</t>
  </si>
  <si>
    <t>Parasitology</t>
  </si>
  <si>
    <t>2J4LN</t>
  </si>
  <si>
    <t>WOS:000794102600002</t>
  </si>
  <si>
    <t>Meuriot, O; Lique, C; Plancherel, Y</t>
  </si>
  <si>
    <t>Meuriot, Ophelie; Lique, Camille; Plancherel, Yves</t>
  </si>
  <si>
    <t>Properties, sensitivity, and stability of the Southern Hemisphere salinity minimum layer in the UKESM1 model</t>
  </si>
  <si>
    <t>AAIW; UKESM1; CMIP6; Southern Ocean</t>
  </si>
  <si>
    <t>INTERMEDIATE WATER; OCEAN CIRCULATION; HISTORICAL BIAS; SIMULATION; TRANSPORT; ATLANTIC; FLUXES; WINDS; FLOW</t>
  </si>
  <si>
    <t>Antarctic Intermediate Water (AAIW) is a water mass originating in the Southern Ocean characterised by its low salinity. The properties of the salinity minimum layer that characterise AAIW in the CMIP6 UKESM1 model and its response to different climate change scenarios are investigated. In UKESM1, the depth of the salinity minimum shoals by 116 m in the SSP5-8.5 run compared to the control run by 2080-2100. The salinity minimum also gets warmer (+ 1.9 degrees C) and lighter (- 0.4 kg/m(3)) and surface properties where the salinity minimum outcrops warm, freshen and lighten in all scenarios. In spite of these expected changes in properties, the location where the salinity minimum outcrops does not change in any of the future scenarios. The stability of the outcrop location of the salinity minimum is linked to the relative stability of the position of the Antarctic Circumpolar Current (ACC) in UKESM1. The position of the ACC does not follow the maximum wind stress trend, which intensifies and shifts poleward under radiative forcing. Changes in surface buoyancy fluxes in the region are consistent with the changes in hydrographic properties observed at depth on the salinity minimum mentioned above. However, transformation rates at the density corresponding to the salinity minimum outcrop remain constant in all scenarios. Stability in transformation rates at that density is due to the haline and thermal contributions counteracting one another. This analysis identifies two features (outcrop location, transformation rate) associated with the salinity minimum defining AAIW that show remarkable stability in an otherwise changing world. The effect of model resolution and other parameterisations on these findings have yet to be evaluated.</t>
  </si>
  <si>
    <t>[Meuriot, Ophelie; Plancherel, Yves] Imperial Coll London, Earth Sci &amp; Engn, London, England; [Lique, Camille] Univ Brest, CNRS, IRD, Ifremer,Lab Oceanog Phys &amp; Spatiale LOPS,IUEM, F-29280 Brest, France</t>
  </si>
  <si>
    <t>Imperial College London; Institut de Recherche pour le Developpement (IRD); Centre National de la Recherche Scientifique (CNRS); Universite de Bretagne Occidentale; Institut Universitaire Europeen de la Mer (IUEM); Ifremer</t>
  </si>
  <si>
    <t>Meuriot, O (corresponding author), Imperial Coll London, Earth Sci &amp; Engn, London, England.</t>
  </si>
  <si>
    <t>ophelie.meuriot14@imperial.ac.uk; camille.lique@ifremer.fr; y.plancherel@imperial.ac.uk</t>
  </si>
  <si>
    <t>; Lique, Camille/L-5543-2015</t>
  </si>
  <si>
    <t>Plancherel, Yves/0000-0002-3624-0757; Meuriot, Ophelie/0000-0003-0269-1696; Lique, Camille/0000-0002-8357-4928</t>
  </si>
  <si>
    <t>Grantham Institute; UK NERC Science and Solution of a Changing Planet Doctoral Training Programme at Imperial College London</t>
  </si>
  <si>
    <t>This work was supported by the Grantham Institute and the UK NERC Science and Solution of a Changing Planet Doctoral Training Programme at Imperial College London.</t>
  </si>
  <si>
    <t>10.1007/s00382-022-06304-2</t>
  </si>
  <si>
    <t>WOS:000793653300001</t>
  </si>
  <si>
    <t>Colgan, W; Wansing, A; Mankoff, K; Lösing, M; Hopper, J; Louden, K; Ebbing, J; Christiansen, FG; Ingeman-Nielsen, T; Liljedahl, LC; MacGregor, JA; Hjartarson, A; Bernstein, S; Karlsson, NB; Fuchs, S; Hartikainen, J; Liakka, J; Fausto, RS; Dahl-Jensen, D; Bjork, A; Naslund, JO; Mork, F; Martos, Y; Balling, N; Funck, T; Kjeldsen, KK; Petersen, D; Gregersen, U; Dam, G; Nielsen, T; Khan, SA; Lokkegaard, A</t>
  </si>
  <si>
    <t>Colgan, William; Wansing, Agnes; Mankoff, Kenneth; Losing, Mareen; Hopper, John; Louden, Keith; Ebbing, Jorg; Christiansen, Flemming G.; Ingeman-Nielsen, Thomas; Liljedahl, Lillemor Claesson; MacGregor, Joseph A.; Hjartarson, Arni; Bernstein, Stefan; Karlsson, Nanna B.; Fuchs, Sven; Hartikainen, Juha; Liakka, Johan; Fausto, Robert S.; Dahl-Jensen, Dorthe; Bjork, Anders; Naslund, Jens-Ove; Mork, Finn; Martos, Yasmina; Balling, Niels; Funck, Thomas; Kjeldsen, Kristian K.; Petersen, Dorthe; Gregersen, Ulrik; Dam, Gregers; Nielsen, Tove; Khan, Shfaqat A.; Lokkegaard, Anja</t>
  </si>
  <si>
    <t>Greenland Geothermal Heat Flow Database and Map (Version 1)</t>
  </si>
  <si>
    <t>ICE</t>
  </si>
  <si>
    <t>We compile and analyze all available geothermal heat flow measurements collected in and around Greenland into a new database of 419 sites and generate an accompanying spatial map. This database includes 290 sites previously reported by the International Heat Flow Commission (IHFC), for which we now standardize measurement and metadata quality. This database also includes 129 new sites, which have not been previously reported by the IHFC. These new sites consist of 88 offshore measurements and 41 onshore measurements, of which 24 are subglacial. We employ machine learning to synthesize these in situ measurements into a gridded geothermal heat flow model that is consistent across both continental and marine areas in and around Greenland. This model has a native horizontal resolution of 55 km. In comparison to five existing Greenland geothermal heat flow models, our model has the lowest mean geothermal heat flow for Greenland onshore areas. Our modeled heat flow in central North Greenland is highly sensitive to whether the NGRIP (North GReenland Ice core Project) elevated heat flow anomaly is included in the training dataset. Our model's most distinctive spatial feature is pronounced low geothermal heat flow (&lt; 40mWm(2)) across the North Atlantic Craton of southern Greenland. Crucially, our model does not show an area of elevated heat flow that might be interpreted as remnant from the Icelandic plume track. Finally, we discuss the substantial influence of paleoclimatic and other corrections on geothermal heat flow measurements in Greenland. The in situ measurement database and gridded heat flow model, as well as other supporting materials, are freely available from the GEUS Dataverse (https://doi.org/10.22008/FK2/F9P03L; Colgan and Wansing, 2021).</t>
  </si>
  <si>
    <t>[Colgan, William; Mankoff, Kenneth; Hopper, John; Christiansen, Flemming G.; Bernstein, Stefan; Karlsson, Nanna B.; Fausto, Robert S.; Mork, Finn; Funck, Thomas; Kjeldsen, Kristian K.; Gregersen, Ulrik; Dam, Gregers; Nielsen, Tove; Lokkegaard, Anja] Geol Survey Denmark &amp; Greenland, Copenhagen, Denmark; [Wansing, Agnes; Ebbing, Jorg] Univ Kiel, Inst Geosci, Kiel, Germany; [Louden, Keith] Dalhousie Univ, Dept Oceanog, Halifax, NS, Canada; [Ingeman-Nielsen, Thomas] Tech Univ Denmark, Dept Civil Engn, Lyngby, Denmark; [Liljedahl, Lillemor Claesson] DHI Sverige, Stockholm, Sweden; [MacGregor, Joseph A.] NASA, Cryospher Sci Lab, Goddard Space Flight Ctr, Greenbelt, MD USA; [Hjartarson, Arni] Iceland Geosurvey, Reykjavik, Iceland; [Fuchs, Sven] German Res Ctr Geosci, Helmholtz Ctr Potsdam, Potsdam, Germany; [Hartikainen, Juha; Liakka, Johan; Naslund, Jens-Ove] Tampere Univ, Fac Built Environm, Tampere, Finland; [Dahl-Jensen, Dorthe] Univ Manitoba, Ctr Earth Observat Sci, Winnipeg, MB, Canada; [Bjork, Anders] Univ Copenhagen, Dept Geog, Copenhagen, Denmark; [Martos, Yasmina] NASA, Planetary &amp; Magnetospheres Lab, Goddard Space Flight Ctr, Greenbelt, MD USA; [Balling, Niels] Aarhus Univ, Dept Geosci, Aarhus, Denmark; [Petersen, Dorthe] Asiaq Greenland Survey, Nuuk, Greenland; [Khan, Shfaqat A.] Tech Univ Denmark, Natl Space Inst, Lyngby, Denmark</t>
  </si>
  <si>
    <t>Geological Survey Of Denmark &amp; Greenland; University of Kiel; Dalhousie University; Technical University of Denmark; Danish Hydraulic Institute (DHI); National Aeronautics &amp; Space Administration (NASA); NASA Goddard Space Flight Center; Helmholtz Association; Helmholtz-Center Potsdam GFZ German Research Center for Geosciences; Tampere University; University of Manitoba; University of Copenhagen; National Aeronautics &amp; Space Administration (NASA); NASA Goddard Space Flight Center; Aarhus University; Technical University of Denmark</t>
  </si>
  <si>
    <t>Colgan, W (corresponding author), Geol Survey Denmark &amp; Greenland, Copenhagen, Denmark.</t>
  </si>
  <si>
    <t>wic@geus.dk</t>
  </si>
  <si>
    <t>Christiansen, Flemming Getreuer/AGD-9006-2022; Näslund, Jens-Ove/J-8200-2013; Kjeldsen, Kristian Kjellerup/A-9592-2013; Funck, Thomas/G-9981-2018; Fausto, Robert S./K-6185-2018; Colgan, William/ITU-7055-2023; Fuchs, Sven/A-4822-2013; Ebbing, Joerg/B-8796-2013; Ingeman-Nielsen, Thomas/AAS-7397-2020; Dahl-Jensen, Dorthe/AAO-6951-2020; Karlsson, Nanna Bjørnholt/G-4621-2018; Gregersen, Ulrik/G-9185-2018; Mankoff, Kenneth/G-1197-2010; Khan, Shfaqat Abbas/B-2664-2012</t>
  </si>
  <si>
    <t>Christiansen, Flemming Getreuer/0000-0001-6098-9402; Fausto, Robert S./0000-0003-1317-8185; Colgan, William/0000-0001-6334-1660; Fuchs, Sven/0000-0002-2896-6662; Ebbing, Joerg/0000-0001-7492-5338; Ingeman-Nielsen, Thomas/0000-0002-0776-4869; Dahl-Jensen, Dorthe/0000-0002-1474-1948; Gregersen, Ulrik/0000-0001-5946-2582; Wansing, Agnes/0000-0002-5164-7256; Mankoff, Kenneth/0000-0001-5453-2019; Nielsen, Tove/0000-0002-7504-4898; Khan, Shfaqat Abbas/0000-0002-2689-8563; Losing, Mareen/0000-0002-9222-2107</t>
  </si>
  <si>
    <t>Villum Foundation [00022885]; Programme for Monitoring of the Greenland Ice Sheet - Danish Ministry of Climate, Energy and Utilities; European Space Agency through the STSE 3D Earth; German Research Council (DFG) [SPP 1158]; Swedish Nuclear Fuel and Waste Management Company (SKB)</t>
  </si>
  <si>
    <t>Villum Foundation(Villum Fonden); Programme for Monitoring of the Greenland Ice Sheet - Danish Ministry of Climate, Energy and Utilities; European Space Agency through the STSE 3D Earth; German Research Council (DFG)(German Research Foundation (DFG)); Swedish Nuclear Fuel and Waste Management Company (SKB)(Swedish Nuclear Fuel &amp; Waste Management Company (SKB))</t>
  </si>
  <si>
    <t>This publication is made possible by the award HOTROD: Prototype for Rapid Sampling of Ice-Sheet Basal Temperatures supported by the Experiment Programme of the Villum Foundation (grant no. 00022885). This work has also been supported by the Programme for Monitoring of the Greenland Ice Sheet (http://www.promice.dk, last access: 8 February 2022), funded by the Danish Ministry of Climate, Energy and Utilities. Additional support was given by the European Space Agency through the STSE 3D Earth and the German Research Council (DFG) to the projects GreenCrust and Antarctic Heat, the latter in the framework of the priority program SPP 1158: Antarctic Research with Comparable Investigations in Arctic Sea Ice Areas. Observational and modeled data for the DH-GAP04 drill hole were financed by the Swedish Nuclear Fuel and Waste Management Company (SKB).</t>
  </si>
  <si>
    <t>10.5194/essd-14-2209-2022</t>
  </si>
  <si>
    <t>1C9SA</t>
  </si>
  <si>
    <t>WOS:000793451100001</t>
  </si>
  <si>
    <t>Schrader, DL; Davidson, J</t>
  </si>
  <si>
    <t>Schrader, Devin L.; Davidson, Jemma</t>
  </si>
  <si>
    <t>Prolonged early migration of dust from the inner Solar System to the comet-forming region</t>
  </si>
  <si>
    <t>migration; chondrite; comet; Jupiter gap; chondrule; protoplanetary disk</t>
  </si>
  <si>
    <t>CHONDRULE FORMATION; PROTOPLANETARY DISKS; ISOTOPIC EVIDENCE; PARENT BODY; OLIVINE; CHONDRITES; CHRONOLOGY; ORIGIN; AL-26; CR</t>
  </si>
  <si>
    <t>The most abundant group of meteorites currently falling to Earth, ordinary chondrites, originate from S-type (Si-rich) asteroids and are thought to have originated in the inner Solar System. These asteroids typically underwent only minor aqueous alteration but experienced varying degrees of thermal metamorphism that altered their primary compositions and textures. However, some rare members remain unaltered and retain the pristine compositions they obtained in the protoplanetary disk prior to accretion of their parent asteroids. In contrast, comets formed in the icy reaches of the outer Solar System. Here we report on silicate minerals in pristine ordinary chondrites that are compositionally distinct from those in all other known chondrites but show similarities to those found in comet samples returned from Comet Wild 2 by NASA's Stardust mission and those sourced from an unknown number of comets represented by interplanetary dusty particles. The identification of this material suggests that comets may have formed from diverse far-flung Solar System materials, including grains that migrated from the inner Solar System to the comet-forming region between similar to 1 Myr and potentially greater than or similar to 3 Myr after the first Solar System solids formed. This finding suggests that migration from the inner to the outer Solar System lasted for millions of years and that comets are composed of residual materials from the entire early Solar System. (C) 2022 Elsevier B.V. All rights reserved.</t>
  </si>
  <si>
    <t>[Schrader, Devin L.; Davidson, Jemma] Arizona State Univ, Buseck Ctr Meteorite Studies, Sch Earth &amp; Space Explorat, 781 East Terrace Rd, Tempe, AZ 85287 USA</t>
  </si>
  <si>
    <t>Arizona State University; Arizona State University-Tempe</t>
  </si>
  <si>
    <t>Schrader, DL (corresponding author), Arizona State Univ, Buseck Ctr Meteorite Studies, Sch Earth &amp; Space Explorat, 781 East Terrace Rd, Tempe, AZ 85287 USA.</t>
  </si>
  <si>
    <t>devin.schrader@asu.edu</t>
  </si>
  <si>
    <t>Schrader, Devin L/H-6293-2012</t>
  </si>
  <si>
    <t>Schrader, Devin/0000-0001-5282-232X</t>
  </si>
  <si>
    <t>NSF; NASA; Buseck Center for Meteorite Studies at Arizona State University; [NNCI-ECCS-1542160]</t>
  </si>
  <si>
    <t>NSF(National Science Foundation (NSF)); NASA(National Aeronautics &amp; Space Administration (NASA)); Buseck Center for Meteorite Studies at Arizona State University;</t>
  </si>
  <si>
    <t>For supplying the samples that were necessary for this work, the authors would like to thank the Smithsonian Institution, NASA/NSF, and the American Meteorite Laboratory (AML).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would like to thank Tim McCoy for helpful discussions during coerced geocaching expeditions, and are grateful to Axel Wittmann for assistance with the EPMA at ASU and Ken Domanik for assistance with the EPMA at UA. We are grateful to Thorsten Kleine, two anonymous reviewers, and Editor Frederic Moynier, whose constructive comments improved the quality of the manuscript. We dedicate this work to the memory of Mr. Cavill Chow, whose loyalty, humor, and ability to listen were unmatched and will always be remembered. We acknowledge the use of facilities within the Eyring Materials Center at Arizona State University supported in part by NNCI-ECCS-1542160. This work was funded in part by the Buseck Center for Meteorite Studies at Arizona State University.</t>
  </si>
  <si>
    <t>10.1016/j.epsl.2022.117552</t>
  </si>
  <si>
    <t>3G7XS</t>
  </si>
  <si>
    <t>WOS:000831563400001</t>
  </si>
  <si>
    <t>Zidarova, R; Ivanov, P; Dzhembekova, N; De Haan, M; Van de Vijver, B</t>
  </si>
  <si>
    <t>Zidarova, Ralitsa; Ivanov, Plamen; Dzhembekova, Nina; de Haan, Myriam; van de Vijver, Bart</t>
  </si>
  <si>
    <t>Two new Halamphora (Bacillariophyta) species from the marine coasts off Livingston Island, Antarctica</t>
  </si>
  <si>
    <t>PHYTOKEYS</t>
  </si>
  <si>
    <t>Amphora sensu lato; diatoms; marine benthos; taxonomy</t>
  </si>
  <si>
    <t>KING GEORGE ISLAND; SP NOV.; DIATOM; AMPHORA; GENUS; REVISION; LIGHT</t>
  </si>
  <si>
    <t>During a survey of the marine benthic diatom flora on the coasts off Livingston Island (South Shetland Islands, Maritime Antarctic Region), two Halamphora species that could not be identified based on the currently available literature, were observed. Detailed light and scanning electron microscopy observations and thorough comparison with similar taxa in the literature revealed that both taxa should be described as new species. The first taxon, Halamphora kenderoviana sp. nov., was most likely misidentified in past Antarctic studies, and included within the range of another taxon, Halamphora coffeaeformis. Analysis of literature data showed that the second new taxon, Halamphora moncheviana sp. nov., has been previously reported from the Antarctic Continent (but as an unidentified species). The new taxa are compared with similar Halamphora taxa worldwide. Data on their ecology and distribution are also provided.</t>
  </si>
  <si>
    <t>[Zidarova, Ralitsa; Dzhembekova, Nina] Bulgarian Acad Sci, Inst Oceanol, 40 Parvi May Str, Varna 9000, Bulgaria; [Ivanov, Plamen] Bulgarian Acad Sci, Inst Biodivers &amp; Ecosyst Res, 2 Mayor Yurii Gagarin Str, Sofia 1113, Bulgaria; [de Haan, Myriam; van de Vijver, Bart] Meise Bot Garden, Nieuwelaan 38, B-1860 Meise, Belgium; [van de Vijver, Bart] Univ Antwerp, ECOSPHERE, Dept Biol, Univ Pl 1, B-2610 Antwerp, Belgium</t>
  </si>
  <si>
    <t>Bulgarian Academy of Sciences; Bulgarian Academy of Sciences; University of Antwerp</t>
  </si>
  <si>
    <t>Zidarova, R (corresponding author), Bulgarian Acad Sci, Inst Oceanol, 40 Parvi May Str, Varna 9000, Bulgaria.</t>
  </si>
  <si>
    <t>zidarova.r@gmail.com</t>
  </si>
  <si>
    <t>Zidarova, Ralitsa/I-3793-2017; de Haan, Myriam/AAB-5646-2020; Dzhembekova, Nina/HTN-3019-2023</t>
  </si>
  <si>
    <t>de Haan, Myriam/0000-0003-1868-1265; Dzhembekova, Nina/0000-0001-9620-6422; Ivanov, Plamen/0000-0003-2215-7984; Zidarova, Ralitsa/0000-0002-6451-0099</t>
  </si>
  <si>
    <t>National Center for Polar Studies, Bulgaria [80-10-239/2018, 70.25-175/2019]</t>
  </si>
  <si>
    <t>National Center for Polar Studies, Bulgaria</t>
  </si>
  <si>
    <t>Analyses were conducted within Contracts 80-10-239/2018 and 70.25-175/2019 with the National Center for Polar Studies, Bulgaria. Logistic support for the field work was provided by the Bulgarian Antarctic Institute. All members of the 27th and 28th Bulgarian Antarctic Expeditions are greatly acknowledged for their help during field work at South Bay, Livingston Island. LM observations were conducted at Olympus BX51 at the Institute of Biodiversity and Ecosystem Research (Bulgarian Academy of Sciences), and SEM micrographs were taken at Meise Botanic Garden, Belgium. We thank David M. Williams and Regine Jahn for their valuable comments on this manuscript.</t>
  </si>
  <si>
    <t>PENSOFT PUBLISHERS</t>
  </si>
  <si>
    <t>SOFIA</t>
  </si>
  <si>
    <t>12 PROF GEORGI ZLATARSKI ST, SOFIA, 1700, BULGARIA</t>
  </si>
  <si>
    <t>1314-2011</t>
  </si>
  <si>
    <t>1314-2003</t>
  </si>
  <si>
    <t>PhytoKeys</t>
  </si>
  <si>
    <t>MAY 11</t>
  </si>
  <si>
    <t>10.3897/phytokeys.195.81632</t>
  </si>
  <si>
    <t>1V0BL</t>
  </si>
  <si>
    <t>WOS:000805766300002</t>
  </si>
  <si>
    <t>Sierro, FJ; Andersen, N</t>
  </si>
  <si>
    <t>Sierro, Francisco J.; Andersen, Nils</t>
  </si>
  <si>
    <t>An exceptional record of millennial-scale climate variability in the southern Iberian Margin during MIS 6: Impact on the formation of sapropel S6</t>
  </si>
  <si>
    <t>Mediterranean over flow; MIS6; Penultimate glaciation; Millennial climate change; Sapropel; Mediterranean overturning; Meltwater; Ice sheets</t>
  </si>
  <si>
    <t>EASTERN MEDITERRANEAN SEA; ICE-SHEET DYNAMICS; ISOTOPE STAGE 6; NORTH-ATLANTIC; CHRONOLOGY AICC2012; CONTOURITE SYSTEM; LATE PLEISTOCENE; ANTARCTIC ICE; GREENLAND ICE; ASIAN MONSOON</t>
  </si>
  <si>
    <t>The study of planktic and benthic 818O at site U1389 in the Gulf of Cadiz allowed us to reconstruct climate variability during the penultimate glacial period at an unprecedented millennial scale resolution. Hereby, a sequence of interstadial-stadial episodes similar to the Dansgaard-Oeschger events recorded during Marine Isotope Stage (MIS)3, were recognized in MIS6. After a detailed correlation with millennial-scale variability recorded along the Iberian margin and the North Atlantic we were able to link the millennial changes next to the Iberian Peninsula with Antarctic climate variability due to the interhemispheric seesaw response of the Atlantic circulation. The straight coupling at site U1389 of a) the planktic 818O that reflects climate change in the Atlantic with b) the benthic 818O, which records the temperature and oxygen isotope composition of the mixture of Mediterranean Outflow and Atlantic intermediate water, indicates that millennial climate variability also had a strong impact on the eastern Mediterranean. The detailed analysis of the benthic 813C and the fine sand content in the sediments from site U1389 led us to recognize the response of the Mediterranean overflow water (MOW) to millennial scale changes in Mediterranean overturning circulation during the penultimate glaciation. Both Mediterranean Overturning Circulation and MOW strength increased at times of cool and arid climates and weakened during warm and more humid episodes, similar to what has been described for MIS3. The tuning of MOW weakening events occurring at times of precession minima with eastern Mediterranean sapropels and enhanced Asian monsoon allowed the elaboration of a new chronology for MIS6. It was compared with the Epica Dome C time scale, which was also based on the tuning of atmospheric 818O with Asian Monsoons speleothem records. Mediterranean overturning during MIS6 was also strongly affected by freshwater perturbations occurring at times of insolation maxima, leading to the formation of the glacial sapropel S6. Two major drops in seawater 818O centered at 175 and 150 ky were observed near the entrance of the Mediterranean that were related to meltwater released from the ice sheets, coinciding with periods of insolation maxima. The entry of this meltwater anomaly through the Strait of Gibraltar is clearly registered in the western and eastern Mediterranean, especially at the onset of sapropel S6, suggesting that it was a major component of the freshwater that initiated the buoyancy gain preceding deep water stagnation. (c) 2022 The Author(s). Published by Elsevier Ltd. This is an open access article under the CC BY license (http://creativecommons.org/licenses/by/4.0/).</t>
  </si>
  <si>
    <t>[Sierro, Francisco J.] Univ Salamanca, Dept Geol, Plaza Caidos S-N, Salamanca 37008, Spain; [Andersen, Nils] Christian Albrechts Univ Kiel, Leibniz Lab Radiometr Dating &amp; Isotope Res, Kiel, Germany</t>
  </si>
  <si>
    <t>University of Salamanca; University of Kiel</t>
  </si>
  <si>
    <t>Sierro, FJ (corresponding author), Univ Salamanca, Dept Geol, Plaza Caidos S-N, Salamanca 37008, Spain.</t>
  </si>
  <si>
    <t>sierro@usal.es</t>
  </si>
  <si>
    <t>Sierro, Francisco/A-4714-2008</t>
  </si>
  <si>
    <t>Sierro, Francisco/0000-0002-8647-456X</t>
  </si>
  <si>
    <t>Ministry of Economy of Spain [RTI2018-099489-B-10 0]; Junta de Castilla y Leon UIC (Unidad de investigacion consolidada) 102</t>
  </si>
  <si>
    <t>Ministry of Economy of Spain(Spanish Government); Junta de Castilla y Leon UIC (Unidad de investigacion consolidada) 102(Junta de Castilla y Leon)</t>
  </si>
  <si>
    <t>The International Ocean Discovery Program is acknowledged for programming the expedition 339 to investigate the Mediterranean Outflow and providing the samples used in this study. We also appreciate the assistance of Jose Ignacio Martin Cruz for his invaluable work on sample processing and foraminifer picking. This work was funded by the Ministry of Economy of Spain Project RTI2018-099489-B-10 0 and Junta de Castilla y Leon UIC (Unidad de investigacion consolidada) 102. Chronis Tzedakis and Vasiliki Margari are gratefully acknowledged for providing the pollen and benthic oxygen isotope data from core MD01-2444. Stephen Barker is acknowledged for providing the N. pachyderma left abundance data from ODP site 983.</t>
  </si>
  <si>
    <t>10.1016/j.quascirev.2022.107527</t>
  </si>
  <si>
    <t>WOS:000803954700005</t>
  </si>
  <si>
    <t>Pardo, LM; Garrido, I; Chaparro, OR; Johnson, LE</t>
  </si>
  <si>
    <t>Pardo, Luis Miguel; Garrido, Ignacio; Chaparro, Oscar R.; Johnson, Ladd E.</t>
  </si>
  <si>
    <t>Vulnerability in Antarctic limpets: ready for an invasion of shell-crushing predators?</t>
  </si>
  <si>
    <t>BIOLOGICAL INVASIONS</t>
  </si>
  <si>
    <t>Antarctic benthos; Limpets; King crabs; Shell strength</t>
  </si>
  <si>
    <t>NACELLA-CONCINNA; ADELAIDE ISLAND; OCEAN; CRABS; REPRODUCTION; MORPHOLOGY; EVOLUTION; THICKNESS; STRENGTH; MYTILUS</t>
  </si>
  <si>
    <t>The establishment of non-indigenous species in the Antarctic, an ecosystem isolated for millions of years, could dramatically alter its unique and endemic biota. In coastal waters, calcified species (e.g., echinoderms, gastropods, bivalves) of benthic communities will be particularly vulnerable to shell-crushing (i.e., durophagous) predators such as crabs. The magnitude of changes in the community structure of shallow Antarctic waters potentially produced by such non-indigenous predators will depend on the innate vulnerability of these species (e.g., shell characteristics) and their potential to respond to novel threats (e.g., behavior, shell thickening). This study aims to evaluate the potential interaction between shell-crushing predators and the limpet Nacella concinna, an endemic Antarctic species and one of the most abundant and conspicuous gastropods in intertidal and shallow subtidal zones of the Antarctic. First, we showed that the king crab Lithodes santolla, a representative species of a group of crabs likely to invade Antarctic waters, was able to break the shell of N. concinna and consume it in the laboratory. We then assessed the shell-breaking force of N. concinna living in four Antarctic habitats (two intertidal and two subtidal) and found wide variation in this trait. Finally, we examined shell-breaking force of a subantarctic congener, N. deurata, which naturally coexists with shell-crushing predators in its native range, and found its shell-breaking force to be similar to the strongest populations of the Antarctic species. Taking into account the crushing claw force of crabs and their high consumption rate of limpets, N. concinna will be highly vulnerable to this kind of durophagous predators and may have limited reaction norms for increasing any inducible defenses such as the thickening and hardening of the shell or changes in their behavior in the face of the almost inevitable invasion of shell-crushing predators into the Antarctic marine ecosystem.</t>
  </si>
  <si>
    <t>[Pardo, Luis Miguel; Garrido, Ignacio; Chaparro, Oscar R.] Univ Austral Chile, Inst Ciencias Marinas &amp; Limnol, Fac Ciencias, Valdivia, Chile; [Pardo, Luis Miguel; Garrido, Ignacio; Johnson, Ladd E.] Ctr FONDAP Invest Dinam Ecosistemas Marinos Altas, Valdivia, Chile; [Garrido, Ignacio; Johnson, Ladd E.] Laval Univ, Quebec Ocean, Quebec City, PQ, Canada; [Garrido, Ignacio; Johnson, Ladd E.] Laval Univ, Dept Biol, Quebec City, PQ, Canada</t>
  </si>
  <si>
    <t>Universidad Austral de Chile; Laval University; Laval University</t>
  </si>
  <si>
    <t>Pardo, LM (corresponding author), Univ Austral Chile, Inst Ciencias Marinas &amp; Limnol, Fac Ciencias, Valdivia, Chile.</t>
  </si>
  <si>
    <t>luispardo@uach.cl</t>
  </si>
  <si>
    <t>Johnson, Ladd E/C-7449-2012; Pardo, L M/A-3178-2008</t>
  </si>
  <si>
    <t>Pardo, Luis Miguel/0000-0002-8179-5057</t>
  </si>
  <si>
    <t>FONDAP [15150003]; CONICYT-FONDECYT [1180643]; Direccion de Investigacion y Desarrollo UACH</t>
  </si>
  <si>
    <t>FONDAP; CONICYT-FONDECYT(Comision Nacional de Investigacion Cientifica y Tecnologica (CONICYT)CONICYT FONDECYT); Direccion de Investigacion y Desarrollo UACH</t>
  </si>
  <si>
    <t>We appreciate the invaluable support provided by the IDEAL diving team, particularly Paulina Bruning, Hans Bartsch and Bastian Garrido, and the INACH logistic support in Antarctica. We also thank the journal editor, James Carlton, and the two anonymous reviewers for their valuable input. This study was financially supported by FONDAP Grant #15150003 (IDEAL), CONICYT-FONDECYT Grants # 1180643 (ORC) and Direccion de Investigacion y Desarrollo UACH.</t>
  </si>
  <si>
    <t>1387-3547</t>
  </si>
  <si>
    <t>1573-1464</t>
  </si>
  <si>
    <t>BIOL INVASIONS</t>
  </si>
  <si>
    <t>Biol. Invasions</t>
  </si>
  <si>
    <t>10.1007/s10530-022-02806-6</t>
  </si>
  <si>
    <t>3U9LX</t>
  </si>
  <si>
    <t>WOS:000793617700002</t>
  </si>
  <si>
    <t>Bello, C; Suarez, W; Lavado-Casimiro, W</t>
  </si>
  <si>
    <t>Bello, Cinthya; Suarez, Wilson; Lavado-Casimiro, Waldo</t>
  </si>
  <si>
    <t>Trends and space-time patterns of near-surface temperatures on Maxwell Bay, King George Island, Antarctica</t>
  </si>
  <si>
    <t>Antarctica; climate variability; El Nino-southern oscillation; King George Island; southern annular mode</t>
  </si>
  <si>
    <t>SOUTHERN ANNULAR MODE; ICE CAP; SEA-ICE; ATMOSPHERIC REANALYSES; MASS-BALANCE; CLIMATE; MELT; SIGNATURES; GEOMETRY; RETREAT</t>
  </si>
  <si>
    <t>There is growing interest in the international scientific community in characterizing climate variability in Antarctica because of the continent's fundamental role in regulating the world's climate. Researchers have intensively studied the Antarctic Peninsula since the warming that began in the mid-1950s. This was followed by a subsequent cooling period over the last decades. For this paper, using the available data, we analysed the variability in surface air temperatures at five meteorological stations located on King George Island (KGI) (a subantarctic island that is part of the South Shetland Islands); we also investigated the relationships between the air temperatures and large-scale atmospheric patterns from 1968 to 2019. In this study we found that summer temperatures are above 0 degrees C from December to March and close to melting temperatures (extreme values) in spring and autumn; consequently, a small increase in temperature can have a significant impact on the cryosphere. The statistical analysis of the mean temperatures confirmed a trend toward cooling during the summer and in the mean monthly maximum temperatures over the 1990s at most of the weather stations whose data we analysed. Analysing the teleconnection patterns showed that the Southern Annular Mode (SAM) had strong, direct, and positive correlations during the autumn and less strong connections in spring, winter, and on an annual scale. Furthermore, we observed a lesser influence of El Nino-Southern Oscillation (ENSO).</t>
  </si>
  <si>
    <t>[Bello, Cinthya; Suarez, Wilson; Lavado-Casimiro, Waldo] Molina Natl Agrarian Univ, Doctoral Program Water Resources UNALM DRH, Lima, Peru; [Bello, Cinthya] Minist Foreign Affairs Peru, Antarct Affairs Div MRE ANT, Lima, Peru; [Suarez, Wilson; Lavado-Casimiro, Waldo] Meteorol &amp; Hydrol Serv Peru SENAMHI, Lima, Peru</t>
  </si>
  <si>
    <t>Bello, C (corresponding author), Minist Foreign Affairs Peru, Antarct Affairs Div MRE ANT, Lima, Peru.</t>
  </si>
  <si>
    <t>cinthyabch@gmail.com</t>
  </si>
  <si>
    <t>Bello Chirinos, Cinthya Elizabeth/KHU-5900-2024; Bello, Cinthya/JBI-7052-2023; Suarez, Wilson/JPY-4299-2023</t>
  </si>
  <si>
    <t>Suarez, Wilson/0000-0002-3409-790X; Bello, Cinthya/0000-0003-4154-6379; lavado-casimiro, waldo/0000-0002-0051-0743</t>
  </si>
  <si>
    <t>SCAR</t>
  </si>
  <si>
    <t>We are grateful to SCAR for supporting the READER project over many years.</t>
  </si>
  <si>
    <t>NOV 30</t>
  </si>
  <si>
    <t>10.1002/joc.7661</t>
  </si>
  <si>
    <t>6C0AH</t>
  </si>
  <si>
    <t>WOS:000793445600001</t>
  </si>
  <si>
    <t>Liao, ST; Luo, H; Wang, JF; Shi, Q; Zhang, JL; Yang, QH</t>
  </si>
  <si>
    <t>Liao, Sutao; Luo, Hao; Wang, Jinfei; Shi, Qian; Zhang, Jinlun; Yang, Qinghua</t>
  </si>
  <si>
    <t>An evaluation of Antarctic sea-ice thickness from the Global Ice-Ocean Modeling and Assimilation System based on in situ and satellite observations</t>
  </si>
  <si>
    <t>Antarctic sea ice is an important component of the Earth system. However, its role in the Earth system is still unclear due to limited Antarctic sea-ice thickness (SIT) data. A reliable sea-ice reanalysis can be useful to study Antarctic SIT and its role in the Earth system. Among various Antarctic sea-ice reanalysis products, the Global Ice-Ocean Modeling and Assimilation System (GIOMAS) output is widely used in the research of Antarctic sea ice. As more Antarctic SIT observations with quality control are being released, a further evaluation of Antarctic SIT from GIOMAS is conducted in this study based on in situ and satellite observations. Generally, though only sea-ice concentration is assimilated, GIOMAS can basically reproduce the observed variability in sea-ice volume and its changes in the trend before and after 2013, indicating that GIOMAS is a good option to study the long-term variation in Antarctic sea ice. However, due to deficiencies in the model and asymmetric changes in SIT caused by assimilation, GIOMAS underestimates Antarctic SIT especially in deformed ice regions, which has an impact on not only the mean state of SIT but also the variability. Thus, besides the further development of the model, assimilating additional sea-ice observations (e.g., SIT and sea-ice drift) with advanced assimilation methods may be conducive to a more accurate estimation of Antarctic SIT.</t>
  </si>
  <si>
    <t>[Liao, Sutao; Luo, Hao; Wang, Jinfei; Shi, Qian; Yang, Qinghua] Sun Yat Sen Univ, Sch Atmospher Sci, Zhuhai 519082, Peoples R China; [Liao, Sutao; Luo, Hao; Wang, Jinfei; Shi, Qian; Yang, Qinghua] Southern Marine Sci &amp; Engn Guangdong Lab Zhuhai, Zhuhai 519082, Peoples R China; [Zhang, Jinlun] Univ Washington, Appl Phys Lab, Polar Sci Ctr, Seattle, WA 98105 USA</t>
  </si>
  <si>
    <t>Sun Yat Sen University; Southern Marine Science &amp; Engineering Guangdong Laboratory; Southern Marine Science &amp; Engineering Guangdong Laboratory (Zhuhai); University of Washington; University of Washington Seattle</t>
  </si>
  <si>
    <t>Luo, H (corresponding author), Sun Yat Sen Univ, Sch Atmospher Sci, Zhuhai 519082, Peoples R China.;Luo, H (corresponding author), Southern Marine Sci &amp; Engn Guangdong Lab Zhuhai, Zhuhai 519082, Peoples R China.</t>
  </si>
  <si>
    <t>luohao25@mail.sysu.edu.cn</t>
  </si>
  <si>
    <t>Shi, Qian/0000-0002-4401-6480; Yang, Qinghua/0000-0002-7114-2036; Luo, Hao/0000-0002-3707-3794; Wang, Jinfei/0009-0006-8484-4949</t>
  </si>
  <si>
    <t>National Key R&amp;D Program of China [2019YFC1509102]; National Natural Science Foundation of China [41941009, 41922044, 42006191]; Guangdong Basic and Applied Ba-sic Research Foundation [2020B1515020025]; Norges Forskningsrad [328886]</t>
  </si>
  <si>
    <t>National Key R&amp;D Program of China; National Natural Science Foundation of China(National Natural Science Foundation of China (NSFC)); Guangdong Basic and Applied Ba-sic Research Foundation; Norges Forskningsrad(Research Council of Norway)</t>
  </si>
  <si>
    <t>This study is supported by the National Key R&amp;D Program of China (grant no. 2019YFC1509102), the National Natural Science Foundation of China (grant nos. 41941009, 41922044 and 42006191), the Guangdong Basic and Applied Ba-sic Research Foundation (grant no. 2020B1515020025), and the Norges Forskningsrad (grant no. 328886).</t>
  </si>
  <si>
    <t>10.5194/tc-16-1807-2022</t>
  </si>
  <si>
    <t>1C5YT</t>
  </si>
  <si>
    <t>WOS:000793195000001</t>
  </si>
  <si>
    <t>Coleine, C; Stajich, JE; Selbmann, L</t>
  </si>
  <si>
    <t>Coleine, Claudia; Stajich, Jason E.; Selbmann, Laura</t>
  </si>
  <si>
    <t>Fungi are key players in extreme ecosystems</t>
  </si>
  <si>
    <t>TRENDS IN ECOLOGY &amp; EVOLUTION</t>
  </si>
  <si>
    <t>ROCK-INHABITING FUNGI; IONIZING-RADIATION; YEAST; HABITABILITY; EVOLUTION; LIFE; BIODIVERSITY; ADAPTATION; PHYSIOLOGY; SALTERNS</t>
  </si>
  <si>
    <t>Extreme environments on Earth are typically devoid of macro life forms and are inhabited predominantly by highly adapted and specialized microorganisms. The discovery and persistence of these extremophiles provides tools to model how life arose on Earth and inform us on the limits of life. Fungi, in particular, are among the most extreme-tolerant organisms with highly versatile lifestyles and stunning ecological and morphological plasticity. Here, we overview the most notable examples of extremophilic and stress-tolerant fungi, highlighting their key roles in the functionality and balance of extreme ecosystems. The re-markable ability of fungi to tolerate and even thrive in the most extreme environ-ments, which preclude most organisms, have reshaped current concepts regarding the limits of life on Earth.</t>
  </si>
  <si>
    <t>[Coleine, Claudia; Selbmann, Laura] Univ Tuscia, Dept Ecol &amp; Biol Sci, I-01100 Viterbo, Italy; [Stajich, Jason E.] Univ Calif Riverside, Dept Microbiol &amp; Plant Pathol, Riverside, CA 92521 USA; [Stajich, Jason E.] Univ Calif Riverside, Inst Integrat Genome Biol, Riverside, CA 92521 USA; [Selbmann, Laura] Italian Natl Antarctic Museum MNA, Mycol Sect, I-16121 Genoa, Italy</t>
  </si>
  <si>
    <t>Tuscia University; University of California System; University of California Riverside; University of California System; University of California Riverside</t>
  </si>
  <si>
    <t>Coleine, C (corresponding author), Univ Tuscia, Dept Ecol &amp; Biol Sci, I-01100 Viterbo, Italy.</t>
  </si>
  <si>
    <t>coleine@unitus.it</t>
  </si>
  <si>
    <t>Selbmann, Laura/L-3056-2013; Coleine, Claudia/AAE-1889-2020; Stajich, Jason Eric/C-7297-2008</t>
  </si>
  <si>
    <t>Selbmann, Laura/0000-0002-8967-3329; Coleine, Claudia/0000-0002-9289-6179; Stajich, Jason Eric/0000-0002-7591-0020</t>
  </si>
  <si>
    <t>PNRA postdoctoral fellowship</t>
  </si>
  <si>
    <t>We apologize to all our colleagues working on fungi from extreme environments whose work could not be cited due to space restraints and due to the requirement to cite recent articles primarily. C.C. and L.S. thank the Italian National Program for Antarctic Research (PNRA) for continued support. C.C. is a recipient of a PNRA postdoctoral fellowship. J.E.S. is a CIFAR fellow in the Fungal Kingdom: Threats and Opportunities program.</t>
  </si>
  <si>
    <t>CELL PRESS</t>
  </si>
  <si>
    <t>50 HAMPSHIRE ST, FLOOR 5, CAMBRIDGE, MA 02139 USA</t>
  </si>
  <si>
    <t>0169-5347</t>
  </si>
  <si>
    <t>1872-8383</t>
  </si>
  <si>
    <t>TRENDS ECOL EVOL</t>
  </si>
  <si>
    <t>Trends Ecol. Evol.</t>
  </si>
  <si>
    <t>10.1016/j.tree.2022.02.002</t>
  </si>
  <si>
    <t>Ecology; Evolutionary Biology; Genetics &amp; Heredity</t>
  </si>
  <si>
    <t>Environmental Sciences &amp; Ecology; Evolutionary Biology; Genetics &amp; Heredity</t>
  </si>
  <si>
    <t>1M4MO</t>
  </si>
  <si>
    <t>N</t>
  </si>
  <si>
    <t>WOS:000799945400009</t>
  </si>
  <si>
    <t>Quiroga, E; Ortiz, P; Soto, EH; Salinas, N; Olguin, N; Sands, C</t>
  </si>
  <si>
    <t>Quiroga, Eduardo; Ortiz, Paula; Soto, Eulogio H.; Salinas, Nicole; Olguin, Nicole; Sands, Chester</t>
  </si>
  <si>
    <t>Geographic patterns of soft-bottoms benthic communities in Chilean Patagonian fjords (47°S-54°S)-influence of environmental stress on diversity patterns and stable isotope signatures</t>
  </si>
  <si>
    <t>PROGRESS IN OCEANOGRAPHY</t>
  </si>
  <si>
    <t>Glaciomarine and glaciofluvial environments; Organismal stable isotopes; C; N ratios</t>
  </si>
  <si>
    <t>ORGANIC-MATTER; SPECIES-DIVERSITY; CARBON; SEA; DISCHARGE; SEDIMENTS; MAGELLAN; NITROGEN; CHILOE</t>
  </si>
  <si>
    <t>The benthic community in the Chilean Patagonia is as rich and highly diverse as the spatial variation of its habitats and food sources. Environmental stress from glacier melt and river discharge are known drivers of benthic community dynamics. Here, we analyze longitudinal patterns of soft-bottom benthic communities across transects of glacier-marine environments and how these habitats may respond to changes in the environmental conditions. To assess the relationships between environmental heterogeneity (marine and glacial habitats) and benthic biodiversity, this paper reviews biological (mega- and macroinfauna) and sedimentological dataset from multiple oceanographic campaigns in Chilean Patagonian fjords. Furthermore, we analyze isotopic compositions of epibenthic and macroinfaunal organisms (613C/615N and C/N) to determine particulate organic carbon (POC) and particulate organic nitrogen (PON) availability and organismal stoichiometric budgets within each benthic community. Our results showed that glaciomarine and glaciofluvial environmental stress negatively affected nutrient reservoirs and organic matter (OM) availability, and hence produced changes in benthic diversity and trophic structure throughout the fjords. These conditions shaped the benthic community where small-bodied polychaetes and opportunistic species dominated. Additionally, we found a strong relationship between OM and nutrient availability with faunal isotopic composition, but a decoupling in C/N ratios between fauna and sediment OM, suggesting preferential organic carbon use under limited nitrogen in fjord sediments.</t>
  </si>
  <si>
    <t>[Quiroga, Eduardo; Olguin, Nicole] Pontificia Univ Catolica Valparaiso, Escuela Ciencias Mar, Ave Univ 330, Valparaiso, Chile; [Quiroga, Eduardo] Univ Concepcion, Ctr Invest Oceanograf COPAS Sur Austral &amp; COPAS CO, Concepcion, Chile; [Ortiz, Paula] Ctr Invest Ecosistemas Patagonia CIEP, Coyhaique, Chile; [Soto, Eulogio H.] Univ Valparaiso, Fac Ciencias Mar &amp; Recursos Nat, Ctr Observac Marino Estudios Riesgos Ambiente Cost, Vina Del Mar, Chile; [Sands, Chester] NERC, British Antarctic Survey, Madingley Rd, Cambridge CB3 0ET, England</t>
  </si>
  <si>
    <t>Pontificia Universidad Catolica de Valparaiso; Universidad de Concepcion; Universidad de Valparaiso; UK Research &amp; Innovation (UKRI); Natural Environment Research Council (NERC); NERC British Antarctic Survey</t>
  </si>
  <si>
    <t>Quiroga, E (corresponding author), Pontificia Univ Catolica Valparaiso, Escuela Ciencias Mar, Ave Univ 330, Valparaiso, Chile.</t>
  </si>
  <si>
    <t>eduardo.quiroga@pucv.cl</t>
  </si>
  <si>
    <t>Olguin, Nicole/J-8666-2015</t>
  </si>
  <si>
    <t>Sands, Chester/0000-0003-1028-0328; Quiroga, Eduardo/0000-0002-7651-0213</t>
  </si>
  <si>
    <t>National Oceanographic Committee (CONA-CHILE) [CONA-C23F-1709, C25F 19-05]; Research Department of the PUCV [DII-PUCV 223.730/2016]; COPAS Sur-Austral ANID [AFB170006]; COPAS COASTAL [FB210021]</t>
  </si>
  <si>
    <t>National Oceanographic Committee (CONA-CHILE); Research Department of the PUCV; COPAS Sur-Austral ANID; COPAS COASTAL</t>
  </si>
  <si>
    <t>This research was funded by the National Oceanographic Committee (CONA-CHILE; Grants: No CONA-C23F-1709 and No C25F 19-05). We thank the Research Department of the PUCV (Grant No. DII-PUCV 223.730/2016) and the Research Department of the PUCV to Dra. Nicole Olguin during 2017 and 2018. We also are grateful for the financial and logistical support by COPAS Sur-Austral ANID AFB170006 and COPAS COASTAL FB210021. This piece of research is the fourth contribution from the LOBOS Team (Laboratorio de Oceanografia y Bentos the PUCV. P. Ortiz is a candidate for the PhD in Sciences and Technologies for the Environment and the Territory, Marine Sciences, from the University of Genoa (Cycle XXXIII). This work was carried out within the framework of her doctoral research. We thank G. Daneri and P. Montero (Centro de Investigacion en Ecosistemas de la Patagonia) and G. Bavestrello and F. Betti (Dipartimento di Scienze della Terra dell'Ambiente della Vita, Universita degli Studi di Genova, Italy) for their support to P. Ortiz. We are thankful to the captain (Rodrigo Mansilla) and crew of the R/V Sur-Austral (COPAS Sur-Austral, Tortel, Chile), and to Juan Ramon from the staff of Centro de Investigacion en Ecosistemas de la Patagonia (CIEP, Chile) for their important assistance during every occasion of fieldwork in the Martinez-Baker fjords. We also thank I. Cari, C. Andrade (UMAG), and M. Barramuno for their support in compiling the MBFs database. This manuscript is dedicated to the memory of Nelson Silva, chemical oceanographer, and pioneer of marine investigation at Chilean Patagonia.</t>
  </si>
  <si>
    <t>0079-6611</t>
  </si>
  <si>
    <t>1873-4472</t>
  </si>
  <si>
    <t>PROG OCEANOGR</t>
  </si>
  <si>
    <t>Prog. Oceanogr.</t>
  </si>
  <si>
    <t>10.1016/j.pocean.2022.102810</t>
  </si>
  <si>
    <t>1W3PG</t>
  </si>
  <si>
    <t>WOS:000806687000001</t>
  </si>
  <si>
    <t>Jiang, MZ; Pang, XP; Chen, HY; Chen, DH</t>
  </si>
  <si>
    <t>Jiang, Mengzhen; Pang, Xiaoping; Chen, Haiying; Chen, Danhong</t>
  </si>
  <si>
    <t>Ecological integrity evaluation along the antarctic coast: A case study on the Fildes Peninsula</t>
  </si>
  <si>
    <t>CONTINENTAL SHELF RESEARCH</t>
  </si>
  <si>
    <t>Climate change; Human activities; Biology and ecology; Ecological integrity</t>
  </si>
  <si>
    <t>KING GEORGE ISLAND; ECOSYSTEM INTEGRITY; ARDLEY ISLAND; CONTAMINATION; ESTUARY; IMAGERY</t>
  </si>
  <si>
    <t>Temperature increase, ice melting and human activities on the Antarctic Peninsula remarkably impact the regional ecosystem by causing environmental pollution, biodiversity change, and population variation in species. The theory of ecological integrity provides an important basis for environmental management in the Antarctic region. In this study, we found environmental problems during the Chinese 35th Antarctic scientific expeditions and built an evaluation index system of ecological integrity for the Antarctic coast. The index system included climate change (I-CC), human activities (I-HA), and biology and ecology (I-BE). We used the index system to evaluate the ecological integrity on the Fildes Peninsula, Antarctica, in 2018. The results showed that the ecological integrity (I-CHB) score was 0.60, and the ecological integrity of the study region was good. The I-CC, I-HA, and IBE scores in Hierarchy 2, 2018, were 0.48, 0.68, and 0.62, respectively. These findings suggest that climate change has had a major impact on the ecological integrity of the study area. These results can inform quantitative decision-making for the environmental conservation of the Antarctic coast.</t>
  </si>
  <si>
    <t>[Jiang, Mengzhen; Pang, Xiaoping] Wuhan Univ, Chinese Antarctic Ctr Surveying &amp; Mapping, 129 Luoyu Rd, Wuhan 430079, Peoples R China; [Jiang, Mengzhen; Chen, Haiying] Third Inst Oceanog, Minist Nat Resources, Xiamen 361005, Peoples R China; [Chen, Danhong] Chinese Arctic &amp; Antarctic Adm, Beijing 100860, Peoples R China</t>
  </si>
  <si>
    <t>Wuhan University; Ministry of Natural Resources of the People's Republic of China; Third Institute of Oceanography, Ministry of Natural Resources</t>
  </si>
  <si>
    <t>Pang, XP (corresponding author), Wuhan Univ, Chinese Antarctic Ctr Surveying &amp; Mapping, 129 Luoyu Rd, Wuhan 430079, Peoples R China.</t>
  </si>
  <si>
    <t>pxp@whu.edu.cn</t>
  </si>
  <si>
    <t>National Natural Science Foundation of China [42006189]; Response and Feedback of the Southern Ocean to Climate Change [RFSOCC2020-2025]; Scientific Research Foundation of Third Institute of Oceanography [2019032]; National Key Research and Development Program of China [2019YFC1509101]; Chinese Projects for Investigations and Assessments of the Arctic and Antarctic [CHI-NARE2016-2020, 01-04, 02-01, 03-04]</t>
  </si>
  <si>
    <t>National Natural Science Foundation of China(National Natural Science Foundation of China (NSFC)); Response and Feedback of the Southern Ocean to Climate Change; Scientific Research Foundation of Third Institute of Oceanography; National Key Research and Development Program of China; Chinese Projects for Investigations and Assessments of the Arctic and Antarctic</t>
  </si>
  <si>
    <t>This work was supported by the National Natural Science Foundation of China (42006189) ; Response and Feedback of the Southern Ocean to Climate Change (RFSOCC2020-2025) ; Chinese Projects for Investigations and Assessments of the Arctic and Antarctic (CHI-NARE2016-2020 for 01-04, 02-01, and 03-04) ; Scientific Research Foundation of Third Institute of Oceanography, MNR (No. 2019032) ; and National Key Research and Development Program of China (2019YFC1509101) .</t>
  </si>
  <si>
    <t>0278-4343</t>
  </si>
  <si>
    <t>1873-6955</t>
  </si>
  <si>
    <t>CONT SHELF RES</t>
  </si>
  <si>
    <t>Cont. Shelf Res.</t>
  </si>
  <si>
    <t>10.1016/j.csr.2022.104747</t>
  </si>
  <si>
    <t>1N2WH</t>
  </si>
  <si>
    <t>WOS:000800520900001</t>
  </si>
  <si>
    <t>Sparaventi, E; Rodriguez-Romero, A; Navarro, G; Tovar-Sanchez, A</t>
  </si>
  <si>
    <t>Sparaventi, Erica; Rodriguez-Romero, Araceli; Navarro, Gabriel; Tovar-Sanchez, Antonio</t>
  </si>
  <si>
    <t>A Novel Automatic Water Autosampler Operated From UAVs for Determining Dissolved Trace Elements</t>
  </si>
  <si>
    <t>remote water sampling; Antarctic waters; dissolved trace element; unmanned aerial vehicle; UAV; biogeochemical cycle</t>
  </si>
  <si>
    <t>DECEPTION ISLAND; CADMIUM; SYSTEMS; METALS; ZINC</t>
  </si>
  <si>
    <t>Monitoring water systems under extreme conditions or in remote areas poses a risk to scientists and staff involved, and can also result in disturbances to the local flora and fauna. In order to overcome these limitations, new techniques are being developed with the aim to gain more insight into how geochemical pathways of trace elements regulate the functioning of the ocean. Here, we present the first trace metals and inorganic nutrients concentrations measured in dissolved (&lt;0.22 mu m) surface water samples collected in the Antarctic by using an Automatic Water Autosampler (AWA) system onboard an unmanned aerial vehicle (UAV). The AWA system has been used to chemically quantify the composition of the water masses (lake and coastal water) of Deception Island (South Shetland Islands, Antarctica), with, for example, Pb values ranging from 0.01 to 0.25 nM in seawater and 1.20 to 2.11 nM in lake water. The results demonstrate the effectiveness of the AWA system in environmental studies that require the sampling of trace metals and nutrients without sample contamination.</t>
  </si>
  <si>
    <t>[Sparaventi, Erica; Navarro, Gabriel; Tovar-Sanchez, Antonio] CSIC, Inst Marine Sci Andalusia ICMAN, Dept Ecol &amp; Coastal Management, Puerto Real, Spain; [Rodriguez-Romero, Araceli] Univ Cadiz, Marine Res Inst INMAR, Fac Marine &amp; Environm Sci, Dept Analyt Chem, Cadiz, Spain</t>
  </si>
  <si>
    <t>Consejo Superior de Investigaciones Cientificas (CSIC); CSIC - Instituto de Ciencias Marinas de Andalucia (ICMAN); Universidad de Cadiz</t>
  </si>
  <si>
    <t>Sparaventi, E (corresponding author), CSIC, Inst Marine Sci Andalusia ICMAN, Dept Ecol &amp; Coastal Management, Puerto Real, Spain.</t>
  </si>
  <si>
    <t>erica.sparaventi@csic.es</t>
  </si>
  <si>
    <t>Tovar-Sánchez, Antonio/B-8003-2010; Rodríguez, Araceli/GXM-7707-2022</t>
  </si>
  <si>
    <t>Rodríguez, Araceli/0000-0002-6718-1040; Tovar-Sanchez, Antonio/0000-0003-4375-1982; Sparaventi, Erica/0000-0002-7578-8918</t>
  </si>
  <si>
    <t>Spanish Government [RTI2018-098048-B-I00, EQC2018-004275-P, EQC2019-005721-P]; Spanish FPI [PRE2019-089679]; Spanish grant, Juan de la Cierva Incorporacion [IJC2018-037545-I]</t>
  </si>
  <si>
    <t>Spanish Government(Spanish Government); Spanish FPI(National Health &amp; Medical Research Council (NHMRC) of Australia); Spanish grant, Juan de la Cierva Incorporacion</t>
  </si>
  <si>
    <t>This research has been funded by the Spanish Government projects PIMETAN (ref. RTI2018-098048-B-I00), EQC2018-004275-P and EQC2019-005721-P. ES is supported by the Spanish FPI grant (Ref: PRE2019-089679) and AR-R is supported by the Spanish grant, Juan de la Cierva Incorporacion (Ref: IJC2018-037545-I).</t>
  </si>
  <si>
    <t>MAY 10</t>
  </si>
  <si>
    <t>10.3389/fmars.2022.879953</t>
  </si>
  <si>
    <t>1S3CJ</t>
  </si>
  <si>
    <t>WOS:000803932000001</t>
  </si>
  <si>
    <t>Trevisan, C; Dutra, T; Ianuzzi, R; Sander, A; Wilberger, T; Manriquez, LME; Mansilla, H; Leppe, M</t>
  </si>
  <si>
    <t>Trevisan, Cristine; Dutra, Tania; Ianuzzi, Roberto; Sander, Andrea; Wilberger, Thiers; Manriquez, Leslie Marcela Elizabeth; Mansilla, Hector; Leppe, Marcelo</t>
  </si>
  <si>
    <t>Coniopteris antarctica sp. nov. (Pteridophyta) and associated plant assemblage from the Upper Cretaceous of Rip Point, Nelson Island, Antarctica</t>
  </si>
  <si>
    <t>CRETACEOUS RESEARCH</t>
  </si>
  <si>
    <t>Dicksoniaceae; Antarctic Peninsula; Upper Cretaceous; Paleoecology; Taphonomy</t>
  </si>
  <si>
    <t>SOUTH SHETLAND ISLANDS; LIVINGSTON ISLAND; JURASSIC FLORA; PITYROGRAMMA-CALOMELANOS; ANGIOSPERM LEAVES; ALEXANDER-ISLAND; WILLIAMS POINT; LATADY BASIN; BOTANY BAY; FERNS</t>
  </si>
  <si>
    <t>Fossil plants are reported from beds exposed on northern Nelson Island, South Shetland Islands. The fossiliferous beds are exposed near sea level and constitute the basal intervals of sedimentary succession at Rip Point. The low diversity macrofossil assemblage contains only charcoalified woods and isolated fern pinnae. However, the palynoassemblage from the same beds contains typical Antarctic Late Mesozoic pollen and spores of Nothofagus, conifers, ferns and fungi. The sterile and probable pteridophytic remains are assigned to the Coniopteris. The dark tuff lithologies, with evidence of alteration and recrystallization, and similarities between the fossil assemblage and others in the Antarctic Peninsula support a Late Cretaceous age. The persistence of Coniopteris until the Late Cretaceous in Antarctica compares with its range in Northern regions and follows its cosmopolitan distribution during the Jurassic its patchy distribution at the end of the Cretaceous is indicative of persistence in moist, cool, high latitude refugia, especially in insular environments, before its final extinction.0 2022 Elsevier Ltd. All rights reserved.</t>
  </si>
  <si>
    <t>[Trevisan, Cristine; Mansilla, Hector; Leppe, Marcelo] Chilean Antarctic Inst INACH, Antarctic &amp; Patagonia Paleobiol Lab, Lautaro Navarro 1245, Punta Arenas, Chile; [Dutra, Tania; Wilberger, Thiers; Manriquez, Leslie Marcela Elizabeth] Ctr Exact &amp; Technol Sci Vale Rio Sinos Univ UNISIN, Grad Program Geol, Ave Unisinos 950, BR-93022000 Sao Leopoldo, RS, Brazil; [Ianuzzi, Roberto] Fed Univ Rio Grande UFRGS, Grad Program Geosci, Ave Bento Goncalves,9500, Porto Alegre, Brazil; [Sander, Andrea] Brazilian Geol Survey CPRM, Banco Prov St,105,Santa Tereza, BR-90840030 Porto Alegre, Brazil</t>
  </si>
  <si>
    <t>Universidade Federal do Rio Grande do Sul</t>
  </si>
  <si>
    <t>Trevisan, C (corresponding author), Chilean Antarctic Inst INACH, Antarctic &amp; Patagonia Paleobiol Lab, Lautaro Navarro 1245, Punta Arenas, Chile.</t>
  </si>
  <si>
    <t>ctrevisan@inach.cl; dutratl@unisinos.br; roberto.iannuzzi@ufrgs.br; andrea.sander@cprm.gov.br; thiersw@gmail.com; less.manriquez@gmail.com; mleppe@inach.cl</t>
  </si>
  <si>
    <t>Leppe, Marcelo/L-5447-2014; Iannuzzi, Roberto/G-3641-2012</t>
  </si>
  <si>
    <t>Leppe, Marcelo/0000-0002-1545-8167; Iannuzzi, Roberto/0000-0003-1432-8106; Trevisan, Cristine/0000-0001-5550-2380</t>
  </si>
  <si>
    <t>CAPES-PROSUP (Coordenacao de Aperfeicoamento de Pessoal de Nivel Superior); CNPq/MCT (Conselho Nacional de Desenvolvimento Cientifico e Tecnologico and Ministerio de Ciencia e Tecnologia); Brazilian Antarctic Program (PROANTAR)</t>
  </si>
  <si>
    <t>CAPES-PROSUP (Coordenacao de Aperfeicoamento de Pessoal de Nivel Superior); CNPq/MCT (Conselho Nacional de Desenvolvimento Cientifico e Tecnologico and Ministerio de Ciencia e Tecnologia)(Conselho Nacional de Desenvolvimento Cientifico e Tecnologico (CNPQ)Fundacao de Apoio a Pesquisa do Distrito Federal (FAPDF)); Brazilian Antarctic Program (PROANTAR)</t>
  </si>
  <si>
    <t>We are grateful to Luiz F. Lopes and Alex B. Duarte for providing the photographs of specimens; to Ronaldo Barboni for improve-ment of some figures; to Vanessa Gallardo by the English review; we want to thank Dr. Mike Pole for the excellent corrections and the anonymous review for the contributions and corrections made. CAPES-PROSUP (Coordenacao de Aperfeicoamento de Pessoal de Nivel Superior) for granting a Master scholarship to the first author; to CNPq/MCT (Conselho Nacional de Desenvolvimento Cientifico e Tecnologico and Ministerio de Ciencia e Tecnologia) and Brazilian Antarctic Program (PROANTAR) by the support during the Antarctic expeditions.</t>
  </si>
  <si>
    <t>ACADEMIC PRESS LTD- ELSEVIER SCIENCE LTD</t>
  </si>
  <si>
    <t>24-28 OVAL RD, LONDON NW1 7DX, ENGLAND</t>
  </si>
  <si>
    <t>0195-6671</t>
  </si>
  <si>
    <t>1095-998X</t>
  </si>
  <si>
    <t>CRETACEOUS RES</t>
  </si>
  <si>
    <t>Cretac. Res.</t>
  </si>
  <si>
    <t>10.1016/j.cretres.2022.105185</t>
  </si>
  <si>
    <t>1M4NJ</t>
  </si>
  <si>
    <t>WOS:000799947500003</t>
  </si>
  <si>
    <t>Zu, YC; Fang, Y; Sun, SW; Yang, G; Gao, LB; Duan, YL</t>
  </si>
  <si>
    <t>Zu, Yongcan; Fang, Yue; Sun, Shuangwen; Yang, Guang; Gao, Libao; Duan, Yongliang</t>
  </si>
  <si>
    <t>The Seasonality of Mesoscale Eddy Intensity in the Southeastern Tropical Indian Ocean</t>
  </si>
  <si>
    <t>seasonality; mesoscale eddy; barotropic instability; baroclinic instability; southeastern tropical Indian Ocean</t>
  </si>
  <si>
    <t>DATA ASSIMILATION SYSTEM; STATISTICAL CHARACTERISTICS; EDDIES; CIRCULATION; TRANSPORT; THROUGHFLOW; VARIABILITY; MECHANISM; DYNAMICS; IMPRINT</t>
  </si>
  <si>
    <t>The seasonality of mesoscale eddy intensity in the southeastern tropical Indian Ocean (SETIO) is investigated using the latest eddy dataset and marine hydrological reanalysis data. The results show that the eddy intensity in an area to the southwest coast of the Java Island has prominent seasonality-eddies in this area are relatively weak during the first half of the year but tend to enhance in August and peak in October. Further analysis reveals that the strong eddies in October are actually developed from the ones mainly formed in July to September, and the barotropic instability and baroclinic instability are the key dynamics for eddy development, but each plays a different role at different development stages. The barotropic instability resulting from the horizontal shear of surface current plays an important role in the early stage of eddy development. However, in the late development stage, the baroclinic instability induced by the sloping pycnocline becomes the major energy contributor of eddy development.</t>
  </si>
  <si>
    <t>[Zu, Yongcan; Fang, Yue; Sun, Shuangwen; Yang, Guang; Gao, Libao; Duan, Yongliang] Minist Nat Resources, Inst Oceanog 1, Key Lab Marine Sci &amp; Numer Modeling, Qingdao, Peoples R China; [Zu, Yongcan; Fang, Yue; Sun, Shuangwen; Yang, Guang; Gao, Libao; Duan, Yongliang] Pilot Natl Lab Marine Sci &amp; Technol, Lab Reg Oceanog &amp; Numer Modeling, Qingdao, Peoples R China; [Zu, Yongcan; Fang, Yue; Sun, Shuangwen; Yang, Guang; Gao, Libao; Duan, Yongliang] Shandong Key Lab Marine Sci &amp; Numer Modeling, Qingdao, Peoples R China</t>
  </si>
  <si>
    <t>First Institute of Oceanography, Ministry of Natural Resources; Ministry of Natural Resources of the People's Republic of China; Laoshan Laboratory</t>
  </si>
  <si>
    <t>Zu, YC; Fang, Y (corresponding author), Minist Nat Resources, Inst Oceanog 1, Key Lab Marine Sci &amp; Numer Modeling, Qingdao, Peoples R China.;Zu, YC; Fang, Y (corresponding author), Pilot Natl Lab Marine Sci &amp; Technol, Lab Reg Oceanog &amp; Numer Modeling, Qingdao, Peoples R China.;Zu, YC; Fang, Y (corresponding author), Shandong Key Lab Marine Sci &amp; Numer Modeling, Qingdao, Peoples R China.</t>
  </si>
  <si>
    <t>zuyongcan@fio.org.cn; yfang@fio.org.cn</t>
  </si>
  <si>
    <t>Sun, Shuangwen/IUN-3908-2023; Zu, Yongcan/KHU-0219-2024</t>
  </si>
  <si>
    <t>Sun, Shuangwen/0000-0003-2569-4953; Gao, Libao/0000-0002-0402-9340; Zu, Yongcan/0000-0002-0097-4644</t>
  </si>
  <si>
    <t>Global Change and Air-Sea Interaction Program [GASI-04-QYQH-03, GASI-01-WINDSTwin]; Basic Scientific Fund for National Public Research Institutes of China [2019Q03, 2018S02]; National Key R&amp;D Program of China [2018YFA0605701, 2019YFC1509102]; National Natural Science Foundation of China [41876030, 41976021, 41606034, 41876231]; Taishan Scholars Project Fund [ts20190963]; Marine S&amp;T Fund of Shandong Province for Pilot National Laboratory for Marine Science and Technology (Qingdao) [2018SDKJ0105-3]; Impact and Response of Antarctic Seas to Climate Change [IRASCC 01-01-01A]</t>
  </si>
  <si>
    <t>Global Change and Air-Sea Interaction Program; Basic Scientific Fund for National Public Research Institutes of China; National Key R&amp;D Program of China; National Natural Science Foundation of China(National Natural Science Foundation of China (NSFC)); Taishan Scholars Project Fund; Marine S&amp;T Fund of Shandong Province for Pilot National Laboratory for Marine Science and Technology (Qingdao); Impact and Response of Antarctic Seas to Climate Change</t>
  </si>
  <si>
    <t>This work is supported by Global Change and Air-Sea Interaction Program (GASI-04-QYQH-03, GASI-01-WINDSTwin), the Basic Scientific Fund for National Public Research Institutes of China (2018S02), the National Key R &amp; D Program of China (2018YFA0605701, 2019YFC1509102), the National Natural Science Foundation of China (41876030, 41976021, 41606034 and 41876231), the Impact and Response of Antarctic Seas to Climate Change (IRASCC 01-01-01A), the Basic Scientific Fund for National Public Research Institutes of China (2019Q03), Taishan Scholars Project Fund (ts20190963) and the Marine S &amp; T Fund of Shandong Province for Pilot National Laboratory for Marine Science and Technology (Qingdao) (No.2018SDKJ0105-3).</t>
  </si>
  <si>
    <t>10.3389/fmars.2022.855832</t>
  </si>
  <si>
    <t>1N0JX</t>
  </si>
  <si>
    <t>WOS:000800351600001</t>
  </si>
  <si>
    <t>Xie, Z; Dommenget, D; McCormack, FS; Mackintosh, AN</t>
  </si>
  <si>
    <t>Xie, Zhiang; Dommenget, Dietmar; McCormack, Felicity S.; Mackintosh, Andrew N.</t>
  </si>
  <si>
    <t>GREB-ISM v1.0: A coupled ice sheet model for the Globally Resolved Energy Balance model for global simulations on timescales of 100 kyr</t>
  </si>
  <si>
    <t>GEOSCIENTIFIC MODEL DEVELOPMENT</t>
  </si>
  <si>
    <t>We introduce a newly developed global ice sheet model coupled to the Globally Resolved Energy Balance (GREB) climate model for the simulation of global ice sheet evolution on timescales of 100 kyr or longer (GREB-ISM v1.0). Ice sheets and ice shelves are simulated on a global grid, fully interacting with the climate simulation of surface temperature, precipitation, albedo, land-sea mask, topography and sea level. Thus, it is a fully coupled atmosphere, ocean, land and ice sheet model. We test the model in ice sheet stand-alone and fully coupled simulations. The ice sheet model dynamics behave similarly to other hybrid SIA (shallow ice approximation) and SSA (shallow shelf approximation) models, but the West Antarctic Ice Sheet accumulates too much ice using present-day boundary conditions. The coupled model simulations produce global equilibrium ice sheet volumes and calving rates like those observed for present-day boundary conditions. We designed a series of idealized experiments driven by oscillating solar radiation forcing on periods of 20, 50 and 100 kyr in the Northern Hemisphere. These simulations show clear interactions between the climate system and ice sheets, resulting in slow buildup and fast decay of ice-covered areas and global ice volume. The results also show that Northern Hemisphere ice sheets respond more strongly to timescales longer than 100 kyr. The coupling to the atmosphere and sea level leads to climate interactions between the Northern and Southern Hemispheres. The model can run global simulations of 100 kyr d(-1) on a desktop computer, allowing the simulation of the whole Quaternary period (2.6 Myr) within 1 month.</t>
  </si>
  <si>
    <t>[Xie, Zhiang; Dommenget, Dietmar; McCormack, Felicity S.; Mackintosh, Andrew N.] Monash Univ, Sch Earth Atmosphere &amp; Environm, Clayton, Vic 3800, Australia; [Xie, Zhiang; Dommenget, Dietmar] Monash Univ, ARC Ctr Excellence Climate Extremes, Sch Earth Atmosphere &amp; Environm, Clayton, Vic 3800, Australia</t>
  </si>
  <si>
    <t>Monash University; Monash University</t>
  </si>
  <si>
    <t>Xie, Z (corresponding author), Monash Univ, Sch Earth Atmosphere &amp; Environm, Clayton, Vic 3800, Australia.;Xie, Z (corresponding author), Monash Univ, ARC Ctr Excellence Climate Extremes, Sch Earth Atmosphere &amp; Environm, Clayton, Vic 3800, Australia.</t>
  </si>
  <si>
    <t>zhiang.xie@monash.edu</t>
  </si>
  <si>
    <t>Dommenget, Dietmar/B-9828-2011; McCormack, Felicity/B-9218-2015</t>
  </si>
  <si>
    <t>Dommenget, Dietmar/0000-0002-5129-7719; McCormack, Felicity/0000-0002-2324-2120; Mackintosh, Andrew/0000-0002-6430-4711</t>
  </si>
  <si>
    <t>Climate Extremes [CE170100023]</t>
  </si>
  <si>
    <t>Climate Extremes</t>
  </si>
  <si>
    <t>This research has been supported by the Climate Extremes (grant no. CE170100023).</t>
  </si>
  <si>
    <t>1991-959X</t>
  </si>
  <si>
    <t>1991-9603</t>
  </si>
  <si>
    <t>GEOSCI MODEL DEV</t>
  </si>
  <si>
    <t>Geosci. Model Dev.</t>
  </si>
  <si>
    <t>10.5194/gmd-15-3691-2022</t>
  </si>
  <si>
    <t>1B8GU</t>
  </si>
  <si>
    <t>WOS:000792671000001</t>
  </si>
  <si>
    <t>Robel, AA; Pegler, SS; Catania, G; Felikson, D; Simkins, LM</t>
  </si>
  <si>
    <t>Robel, Alexander A.; Pegler, Samuel S.; Catania, Ginny; Felikson, Denis; Simkins, Lauren M.</t>
  </si>
  <si>
    <t>Ambiguous stability of glaciers at bed peaks</t>
  </si>
  <si>
    <t>Ice dynamics; ice-sheet modeling; subglacial processes</t>
  </si>
  <si>
    <t>GREENLAND ICE-SHEET; GROUNDING-LINE; THWAITES GLACIER; MASS-LOSS; RETREAT; DYNAMICS; VARIABILITY; BENEATH; IMPACT; BAY</t>
  </si>
  <si>
    <t>Increasing ice flux from glaciers retreating over deepening (retrograde) bed topography has been implicated in the recent acceleration of mass loss from the Greenland and Antarctic ice sheets. We show in observations that some glaciers have remained at peaks in bed topography without retreating despite enduring significant changes in climate. Observations also indicate that some glaciers which persist at bed peaks undergo sudden retreat years or decades after the onset of local ocean or atmospheric warming. Using model simulations, we show that persistence of a glacier at a bed peak is caused by ice slowing as it flows up a reverse-sloping bed to the peak. Persistence at bed peaks may lead to two very different future behaviors for a glacier: one where it persists at a bed peak indefinitely, and another where it retreats from the bed peak after potentially long delays following climate forcing. However, it is nearly impossible to distinguish which of these two future behaviors will occur from current observations. We conclude that inferring glacier stability from observations of persistence obscures our true commitment to future sea-level rise under climate change. We recommend that further research is needed on seemingly stable glaciers to determine their likely future.</t>
  </si>
  <si>
    <t>[Robel, Alexander A.] Georgia Inst Technol, Sch Earth &amp; Atmospher Sci, Atlanta, GA 30332 USA; [Pegler, Samuel S.] Univ Leeds, Sch Math, Leeds, W Yorkshire, England; [Catania, Ginny] Univ Texas Austin, Inst Geophys, Austin, TX 78712 USA; [Felikson, Denis] NASA, Goddard Space Right Ctr, Greenbelt, MD USA; [Simkins, Lauren M.] Univ Virginia, Dept Environm Sci, Clark Hall, Charlottesville, VA 22903 USA</t>
  </si>
  <si>
    <t>University System of Georgia; Georgia Institute of Technology; University of Leeds; University of Texas System; University of Texas Austin; National Aeronautics &amp; Space Administration (NASA); University of Virginia</t>
  </si>
  <si>
    <t>Robel, AA (corresponding author), Georgia Inst Technol, Sch Earth &amp; Atmospher Sci, Atlanta, GA 30332 USA.</t>
  </si>
  <si>
    <t>robel@eas.gatech.edu</t>
  </si>
  <si>
    <t>Catania, Ginny/B-9787-2008; Felikson, Denis/M-2397-2016; Robel, Alexander/ISA-7962-2023</t>
  </si>
  <si>
    <t>Felikson, Denis/0000-0002-3785-5112; Robel, Alexander/0000-0003-4520-0105</t>
  </si>
  <si>
    <t>NSF [1947882]; Office of Polar Programs (OPP); Directorate For Geosciences [1947882] Funding Source: National Science Foundation</t>
  </si>
  <si>
    <t>NSF(National Science Foundation (NSF)); Office of Polar Programs (OPP); Directorate For Geosciences(National Science Foundation (NSF)NSF - Directorate for Geosciences (GEO))</t>
  </si>
  <si>
    <t>J. Christian, S. Buzzard, Z. Rashed and O. Sergienko contributed to helpful discussions during this project. We thank M. Morlighem for providing the ISMIP6 basal shear stress inversions and Cheng Gong for assistance with configuring Elmer/Ice simulations. Rupert Gladstone, Kiya Riverman and many other reviewers provided constructive suggestions. Financial support was provided by NSF grant 1947882 (to A.A.R) during the completion of this project. Computing resources were provided by the Partnership for an Advanced Computing Environment (PACE) at the Georgia Institute of Technology, Atlanta. We are thankful for PACE Research Scientist Fang (Cherry) Liu's assistance on HPC challenges.</t>
  </si>
  <si>
    <t>PII S0022143022000314</t>
  </si>
  <si>
    <t>10.1017/jog.2022.31</t>
  </si>
  <si>
    <t>WOS:000792971500001</t>
  </si>
  <si>
    <t>Sotoudeh, E; Esmaeili, N</t>
  </si>
  <si>
    <t>Sotoudeh, Ebrahim; Esmaeili, Noah</t>
  </si>
  <si>
    <t>Effects of Biotronic® Top3, a feed additive containing organic acids, cinnamaldehyde and a permeabilizing complex on growth, digestive enzyme activities, immunity, antioxidant system and gene expression of barramundi (Lates calcarifer)</t>
  </si>
  <si>
    <t>AQUACULTURE REPORTS</t>
  </si>
  <si>
    <t>Supplement; Plant Extract; Permeabilizer; Antioxidant System; Immune System; IGF 1; Lipase</t>
  </si>
  <si>
    <t>TROUT ONCORHYNCHUS-MYKISS; ALLIUM-SATIVUM POWDER; NILE TILAPIA; OREOCHROMIS-NILOTICUS; INTESTINAL HISTOLOGY; TRANS-CINNAMALDEHYDE; DISEASE RESISTANCE; OXIDATIVE STRESS; PERFORMANCE; FISH</t>
  </si>
  <si>
    <t>The Biotronic (R) Top3 (OCAP: organic acids, cinnamaldehyde, and permeabilising complex) is used for improving microbial community in monogastric animals. This research was aimed to test the five dosages of OCAP (0%: control, 0.05%: OCAP0.05, 0.10%: OCAP0.1, 0.15%: OCAP0.15%, and 0.20%: OCAP0.2) in barramundi (Lates calcarifer) (8.3 +/- 0.3 g) for eight weeks. The results showed a linear relation between OCAP level and growth rate, feed conversion ratio, protease, lipase, lysozyme in serum and mucus, alternative complement activity (ACH50) in serum, catalase, glutathione peroxidase, and malondialdehyde levels (P &lt; 0.05). Accordingly, the OCAP0.2 treatment had the best performance in the abovementioned parameters. While there was no significant difference in expression of heat shock proteins (HSP70, HSP90) and tumour necrosis factor (TNF-a) among groups, interleukins (IL-1 beta, IL-8) were significantly lower in the OCAP0.15 and OCAP0.2 group than others. The expression of IGF-1 followed the growth rate trend. Generally, feeding fish with the OCAP0.2 diet improved growth rate, digestive enzymes activities, immune response, antioxidant system, and gene expressions in barramundi. As the linear relation was observed, supplementing more levels of OCAP to reach a plateau is recommended.</t>
  </si>
  <si>
    <t>[Sotoudeh, Ebrahim] Persian Gulf Univ, Fac Nano &amp; Bio Sci &amp; Technol, Dept Fisheries, Bushehr, Iran; [Esmaeili, Noah] Univ Tasmania, Inst Marine &amp; Antarctic Studies, Hobart, Tas, Australia</t>
  </si>
  <si>
    <t>Persian Gulf University; University of Tasmania</t>
  </si>
  <si>
    <t>Sotoudeh, E (corresponding author), Persian Gulf Univ, Fac Nano &amp; Bio Sci &amp; Technol, Dept Fisheries, Bushehr, Iran.</t>
  </si>
  <si>
    <t>e.sotoudeh@pgu.ac.ir; noah.esmaeili@utas.edu.au</t>
  </si>
  <si>
    <t>Esmaeili, Noah/Q-4536-2019</t>
  </si>
  <si>
    <t>Esmaeili, Noah/0000-0001-8704-939X</t>
  </si>
  <si>
    <t>Persian Gulf University, Iran</t>
  </si>
  <si>
    <t>The authors wish to thank the Persian Gulf University, Iran for its financial support.</t>
  </si>
  <si>
    <t>2352-5134</t>
  </si>
  <si>
    <t>AQUACULT REP</t>
  </si>
  <si>
    <t>Aquacult. Rep.</t>
  </si>
  <si>
    <t>10.1016/j.aqrep.2022.101152</t>
  </si>
  <si>
    <t>1M4QA</t>
  </si>
  <si>
    <t>WOS:000799954500002</t>
  </si>
  <si>
    <t>Malard, LA; Pearce, DA</t>
  </si>
  <si>
    <t>Malard, Lucie A.; Pearce, David A.</t>
  </si>
  <si>
    <t>Bacterial Colonisation: From Airborne Dispersal to Integration Within the Soil Community</t>
  </si>
  <si>
    <t>Arctic ecosystems; airborne dispersal; microbial colonisation; bacterial diversity; snow; soil</t>
  </si>
  <si>
    <t>MICROBIAL COMMUNITY; SNOWMELT INFILTRATION; POTENTIAL SOURCES; ARCTIC SNOW; DIVERSITY; PH; MICROORGANISMS; AVAILABILITY; INCREASES; RESOURCE</t>
  </si>
  <si>
    <t>The deposition of airborne microorganisms into new ecosystems is the first stage of colonisation. However, how and under what circumstances deposited microorganisms might successfully colonise a new environment is still unclear. Using the Arctic snowpack as a model system, we investigated the colonisation potential of snow-derived bacteria deposited onto Arctic soils during and after snowmelt using laboratory-based microcosm experiments to mimic realistic environmental conditions. We tested different melting rate scenarios to evaluate the influence of increased precipitation as well as the influence of soil pH on the composition of bacterial communities and on the colonisation potential. We observed several candidate colonisations in all experiments; with a higher number of potentially successful colonisations in acidoneutral soils, at the average snowmelt rate measured in the Arctic. While the higher melt rate increased the total number of potentially invading bacteria, it did not promote colonisation (snow ASVs identified in the soil across multiple sampling days and still present on the last day). Instead, most potential colonists were not identified by the end of the experiments. On the other hand, soil pH appeared as a determinant factor impacting invasion and subsequent colonisation. In acidic and alkaline soils, bacterial persistence with time was lower than in acidoneutral soils, as was the number of potentially successful colonisations. This study demonstrated the occurrence of potentially successful colonisations of soil by invading bacteria. It suggests that local soil properties might have a greater influence on the colonisation outcome than increased precipitation or ecosystem disturbance.</t>
  </si>
  <si>
    <t>[Malard, Lucie A.; Pearce, David A.] Northumbria Univ, Fac Hlth &amp; Life Sci, Dept Appl Sci, Newcastle Upon Tyne, England; [Malard, Lucie A.] Univ Lausanne, Dept Ecol &amp; Evolut, Lausanne, Switzerland; [Pearce, David A.] NERC, British Antarctic Survey, Cambridge, England</t>
  </si>
  <si>
    <t>Northumbria University; University of Lausanne; UK Research &amp; Innovation (UKRI); Natural Environment Research Council (NERC); NERC British Antarctic Survey</t>
  </si>
  <si>
    <t>Malard, LA; Pearce, DA (corresponding author), Northumbria Univ, Fac Hlth &amp; Life Sci, Dept Appl Sci, Newcastle Upon Tyne, England.;Malard, LA (corresponding author), Univ Lausanne, Dept Ecol &amp; Evolut, Lausanne, Switzerland.;Pearce, DA (corresponding author), NERC, British Antarctic Survey, Cambridge, England.</t>
  </si>
  <si>
    <t>lucie.malard@unil.ch; david.pearce@northumbria.ac.uk</t>
  </si>
  <si>
    <t>European Commission's Marie Sklowdowska Curie Actions program [675546]; Marie Curie Actions (MSCA) [675546] Funding Source: Marie Curie Actions (MSCA)</t>
  </si>
  <si>
    <t>European Commission's Marie Sklowdowska Curie Actions program; Marie Curie Actions (MSCA)(Marie Curie Actions)</t>
  </si>
  <si>
    <t>This work was supported by a grant from the European Commission's Marie Sklowdowska Curie Actions program under project number 675546.</t>
  </si>
  <si>
    <t>MAY 9</t>
  </si>
  <si>
    <t>10.3389/fmicb.2022.782789</t>
  </si>
  <si>
    <t>1K9UI</t>
  </si>
  <si>
    <t>Green Published, Green Accepted, gold</t>
  </si>
  <si>
    <t>WOS:000798939300001</t>
  </si>
  <si>
    <t>Esmaeili, M; Hosseini, H; Zare, M; Akhavan, SR; Rombenso, A</t>
  </si>
  <si>
    <t>Esmaeili, Moha; Hosseini, Hossein; Zare, Mahyar; Akhavan, Sobhan R.; Rombenso, Artur</t>
  </si>
  <si>
    <t>Early Mild Stress along with Lipid Improves the Stress Responsiveness of Oscar (Astronotus ocellatus)</t>
  </si>
  <si>
    <t>AQUACULTURE NUTRITION</t>
  </si>
  <si>
    <t>TROUT ONCORHYNCHUS-MYKISS; JUVENILE RAINBOW-TROUT; DIETARY CARBOHYDRATE/LIPID RATIOS; NONSPECIFIC IMMUNE-RESPONSES; ALLIUM-SATIVUM POWDER; BLUNT SNOUT BREAM; GROWTH-PERFORMANCE; OXIDATIVE STATUS; SALMO-TRUTTA; ENZYME-ACTIVITIES</t>
  </si>
  <si>
    <t>Early-life exposure to mild stressors can assist animals in coping with more stressful events in later life. This study was aimed at investigating how early stress and dietary lipid contents affect growth, hematology, blood biochemistry, immunological responses, antioxidant system, liver enzymes, and stress responses of oscar (Astronotus ocellatus) (6.8 &amp; PLUSMN;0.7 g). Six experimental treatments were HL0Stress (high-lipid diet and without stress), HL2Stresses (high-lipid diet and two-week stress), HL4Stresses (high-lipid diet and four-week stress), LL0Stress (low-lipid diet and without stress), LL2Stresses (low-lipid diet and two-week stress), and LL4Stresses (low-lipid diet and four-week stress). During the ten-week trial, fish fed high-lipid diets grew faster (46.41 +/- 4.67 vs. 38.81 +/- 2.81) and had a lower feed conversion ratio (2.21 vs. 2.60) than those fed low-lipid diets (P &lt; 0.05). After acute confinement stress (AC stress), high-lipid groups had higher survival than low-lipid treatments (81.25% vs 72.92%) (P &lt; 0.05). Fish subjected to two-time stress (2Stresses) had a higher survival rate after AC stress (90.63% vs. 62.50%), hematocrit, white blood cell, blood performance, total protein, high-density lipoproteins, cholesterol, triglyceride, alternative complement activity (ACH50), superoxide dismutase, glutathione peroxidase, and alkaline phosphatase levels than those not stressed (P &lt; 0.05). Contrariwise, glucose, cortisol, alanine aminotransferase, and aspartate aminotransferase levels were significantly lower in the 2Stresses groups compared with 0Stress fish (P &lt; 0.05). Collectively, these findings suggest stressing the signs of adaptation in 2Stresses fish. However, a higher number of early stress events (4Stresses) appears to exceed the threshold of manageable stress levels for this species. In conclusion, the HL2Stresses group outperformed the other treatments in terms of growth, health status, and stress responsiveness. Although fish welfare must be considered, these results suggest that early mild stress can result in a greater survival rate after fish are exposed to later acute stress.</t>
  </si>
  <si>
    <t>[Esmaeili, Moha] Univ Tasmania, Inst Marine &amp; Antarctic Studies, Hobart, Tas, Australia; [Hosseini, Hossein] Razi Univ, Fac Vet Med, Dept Microbiol Pathobiol &amp; Basic Sci, Kermanshah, Iran; [Zare, Mahyar] Univ South Bohemia Ceske Budejovice, Inst Aquaculture &amp; Protect Waters, South Bohemian Res Ctr Aquaculture &amp; Biodivers Hy, Fac Fisheries &amp; Protect Waters, Sadkach 1780, Ceske Budejovice 37005, Czech Republic; [Akhavan, Sobhan R.] Nelson Marlborough Inst Technol, H Block,322 Hardy St,Private Bag 19, Nelson 7042, New Zealand; [Rombenso, Artur] CSIRO, Bribie Isl Res Ctr, Livestock &amp; Aquaculture Program, Agr &amp; Food, Bribie Isl, Qld, Australia</t>
  </si>
  <si>
    <t>University of Tasmania; Razi University; University of South Bohemia Ceske Budejovice; Nelson Marlborough Institute of Technology; Commonwealth Scientific &amp; Industrial Research Organisation (CSIRO)</t>
  </si>
  <si>
    <t>Esmaeili, M (corresponding author), Univ Tasmania, Inst Marine &amp; Antarctic Studies, Hobart, Tas, Australia.</t>
  </si>
  <si>
    <t>moha.esmaeili@utas.edu.au</t>
  </si>
  <si>
    <t>Zare, Mahyar/IWU-8340-2023; Esmaeili, Noah/Q-4536-2019; Rombenso, Artur/B-6978-2019</t>
  </si>
  <si>
    <t>Zare, Mahyar/0000-0002-4063-0563; Esmaeili, Noah/0000-0001-8704-939X; R. Akhavan, Sobhan/0000-0003-4868-8580; Rombenso, Artur/0000-0002-4723-0888</t>
  </si>
  <si>
    <t>Razi University</t>
  </si>
  <si>
    <t>The authors would like to thank Razi University and Abzian for their financial support and for providing space and fish for this research. Thank you is also extended to everyone for their invaluable practical assistance.</t>
  </si>
  <si>
    <t>WILEY-HINDAWI</t>
  </si>
  <si>
    <t>ADAM HOUSE, 3RD FL, 1 FITZROY SQ, LONDON, WIT 5HE, ENGLAND</t>
  </si>
  <si>
    <t>1353-5773</t>
  </si>
  <si>
    <t>1365-2095</t>
  </si>
  <si>
    <t>AQUACULT NUTR</t>
  </si>
  <si>
    <t>Aquac. Nutr.</t>
  </si>
  <si>
    <t>10.1155/2022/8991678</t>
  </si>
  <si>
    <t>1Q5QS</t>
  </si>
  <si>
    <t>Green Accepted, gold</t>
  </si>
  <si>
    <t>WOS:000802742200001</t>
  </si>
  <si>
    <t>González, VR; Renda, EM; Vizán, H; Ganerod, M; Puigdomenech, CG; Zaffarana, CB</t>
  </si>
  <si>
    <t>Ruiz Gonzalez, V; Renda, E. M.; Vizan, H.; Ganerod, M.; Puigdomenech, C. G.; Zaffarana, C. B.</t>
  </si>
  <si>
    <t>Deformation along the Deseado Massif (Patagonia, Argentina) during the Jurassic Period and its relationship with the Gondwana breakup: paleomagnetic and geochronological constraints</t>
  </si>
  <si>
    <t>TECTONOPHYSICS</t>
  </si>
  <si>
    <t>Jurassic; Deseado Massif; Patagonia; Gondwana; Paleomagnetism; 40Ar-39Ar dating</t>
  </si>
  <si>
    <t>SANTA-CRUZ PROVINCE; CHON-AIKE FORMATION; SEA RIFT SYSTEM; SOUTH-ATLANTIC; POLAR WANDER; ANTARCTIC PENINSULA; IGNEOUS ROCKS; MAGMATISM; BASIN; GASTRE</t>
  </si>
  <si>
    <t>This work presents the analysis of paleomagnetic results obtained from four sampling areas of the Jurassic Bahia Laura Complex in the Deseado Massif and their implications on the regional deformation history during the breakup of Gondwana. Paleomagnetic data show cessation of tectonic block rotations about vertical axes around 160 Ma and a change from a transtensional to a mainly extensional tectonic regime. Two biotite samples yielded 40Ar-39Ar radiometric ages: one from the eastern outcrops of the Chon Aike Formation (plateau age of 184.66 +/- 0.55 Ma) and the other from the La Matilde Formation (plateau age of 157.40 +/- 0.65 Ma), located at the central part of the Deseado Massif. Finally, an apparent polar wander path (APWP) was calculated for the Jurassic of South America (200 to 140 Ma). This APWP indicates that South America experienced a northward drift between 200 Ma and 170 Ma, a clockwise rotation (similar to 10 degrees) between 170 Ma and 160 Ma, and a westward drift between 160 Ma and 140 Ma. The 170-160 Ma rotation could has been triggered by the combined effects of the uncoupling of the Antarctic Peninsula, the high rates of subduction of the Phoenix plate beneath Patagonia, the opening of the Rocas Verdes basin and the Weddell Sea, and the cessation of the Tethys slab-pull. Furthermore, the calculated APWP for South America does not support a Jurassic massive true polar wander event.</t>
  </si>
  <si>
    <t>[Ruiz Gonzalez, V; Vizan, H.; Puigdomenech, C. G.] CONICET UBA, Inst Geociencias Basicas Aplicadas &amp; Ambientales, Intendente Guiraldes 2160,C1428EHA, Buenos Aires, DF, Argentina; [Renda, E. M.; Zaffarana, C. B.] CONICET UNRN, Inst Invest Paleobiol &amp; Geol IIPG, Av Roca 1242, General Roca, Rio Negro, Argentina; [Ganerod, M.] Geol Survey Norway, Leiv Erikssonsvei 39, N-7040 Trondheim, Norway</t>
  </si>
  <si>
    <t>Consejo Nacional de Investigaciones Cientificas y Tecnicas (CONICET); University of Buenos Aires; Geological Survey of Norway</t>
  </si>
  <si>
    <t>CONICET UBA, Inst Geociencias Basicas Aplicadas &amp; Ambientales, Intendente Guiraldes 2160,C1428EHA, Buenos Aires, DF, Argentina.</t>
  </si>
  <si>
    <t>vruizgonzalez@gl.fcen.uba.ar</t>
  </si>
  <si>
    <t>Ruiz González, Víctor/JXX-2358-2024</t>
  </si>
  <si>
    <t>Ruiz González, Víctor/0000-0003-4456-5321; Zaffarana, Claudia/0000-0002-3655-2814</t>
  </si>
  <si>
    <t>CONICET (Consejo Nacional de Investigaciones Cientificas de Argentina); UBA (Universidad de Buenos Aires) [PIP 11220120100200CO]; UBACyT [20020150100069BA]</t>
  </si>
  <si>
    <t>CONICET (Consejo Nacional de Investigaciones Cientificas de Argentina); UBA (Universidad de Buenos Aires)(University of Buenos Aires); UBACyT</t>
  </si>
  <si>
    <t>We thank Dr. Graeme K. Taylor for his help in the field and his constructive suggestions, and Dr. Ruben Somoza for his fieldwork and for being the intellectual author of this work. We also thank CONICET (Consejo Nacional de Investigaciones Cientificas de Argentina) and UBA (Universidad de Buenos Aires) for the financial support (PIP 11220120100200CO and UBACyT 20020150100069BA, respectively).</t>
  </si>
  <si>
    <t>0040-1951</t>
  </si>
  <si>
    <t>1879-3266</t>
  </si>
  <si>
    <t>Tectonophysics</t>
  </si>
  <si>
    <t>JUL 5</t>
  </si>
  <si>
    <t>10.1016/j.tecto.2022.229389</t>
  </si>
  <si>
    <t>1K9PQ</t>
  </si>
  <si>
    <t>WOS:000798926900001</t>
  </si>
  <si>
    <t>Yan, S; Blankenship, DD; Greenbaum, JS; Young, DA; Li, L; Rutishauser, A; Guo, JX; Roberts, JL; van Ommen, TD; Siegert, MJ; Sun, B</t>
  </si>
  <si>
    <t>Yan, Shuai; Blankenship, Donald D.; Greenbaum, Jamin S.; Young, Duncan A.; Li, Lin; Rutishauser, Anja; Guo, Jingxue; Roberts, Jason L.; van Ommen, Tas D.; Siegert, Martin J.; Sun, Bo</t>
  </si>
  <si>
    <t>A newly discovered subglacial lake in East Antarctica likely hosts a valuable sedimentary record of ice and climate change</t>
  </si>
  <si>
    <t>GEOLOGY</t>
  </si>
  <si>
    <t>PRINCESS ELIZABETH LAND; EVOLUTION; ORIGIN; SHEET</t>
  </si>
  <si>
    <t>The Princess Elizabeth Land sector of the East Antarctic Ice Sheet is a significant reservoir of grounded ice and is adjacent to regions that experienced great change during Quaternary glacial cycles and Pliocene warm episodes. The existence of an extensive subglacial water system in Princess Elizabeth Land (to date only inferred from satellite imagery) bears the potential to significantly impact the thermal and kinematic conditions of the overlying ice sheet. We confirm the existence of a major subglacial lake, herein referred to as Lake Snow Eagle (LSE), for the first time using recently acquired aerogeophysical data. We systematically investigated LSE's geological characteristics and bathymetry from two-dimensional geophysical inversion models. The inversion results suggest that LSE is located along a compressional geologic boundary, which provides reference for future characterization of the geologic and tectonic context of this region. We estimate LSE to be similar to 42 km in length and 370 km(2) in area, making it one of the largest subglacial lakes in Antarctica. Additionally, the airborne ice-penetrating radar observations and geophysical inversions reveal a layer of unconsolidated water-saturated sediment around and at the bottom of LSE, which-given the ultralow rates of sedimentation expected in such environments-may archive valuable records of paleoenvironmental changes and the early history of East Antarctic Ice Sheet evolution in Princess Elizabeth Land.</t>
  </si>
  <si>
    <t>[Yan, Shuai; Blankenship, Donald D.; Greenbaum, Jamin S.; Young, Duncan A.; Rutishauser, Anja] Univ Texas Austin, Univ Texas Inst Geophys, Austin, TX 78758 USA; [Yan, Shuai] Univ Texas Austin, Jackson Sch Geosci, Dept Geol Sci, Austin, TX 78712 USA; [Greenbaum, Jamin S.] Univ Calif San Diego, Scripps Inst Oceanog, La Jolla, CA 92093 USA; [Li, Lin; Guo, Jingxue; Sun, Bo] Polar Res Inst China, Shanghai 20000, Peoples R China; [Rutishauser, Anja] Geol Survey Denmark &amp; Greenland, Dept Glaciol &amp; Climate, DK-1350 Copenhagen, Denmark; [Roberts, Jason L.; van Ommen, Tas D.] Dept Agr Water &amp; Environm, Australian Antarctic Div, Kingston, Tas 7050, Australia; [Siegert, Martin J.] Imperial Coll London, Grantham Inst, London SW7 2AZ, England; [Siegert, Martin J.] Imperial Coll London, Dept Earth Sci &amp; Engn, London SW7 2AZ, England</t>
  </si>
  <si>
    <t>University of Texas System; University of Texas Austin; University of Texas System; University of Texas Austin; University of California System; University of California San Diego; Scripps Institution of Oceanography; Polar Research Institute of China; Geological Survey Of Denmark &amp; Greenland; Australian Antarctic Division; Imperial College London; Imperial College London</t>
  </si>
  <si>
    <t>Yan, S (corresponding author), Univ Texas Austin, Univ Texas Inst Geophys, Austin, TX 78758 USA.;Yan, S (corresponding author), Univ Texas Austin, Jackson Sch Geosci, Dept Geol Sci, Austin, TX 78712 USA.</t>
  </si>
  <si>
    <t>shuaiy@utexas.edu</t>
  </si>
  <si>
    <t>van Ommen, Tas D/B-5020-2012; Blankenship, Donald D./G-5935-2010; sun, bo/JFA-9978-2023; Siegert, Martin/M-9939-2019; Young, Duncan A./G-6256-2010; Yan, Shuai/JNR-2092-2023</t>
  </si>
  <si>
    <t>Siegert, Martin/0000-0002-0090-4806; Yan, Shuai/0000-0002-8579-6866; Rutishauser, Anja/0000-0002-1819-8014</t>
  </si>
  <si>
    <t>G. Unger Vetlesen Foundation (New York, USA); Jackson School of Geosciences (University of Texas at Austin); Polar Research Institute of China; National Natural Science Foundation of China [41876227]; Australian Antarctic Division - U.S. Department of State; UK Foreign Office; U.S. National Science Foundation [1443690, OPP-2114454]; Chinese National Antarctic Research Expedition; Australian Antarctic Division-University of Texas Institute for Geophysics [4346/ICP10]; NERC [NE/G00465X/3] Funding Source: UKRI</t>
  </si>
  <si>
    <t>G. Unger Vetlesen Foundation (New York, USA); Jackson School of Geosciences (University of Texas at Austin); Polar Research Institute of China; National Natural Science Foundation of China(National Natural Science Foundation of China (NSFC)); Australian Antarctic Division - U.S. Department of State; UK Foreign Office; U.S. National Science Foundation(National Science Foundation (NSF)); Chinese National Antarctic Research Expedition; Australian Antarctic Division-University of Texas Institute for Geophysics; NERC(UK Research &amp; Innovation (UKRI)Natural Environment Research Council (NERC))</t>
  </si>
  <si>
    <t>We are grateful for the generous financial, logistical, and technical support from: the G. Unger Vetlesen Foundation (New York, USA), the Antarctic Gateway Partnership (University of Tasmania, Australia), the Jackson School of Geosciences (University of Texas at Austin), the Polar Research Institute of China, the National Natural Science Foundation of China (grant 41876227), the Australian Antarctic Division, and the Global Innovation Initiative jointly funded by the U.S. Department of State and the UK Foreign Office. This work was in part supported by U.S. National Science Foundation grants 1443690 and OPP-2114454. We express our gratitude toward the expeditioners of the Chinese National Antarctic Research Expedition (CHINARE) 33rd and 34th field seasons and the Australian Antarctic Division-University of Texas Institute for Geophysics 4346/ICP10 field campaign. We thank T. Richter, E. Quartini, S. Kempf, and G. Ng for their assistance with data processing. We thank editor William Clyde and an anonymous reviewer for reviewing this manuscript. This is UTIG contribution #3873.</t>
  </si>
  <si>
    <t>GEOLOGICAL SOC AMER, INC</t>
  </si>
  <si>
    <t>BOULDER</t>
  </si>
  <si>
    <t>PO BOX 9140, BOULDER, CO 80301-9140 USA</t>
  </si>
  <si>
    <t>0091-7613</t>
  </si>
  <si>
    <t>1943-2682</t>
  </si>
  <si>
    <t>10.1130/G50009.1</t>
  </si>
  <si>
    <t>3O6KK</t>
  </si>
  <si>
    <t>hybrid, Green Submitted, Green Published</t>
  </si>
  <si>
    <t>WOS:000798277600001</t>
  </si>
  <si>
    <t>Demina, TA; Luhtanen, AM; Roux, S; Oksanen, HM</t>
  </si>
  <si>
    <t>Demina, Tatiana A.; Luhtanen, Anne-Mari; Roux, Simon; Oksanen, Hanna M.</t>
  </si>
  <si>
    <t>Virus-Host Interactions and Genetic Diversity of Antarctic Sea Ice Bacteriophages</t>
  </si>
  <si>
    <t>MBIO</t>
  </si>
  <si>
    <t>Antarctic virus; infection cycle; metagenomics; sea ice; virus genome</t>
  </si>
  <si>
    <t>COLD-ACTIVE BACTERIOPHAGE; PSEUDOMONAS-FLUORESCENS; MICROBIAL ECOLOGY; SOUTHERN-OCEAN; DYNAMICS; GENOME; IDENTIFICATION; TEMPERATURE; BACTERIAL; SEQUENCE</t>
  </si>
  <si>
    <t>Very little is known about sea ice microbes despite the significant role played by sea ice in the global oceans as well as microbial input into biogeochemical cycling. Studies on the sea ice viruses have been typically limited to -omics-based approaches and microscopic examinations of sea ice samples. Although we know the generally appreciated significant roles of microbes in sea ice and polar waters, detailed studies of virus-host systems from such environments have been so far limited by only a few available isolates. Here, we investigated infectivity under various conditions, infection cycles, and genetic diversity of the following Antarctic sea ice bacteriophages: Paraglaciecola Antarctic GD virus 1 (PANV1), Paraglaciecola Antarctic JLT virus 2 (PANV2), Octadecabacter Antarctic BD virus 1 (OANV1), and Octadecabacter Antarctic DB virus 2 (OANV2). The phages infect common sea ice bacteria belonging to the genera Paraglaciecola or Octadecabacter. Although the phages are marine and cold-active, replicating at 0 degrees C to 5 degrees C, they all survived temporal incubations at &gt;= 30 degrees C and remained infectious without any salts or supplemented only with magnesium, suggesting a robust virion assembly maintaining integrity under a wide range of conditions. Host recognition in the cold proved to be effective, and the release of progeny viruses occurred as a result of cell lysis. The analysis of viral genome sequences showed that nearly one-half of the gene products of each virus are unique, highlighting that sea ice harbors unexplored virus diversity. Based on predicted genes typical for tailed double-stranded DNA phages, we suggest placing the four studied viruses in the class Caudoviricetes. Searching against viral sequences from metagenomic assemblies, we revealed that related viruses are not restricted to Antarctica but are also found in distant marine environments. IMPORTANCE Very little is known about sea ice microbes despite the significant role played by sea ice in the global oceans as well as microbial input into biogeochemical cycling. Studies on the sea ice viruses have been typically limited to -omics-based approaches and microscopic examinations of sea ice samples. To date, only four cultivable viruses have been isolated from Antarctic sea ice. Our study of these unique isolates advances the understanding of the genetic diversity of viruses in sea ice environments, their interactions with host microbes, and possible links to other biomes. Such information contributes to more accurate future sea ice biogeochemical models.</t>
  </si>
  <si>
    <t>[Demina, Tatiana A.; Oksanen, Hanna M.] Univ Helsinki, Fac Biol &amp; Environm Sci, Mol &amp; Integrat Biosci Res Programme, Helsinki, Finland; [Demina, Tatiana A.] Univ Helsinki, Fac Agr &amp; Forestry, Dept Microbiol, Helsinki, Finland; [Luhtanen, Anne-Mari] Finnish Environm Inst, Marine Res Ctr, Helsinki, Finland; [Roux, Simon] Lawrence Berkeley Natl Lab, DOE Joint Genome Inst, Berkeley, CA USA; [Demina, Tatiana A.] Helsinki Inst Sustainabil Sci HELSUS, Helsinki, Finland</t>
  </si>
  <si>
    <t>University of Helsinki; Finland National Institute for Health &amp; Welfare; University of Helsinki; Finnish Environment Institute; United States Department of Energy (DOE); Lawrence Berkeley National Laboratory</t>
  </si>
  <si>
    <t>Oksanen, HM (corresponding author), Univ Helsinki, Fac Biol &amp; Environm Sci, Mol &amp; Integrat Biosci Res Programme, Helsinki, Finland.</t>
  </si>
  <si>
    <t>hanna.oksanen@helsinki.fi</t>
  </si>
  <si>
    <t>Roux, Simon/ABE-6255-2020</t>
  </si>
  <si>
    <t>Roux, Simon/0000-0002-5831-5895; Demina, Tatiana/0000-0003-3746-5533; Luhtanen, Anne-Mari/0000-0002-9160-7478; Oksanen, Hanna/0000-0003-3047-8294</t>
  </si>
  <si>
    <t>Academy of Finland [330977]; Office of Science of the U.S. Department of Energy [DE-AC02-05CH11231]; Helsinki University Library; Academy of Finland (AKA) [330977] Funding Source: Academy of Finland (AKA)</t>
  </si>
  <si>
    <t>Academy of Finland(Research Council of Finland); Office of Science of the U.S. Department of Energy(United States Department of Energy (DOE)); Helsinki University Library; Academy of Finland (AKA)(Research Council of Finland)</t>
  </si>
  <si>
    <t>We sincerely thank Sari Korhonen, Roselia Henriksson, and Heli Marttila for skillful technical assistance. Ilona Rissanen is acknowledged for her advice in negative staining. We acknowledge Electron Microscopy Unit (EMBI) and DNA Genomics and Sequencing core facility, Helsinki Institute of Life Science, University of Helsinki. The facilities and expertise of the HiLIFE Biocomplex unit at the University of Helsinki, a member of Instruct-ERIC Centre Finland, FINStruct, and Biocenter Finland are gratefully acknowledged.; We thank the Nessling Foundation (T.A.D.), the Kone Foundation (T.A.D.), and the Academy of Finland (grant 330977 to T.A.D.). The work conducted by the U.S. Department of Energy Joint Genome Institute (S.R.) is supported by the Office of Science of the U.S. Department of Energy under contract no. DE-AC02-05CH11231.; Open access was funded by Helsinki University Library.</t>
  </si>
  <si>
    <t>AMER SOC MICROBIOLOGY</t>
  </si>
  <si>
    <t>1752 N ST NW, WASHINGTON, DC 20036-2904 USA</t>
  </si>
  <si>
    <t>2150-7511</t>
  </si>
  <si>
    <t>mBio</t>
  </si>
  <si>
    <t>JUN 28</t>
  </si>
  <si>
    <t>10.1128/mbio.00651-22</t>
  </si>
  <si>
    <t>2U3OC</t>
  </si>
  <si>
    <t>WOS:000797888900002</t>
  </si>
  <si>
    <t>Shelamoff, V; Layton, C; Tatsumi, M; Cameron, MJ; Wright, JT; Johnson, CR</t>
  </si>
  <si>
    <t>Shelamoff, Victor; Layton, Cayne; Tatsumi, Masayuki; Cameron, Matthew J.; Wright, Jeffrey T.; Johnson, Craig R.</t>
  </si>
  <si>
    <t>Restored kelp facilitates lobster recruitment but not other mid-trophic macroinvertebrates</t>
  </si>
  <si>
    <t>AQUATIC CONSERVATION-MARINE AND FRESHWATER ECOSYSTEMS</t>
  </si>
  <si>
    <t>artificial reef; coastal greening; eco-engineering; ecosystem services; fragmentation; patch dynamics; restoration</t>
  </si>
  <si>
    <t>ARTIFICIAL REEF; HABITAT FRAGMENTATION; PATCH SIZE; PATTERNS; RESILIENCE; ECOSYSTEMS; DIVERSITY; STABILITY; COMMUNITY; ECOLOGY</t>
  </si>
  <si>
    <t>The patch dynamics of foundation species profoundly affects community assembly and thus has important implications for ecosystem restoration. However, it is unclear how restored kelp patches that vary in size and density will influence the establishment of mid-trophic level (MTL) macroinvertebrates, a key functional group in coastal ecosystems. Artificial reefs with transplants of the canopy-forming kelp, Ecklonia radiata, were used to quantify the effect of patch size and kelp density on the densities of MTL macroinvertebrates (primarily decapod crustaceans) and on the recruitment of an ecologically important and commercially valuable lobster species. Densities of MTL macroinvertebrates, which were dominated by hermit crabs, decreased with increasing patch size but responded inconsistently to kelp density. There was, however, an overall positive relationship between MTL macroinvertebrates and the density of small epifaunal grazers (a potential food source), along with a negative association with cover of understorey foliose algae. In contrast, the total abundance and density of lobster recruits was higher on larger reefs, and reefs with kelp had up to double the number of recruits relative to reefs with no kelp. After 12 months, most of the surviving lobster recruits occurred on reefs supporting low and medium densities of kelp. These results show that patchy reef substratum is effective in supporting high densities of some MTL macroinvertebrates, irrespective of kelp presence. Although conversely, larger reefs with restored kelp at natural - or even relatively low - densities appear critical to the recruitment of lobsters, which could motivate and provide positive feedback for kelp restoration projects in some locations. Patch dynamics may be used to support restoration efforts by helping to accelerate the recovery of key species and ecosystem services; however, trade-offs will exist through different taxa responding to patch characteristics in different ways, some positive and some negative.</t>
  </si>
  <si>
    <t>[Shelamoff, Victor; Layton, Cayne; Tatsumi, Masayuki; Cameron, Matthew J.; Wright, Jeffrey T.; Johnson, Craig R.] Univ Tasmania, Inst Marine &amp; Antarctic Studies, Private Bag 129, Hobart, Tas 7004, Australia</t>
  </si>
  <si>
    <t>Shelamoff, V (corresponding author), Univ Tasmania, Inst Marine &amp; Antarctic Studies, Private Bag 129, Hobart, Tas 7004, Australia.</t>
  </si>
  <si>
    <t>Australian Research Council [DP130101113]; Holsworth Wildlife Research Endowment</t>
  </si>
  <si>
    <t>Australian Research Council(Australian Research Council); Holsworth Wildlife Research Endowment</t>
  </si>
  <si>
    <t>Australian Research Council, Grant/Award Number: DP130101113; Holsworth Wildlife Research Endowment</t>
  </si>
  <si>
    <t>1052-7613</t>
  </si>
  <si>
    <t>1099-0755</t>
  </si>
  <si>
    <t>AQUAT CONSERV</t>
  </si>
  <si>
    <t>Aquat. Conserv.-Mar. Freshw. Ecosyst.</t>
  </si>
  <si>
    <t>10.1002/aqc.3825</t>
  </si>
  <si>
    <t>Environmental Sciences; Marine &amp; Freshwater Biology; Water Resources</t>
  </si>
  <si>
    <t>Environmental Sciences &amp; Ecology; Marine &amp; Freshwater Biology; Water Resources</t>
  </si>
  <si>
    <t>2U4KL</t>
  </si>
  <si>
    <t>WOS:000792511100001</t>
  </si>
  <si>
    <t>de Bon, M; Chialanza, MR; Cerdá, MF</t>
  </si>
  <si>
    <t>de Bon, Micaela; Rodriguez Chialanza, Mauricio; Fernanda Cerda, Maria</t>
  </si>
  <si>
    <t>Fucoxanthin from the Antarctic Himantothallus grandifollius as a sensitizer in DSSC</t>
  </si>
  <si>
    <t>JOURNAL OF THE IRANIAN CHEMICAL SOCIETY</t>
  </si>
  <si>
    <t>Fucoxanthin; Impedance; TiO2 adsorption; Nanoparticles</t>
  </si>
  <si>
    <t>SOLAR-CELLS; V-OC; ALGAE; EFFICIENCY; PHOTOSENSITIZER; NANOPARTICLES; XANTHOPHYLL; CAROTENOIDS; ELECTROLYTE; ENHANCEMENT</t>
  </si>
  <si>
    <t>Fucoxanthin extracts obtained from the Antarctic brown algae Himantothallus grandifollius were explored in DSSC, achieving 0.14% conversion efficiency when co-sensitized with round silver nanoparticles. Fucoxanthin has some essential characteristics fulfilling necessary attributes for a sensitizer. It is adsorbed to the FTO/TiO2 electrode as confirmed by FTIR and TG-DSC techniques. Besides, establishing bonds between the -OH functional groups of fucoxanthin and titanium increased the compound's stability. And also, fucoxanthin has an adequate redox potential of 1.3 V to allow electron transfer to the TiO2. These characteristics suggest the application of fucoxanthin as a sensitizer in DSSC, particularly when co-adsorbed with silver nanoparticles. The presence of nanoparticles assured a better surface coverage, and integrated within the fucoxanthin net, improved the recombination times, fill factor and Voc values of the assembled cells and, thus, the conversion efficiency. Extracted easily from brown seaweeds, the application of fucoxanthin as a sensitizer in dye-solar cells offers an alternative to profit large amounts of biomass from, for example, invasive sources such as Sargasso.</t>
  </si>
  <si>
    <t>[de Bon, Micaela; Fernanda Cerda, Maria] Inst Quim Biol, Fac Ciencias, Lab Biomat, UdelaR Igua 4225, Montevideo 11400, Uruguay; [Rodriguez Chialanza, Mauricio] Ctr Univ Reg Este, PDU Ciencias Fis &amp; Sus Aplicac, UdelaR Ruta 15 &amp; Ruta 9, Rocha 2700, Uruguay</t>
  </si>
  <si>
    <t>Universidad de la Republica, Uruguay</t>
  </si>
  <si>
    <t>Cerdá, MF (corresponding author), Inst Quim Biol, Fac Ciencias, Lab Biomat, UdelaR Igua 4225, Montevideo 11400, Uruguay.</t>
  </si>
  <si>
    <t>fcerda@fcien.edu.uy</t>
  </si>
  <si>
    <t>Rodriguez Chialanza, Mauricio/0000-0002-9890-0933; Cerda, Maria Fernanda/0000-0002-9049-2728</t>
  </si>
  <si>
    <t>1735-207X</t>
  </si>
  <si>
    <t>1735-2428</t>
  </si>
  <si>
    <t>J IRAN CHEM SOC</t>
  </si>
  <si>
    <t>J. Iran Chem. Soc.</t>
  </si>
  <si>
    <t>10.1007/s13738-022-02560-5</t>
  </si>
  <si>
    <t>Chemistry, Multidisciplinary</t>
  </si>
  <si>
    <t>Chemistry</t>
  </si>
  <si>
    <t>2S7FF</t>
  </si>
  <si>
    <t>WOS:000791915800001</t>
  </si>
  <si>
    <t>Lauro, C; Colarusso, A; Calvanese, M; Parrilli, E; Tutino, ML</t>
  </si>
  <si>
    <t>Lauro, Concetta; Colarusso, Andrea; Calvanese, Marzia; Parrilli, Ermenegilda; Tutino, Maria Luisa</t>
  </si>
  <si>
    <t>Conditional gene silencing in the Antarctic bacterium Pseudoalteromonas haloplanktis TAC125</t>
  </si>
  <si>
    <t>RESEARCH IN MICROBIOLOGY</t>
  </si>
  <si>
    <t>PTasRNA; Lon protease; Truncated hemoglobin; Gene silencing; Antarctic bacterium; Pseudoalteromonas haloplanktis (translucida); TAC125</t>
  </si>
  <si>
    <t>SMALL RNAS; EXPRESSION; PROTEINS; CONSTRUCTION; CRISPR; COLD</t>
  </si>
  <si>
    <t>Since the release in 2005 of the genome sequence and annotation of the first Antarctic marine bacterium, the number of genomes of psychrophilic microorganisms in public databases has steadily increased. Unfortunately, the lack of effective molecular tools for the manipulation of these environmental strains still hampers our understanding of their peculiar strategies to thrive in freezing conditions, limiting the functional genomics approaches to differential analyses only. Over the past two decades, our research group established the first effective gene cloning/expression technology in the Antarctic Gram-negative marine bacterium Pseudoalteromonas haloplanktis TAC125. The setup of a genome mutagenesis technique (based on homologous recombination and counterselection events) further supported the use of this strain, which became an attractive model for studying microbial adaptations to freezing lifestyle. Moreover, to further extend the functional analyses to its essential genes, the set-up of a conditional gene silencing approach is desirable. In this paper, we report the development of an asRNA regulatory system in the Antarctic bacterium, testing the feasibility of Hfq-dependent and PTasRNA strategies previously developed in Escherichia coli. Stable and efficient silencing of two chromosomal genes was obtained by using PTasRNAs, reaching very high levels of downregulation.(c) 2022 Institut Pasteur. Published by Elsevier Masson SAS. All rights reserved.</t>
  </si>
  <si>
    <t>[Lauro, Concetta; Colarusso, Andrea; Calvanese, Marzia; Parrilli, Ermenegilda; Tutino, Maria Luisa] Complesso Univ Monte Sant Angelo, Dipartimento Sci Chim, Via Cintia, I-80126 Naples, Italy; [Lauro, Concetta; Colarusso, Andrea] Ist Nazl Biostrutture &amp; Biosistemi INBB, Viale Medaglie Oro, I-30500136 Rome, Italy</t>
  </si>
  <si>
    <t>Tutino, ML (corresponding author), Complesso Univ Monte Sant Angelo, Dipartimento Sci Chim, Via Cintia, I-80126 Naples, Italy.</t>
  </si>
  <si>
    <t>concetta.lauro@unina.it; andrea.colarusso@unina.it; marzia.calvanese@unina.it; erparril@unina.it; tutino@unina.it</t>
  </si>
  <si>
    <t>TUTINO, MARIA LUISA/L-1834-2013; parrilli, ermenegilda/K-4616-2016</t>
  </si>
  <si>
    <t>Calvanese, Marzia/0000-0002-7554-0680; Colarusso, Andrea/0000-0001-6311-4986; Lauro, Concetta/0000-0003-0139-5166; Tutino, Maria Luisa/0000-0002-4978-6839; parrilli, ermenegilda/0000-0002-9002-5409</t>
  </si>
  <si>
    <t>Italian Programma Nazionale di Ricerca in Antartide (PNRA) [PNRA18_00335]; Italian Parents' Association La fabbrica dei sogni 2-New developments for Rett syndrome</t>
  </si>
  <si>
    <t>Italian Programma Nazionale di Ricerca in Antartide (PNRA); Italian Parents' Association La fabbrica dei sogni 2-New developments for Rett syndrome</t>
  </si>
  <si>
    <t>This research was partially funded by the Italian Programma Nazionale di Ricerca in Antartide (PNRA project number PNRA18_00335) and by the Italian Parents' Association La fabbrica dei sogni 2-New developments for Rett syndrome. We are grateful to Prof. Suparna Sanyal (University of Uppsala, Sweden) for her precious suggestions and critical reading of the manuscript.</t>
  </si>
  <si>
    <t>0923-2508</t>
  </si>
  <si>
    <t>1769-7123</t>
  </si>
  <si>
    <t>RES MICROBIOL</t>
  </si>
  <si>
    <t>Res. Microbiol.</t>
  </si>
  <si>
    <t>MAY-JUN</t>
  </si>
  <si>
    <t>4-5</t>
  </si>
  <si>
    <t>10.1016/j.resmic.2022.103939</t>
  </si>
  <si>
    <t>1Y4CX</t>
  </si>
  <si>
    <t>WOS:000808090400003</t>
  </si>
  <si>
    <t>Madsen, LM; Bording, T; Grombacher, D; Foged, N; Foley, N; Dugan, HA; Doran, PT; Mikucki, J; Tulaczyk, S; Auken, E</t>
  </si>
  <si>
    <t>Madsen, Line M.; Bording, Thue; Grombacher, Denys; Foged, Nikolaj; Foley, Neil; Dugan, Hilary A.; Doran, Peter T.; Mikucki, Jill; Tulaczyk, Slawek; Auken, Esben</t>
  </si>
  <si>
    <t>Comparison of ground-based and airborne transient electromagnetic methods for mapping glacial and permafrost environments: Cases from McMurdo Dry Valleys, Antarctica</t>
  </si>
  <si>
    <t>COLD REGIONS SCIENCE AND TECHNOLOGY</t>
  </si>
  <si>
    <t>Electromagnetic theory; Antarctica; Hydrogeophysics; Transient EM</t>
  </si>
  <si>
    <t>ICE THICKNESS; CLIMATE-CHANGE; LAKE; INVERSION; BONNEY; DEPTH</t>
  </si>
  <si>
    <t>The transient electromagnetic (TEM) method is a non-invasive geophysical tool well-suited for subsurface imaging in cold and polar regions, where common targets are associated with strong contrasts in electrical resistivity. By imaging the electrical properties of the subsurface, the TEM methods can discriminate between geological units such as frozen ground (permafrost), fresh/saline groundwater systems, and bedrock/glacier ice. In this study, we compare TEM data acquired with ground-based and airborne TEM systems. We demonstrate the mapping capabilities of these two approaches in high latitude polar environments with datasets from Taylor Glacier, Lake Vanda, and Canada Glacier in the McMurdo Dry Valleys of Antarctica. The results show a high consistency between the airborne and ground-based TEM data, both with a high resolution and a deep penetration depth down to hundreds of meters due to the resistive background material, which makes both approaches capable of mapping hydrological systems and identifying the base of glaciers. The airborne TEM approach offers an unmatched spatial data coverage in difficult terrain and a far improved lateral resolution compared to the static ground-based system. The ground-based TEM system offers the possibility for using larger transmitter coils and longer stacking times and therefore has potential for reaching deeper penetration depths. The ground-based TEM approach is hence a valuable tool that can provide consistent imaging results while also being far more accessible in terms of cost and field logistics compared to an airborne TEM campaign.</t>
  </si>
  <si>
    <t>[Madsen, Line M.; Grombacher, Denys; Foged, Nikolaj; Auken, Esben] Aarhus Univ, Dept Geosci, HydroGeophys Grp, Aarhus, Denmark; [Bording, Thue] Aarhus GeoInstrument, Aarhus, Denmark; [Foley, Neil; Tulaczyk, Slawek] Univ Calif Santa Cruz, Dept Earth &amp; Planetary Sci, Santa Cruz, CA USA; [Dugan, Hilary A.] Univ Wisconsin Madison, Ctr Limnol, Madison, WI USA; [Doran, Peter T.] Louisiana State Univ, Dept Geol &amp; Geophys, Baton Rouge, LA USA; [Mikucki, Jill] Univ Tennessee, Dept Microbiol, Knoxville, TN USA; [Madsen, Line M.] Hoegh Guldbergsgade 2, DK-8000 Aarhus, Denmark</t>
  </si>
  <si>
    <t>Aarhus University; University of California System; University of California Santa Cruz; University of Wisconsin System; University of Wisconsin Madison; Louisiana State University System; Louisiana State University; University of Tennessee System; University of Tennessee Knoxville</t>
  </si>
  <si>
    <t>Madsen, LM (corresponding author), Hoegh Guldbergsgade 2, DK-8000 Aarhus, Denmark.</t>
  </si>
  <si>
    <t>linemeldgaard@geo.au.dk; thue@aarhusgeoinstruments.dk; denys.grombacher@geo.au.dk; nikolaj.foged@geo.au.dk; hdugan@wisc.edu; pdoran@lsu.edu; jmikucki@utk.edu; stulaczy@ucsc.edu; ea@geus.dk</t>
  </si>
  <si>
    <t>Bording, Thue/A-8282-2016; Madsen, Line Meldgaard/GXV-1490-2022; Tulaczyk, Slawek/O-7375-2018; Auken, Esben/G-8036-2012</t>
  </si>
  <si>
    <t>Bording, Thue/0000-0003-1932-9466; Madsen, Line Meldgaard/0000-0001-5435-9914; Auken, Esben/0000-0002-5397-4832; Foged, Nikolaj/0000-0001-8029-6849</t>
  </si>
  <si>
    <t>VILLUM FUNDEN [37172]; NSF [1643687, 1644187]; Directorate For Geosciences [1644187] Funding Source: National Science Foundation; Directorate For Geosciences; Office of Polar Programs (OPP) [1643687] Funding Source: National Science Foundation; Office of Polar Programs (OPP) [1644187] Funding Source: National Science Foundation</t>
  </si>
  <si>
    <t>VILLUM FUNDEN(Villum Fonden); 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</si>
  <si>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work was supported by funding from VILLUM FUNDEN Grant No. 37172 to L.M. Madsen, NSF Grant No. 1644187 to S. Tulaczyk, and NSF Grant No. 1643687 to J. Mikucki. We are thankful for the logistical field support from the United States Antarctic Program, which enabled collection of our data. In particular, we thank the helicopter crews from PHI Inc., McMurdo helicopter coordinator Lindsay Steinbauer and her team, operators of the Marble Point helicopter refueling station, and our field support leader, Robin Carroccia.</t>
  </si>
  <si>
    <t>0165-232X</t>
  </si>
  <si>
    <t>1872-7441</t>
  </si>
  <si>
    <t>COLD REG SCI TECHNOL</t>
  </si>
  <si>
    <t>Cold Reg. Sci. Tech.</t>
  </si>
  <si>
    <t>10.1016/j.coldregions.2022.103578</t>
  </si>
  <si>
    <t>Engineering, Environmental; Engineering, Civil; Geosciences, Multidisciplinary</t>
  </si>
  <si>
    <t>Engineering; Geology</t>
  </si>
  <si>
    <t>1M4RY</t>
  </si>
  <si>
    <t>WOS:000799959500005</t>
  </si>
  <si>
    <t>Esmaeili, N; Carter, CG; Wilson, R; Walker, SP; Miller, MR; Bridle, AR; Symonds, JE</t>
  </si>
  <si>
    <t>Esmaeili, Noah; Carter, Chris G.; Wilson, Richard; Walker, Seumas P.; Miller, Matthew R.; Bridle, Andrew R.; Symonds, Jane E.</t>
  </si>
  <si>
    <t>Protein metabolism in the liver and white muscle is associated with feed efficiency in Chinook salmon (Oncorhynchus tshawytscha) reared in seawater: Evidence from proteomic analysis</t>
  </si>
  <si>
    <t>COMPARATIVE BIOCHEMISTRY AND PHYSIOLOGY D-GENOMICS &amp; PROTEOMICS</t>
  </si>
  <si>
    <t>Efficient fish; Growth performance; Overfeeding; Protein metabolism; Proteomics</t>
  </si>
  <si>
    <t>RAINBOW-TROUT; GROWTH EFFICIENCY; CONVERSION EFFICIENCY; SALINITY ACCLIMATION; DIGESTION; MYKISS; FISH; RESPONSES; TURNOVER; CAPACITY</t>
  </si>
  <si>
    <t>Understanding the molecular mechanisms that underlie differences in feed efficiency (FE) is an important step toward optimising growth and achieving sustainable salmonid aquaculture. In this study, the liver and white muscle proteomes of feed efficient (EFF) and inefficient (INEFF) Chinook salmon (Oncorhynchus tshawytscha) reared in seawater were investigated by liquid chromatography-tandem mass spectrometry (LC-MS/MS). In total, 2746 liver and 702 white muscle proteins were quantified and compared between 21 EFF and 22 INEFF fish. GSEA showed that gene sets related to protein synthesis were enriched in the liver and white muscle of the EFF group, while conversely, pathways related to protein degradation (amino acid catabolism and proteolysis, respectively) were the most affected processes in the liver and white muscle of INEFF fish. Estimates of individual daily feed intake and share of the meal within tank were significantly higher in the INEFF than the EFF fish showing INEFF fish were likely more dominant during feeding and overfed. Overeating by the INEFF fish was associated with an increase in protein catabolism. This study found that fish with different FE values had expression differences in the gene sets related to protein turnover, and this result supports the hypothesis that protein metabolism plays a role in FE.</t>
  </si>
  <si>
    <t>[Esmaeili, Noah; Carter, Chris G.; Miller, Matthew R.; Bridle, Andrew R.; Symonds, Jane E.] Univ Tasmania, Inst Marine &amp; Antarctic Studies, Private Bag 49, Hobart, Australia; [Wilson, Richard] Univ Tasmania, Res Div, Cent Sci Lab, Hobart 7001, Australia; [Walker, Seumas P.; Miller, Matthew R.; Symonds, Jane E.] Cawthron Inst, Nelson 7010, New Zealand</t>
  </si>
  <si>
    <t>University of Tasmania; University of Tasmania; Cawthron Institute</t>
  </si>
  <si>
    <t>Esmaeili, N (corresponding author), Univ Tasmania, Inst Marine &amp; Antarctic Studies, Private Bag 49, Hobart, Australia.</t>
  </si>
  <si>
    <t>noah.esmaeili@utas.edu.au</t>
  </si>
  <si>
    <t>Esmaeili, Noah/Q-4536-2019; Bridle, Andrew R/B-4117-2013; Wilson, Richard R/H-8429-2012; Carter, Chris Guy/A-3438-2008; Miller, Matthew Robert/D-5982-2011</t>
  </si>
  <si>
    <t>Esmaeili, Noah/0000-0001-8704-939X; Carter, Chris Guy/0000-0001-5210-1282; Miller, Matthew Robert/0000-0002-5402-7466</t>
  </si>
  <si>
    <t>Ministry of Business, Innovation and Employment (MBIE) endeavour fund [CAWX1606]; University of Tasmania; New Zealand Ministry of Business, Innovation &amp; Employment (MBIE) [CAWX1606] Funding Source: New Zealand Ministry of Business, Innovation &amp; Employment (MBIE)</t>
  </si>
  <si>
    <t>Ministry of Business, Innovation and Employment (MBIE) endeavour fund(New Zealand Ministry of Business, Innovation and Employment (MBIE)); University of Tasmania; New Zealand Ministry of Business, Innovation &amp; Employment (MBIE)</t>
  </si>
  <si>
    <t>This work was funded by Ministry of Business, Innovation and Employment (MBIE) endeavour fund Feed-efficient salmon for the future? (CAWX1606) , Cawthron Institute and Tasmania Graduate Research Scholarship and RTP Stipend Scholarship to Moha Esmaeili from the University of Tasmania. We appreciate the hard work of staff in the Cawthron Institute's Finfish Research Centre. We wish to thank CSL and IMAS, University of Tasmania for facilitating analyses. We would like to thank all the scientists, technicians, and industry partners who helped us.</t>
  </si>
  <si>
    <t>1744-117X</t>
  </si>
  <si>
    <t>1878-0407</t>
  </si>
  <si>
    <t>COMP BIOCHEM PHYS D</t>
  </si>
  <si>
    <t>Comp. Biochem. Physiol. D-Genomics Proteomics</t>
  </si>
  <si>
    <t>10.1016/j.cbd.2022.100994</t>
  </si>
  <si>
    <t>Biochemistry &amp; Molecular Biology; Genetics &amp; Heredity</t>
  </si>
  <si>
    <t>1K0FH</t>
  </si>
  <si>
    <t>WOS:000798284800001</t>
  </si>
  <si>
    <t>Gustafson, CD; Key, K; Siegfried, MR; Winberry, JP; Fricker, HA; Venturelli, RA; Michaud, AB</t>
  </si>
  <si>
    <t>Gustafson, Chloe D.; Key, Kerry; Siegfried, Matthew R.; Winberry, J. Paul; Fricker, Helen A.; Venturelli, Ryan A.; Michaud, Alexander B.</t>
  </si>
  <si>
    <t>A dynamic saline groundwater system mapped beneath an Antarctic ice stream</t>
  </si>
  <si>
    <t>SCIENCE</t>
  </si>
  <si>
    <t>SUBGLACIAL LAKE WHILLANS; ACTIVE RESERVOIR BENEATH; WEST ANTARCTICA; GROUNDING-LINE; CONTINENT-WIDE; MELT RATES; SHEET; SEDIMENTS; GEOLOGY</t>
  </si>
  <si>
    <t>Antarctica's fast-flowing ice streams drain the ice sheet, with their velocity modulated by subglacial water systems. Current knowledge of these water systems is limited to the shallow portions near the ice-bed interface, but hypothesized deeper groundwater could also influence ice streaming. Here, we use magnetotelluric and passive seismic data from Whillans Ice Stream, West Antarctica, to provide the first observations of deep sub-ice stream groundwater. Our data reveal a volume of groundwater within a &gt;1-kilometer-thick sedimentary basin that is more than an order of magnitude larger than the known subglacial system. A vertical salinity gradient indicates exchange between paleo seawater at depth and contemporary basal meltwater above. Our results provide new constraints for subglacial water systems that affect ice streaming and subglacial biogeochemical processes.</t>
  </si>
  <si>
    <t>[Gustafson, Chloe D.; Key, Kerry] Columbia Univ, Lamont Doherty Earth Observ, Palisades, NY 10964 USA; [Gustafson, Chloe D.; Fricker, Helen A.] Univ Calif San Diego, Scripps Inst Oceanog, Inst Geophys &amp; Planetary Phys, La Jolla, CA 92093 USA; [Siegfried, Matthew R.] Colorado Sch Mines, Hydrol Sci &amp; Engn Program, Dept Geophys, Golden, CO 80401 USA; [Winberry, J. Paul] Cent Washington Univ, Dept Geol Sci, Ellensburg, WA USA; [Venturelli, Ryan A.] Colorado Sch Mines, Dept Geol &amp; Geol Engn, Golden, CO 80401 USA; [Michaud, Alexander B.] Bigelow Lab Ocean Sci, East Boothbay, ME USA</t>
  </si>
  <si>
    <t>Columbia University; University of California System; University of California San Diego; Scripps Institution of Oceanography; Colorado School of Mines; Central Washington University; Colorado School of Mines; Bigelow Laboratory for Ocean Sciences</t>
  </si>
  <si>
    <t>Gustafson, CD (corresponding author), Columbia Univ, Lamont Doherty Earth Observ, Palisades, NY 10964 USA.;Gustafson, CD (corresponding author), Univ Calif San Diego, Scripps Inst Oceanog, Inst Geophys &amp; Planetary Phys, La Jolla, CA 92093 USA.</t>
  </si>
  <si>
    <t>cgustafson@ucsd.edu</t>
  </si>
  <si>
    <t>Michaud, Alex/AAC-4890-2020; Winberry, Paul/HLQ-2673-2023; Venturelli, Ryan A/ISV-3343-2023</t>
  </si>
  <si>
    <t>Michaud, Alex/0000-0001-5714-8741; Winberry, Paul/0000-0003-1205-0745; Venturelli, Ryan A/0000-0001-9548-0382; Key, Kerry/0000-0003-1169-6683; Gustafson, Chloe/0000-0001-8323-2568; Fricker, Helen Amanda/0000-0002-0921-1432</t>
  </si>
  <si>
    <t>National Science Foundation [OPP-1914767, OPP-1643917, OPP-0944794]; Columbia University Electromagnetic Methods Research Consortium</t>
  </si>
  <si>
    <t>National Science Foundation(National Science Foundation (NSF)); Columbia University Electromagnetic Methods Research Consortium</t>
  </si>
  <si>
    <t>This work was funded by National Science Foundation grant OPP-1643917 (K.K., C.D.G., M.R.S., and H.A.F.); National Science Foundation grant OPP-0944794 (J.P.W.); National Science Foundation grant OPP-1914767 (J.P.W.); and the Columbia University Electromagnetic Methods Research Consortium (C.D.G.).</t>
  </si>
  <si>
    <t>AMER ASSOC ADVANCEMENT SCIENCE</t>
  </si>
  <si>
    <t>1200 NEW YORK AVE, NW, WASHINGTON, DC 20005 USA</t>
  </si>
  <si>
    <t>0036-8075</t>
  </si>
  <si>
    <t>1095-9203</t>
  </si>
  <si>
    <t>Science</t>
  </si>
  <si>
    <t>MAY 6</t>
  </si>
  <si>
    <t>10.1126/science.abm3301</t>
  </si>
  <si>
    <t>1I0MU</t>
  </si>
  <si>
    <t>WOS:000796932700045</t>
  </si>
  <si>
    <t>Bedriñana-Romano, L; Zerbini, AN; Andriolo, A; Danilewicz, D; Sucunza, F</t>
  </si>
  <si>
    <t>Bedrinana-Romano, Luis; Zerbini, Alexandre N.; Andriolo, Artur; Danilewicz, Daniel; Sucunza, Federico</t>
  </si>
  <si>
    <t>Individual and joint estimation of humpback whale migratory patterns and their environmental drivers in the Southwest Atlantic Ocean</t>
  </si>
  <si>
    <t>KRILL EUPHAUSIA-SUPERBA; ANTARCTIC KRILL; SOUTHERN-OCEAN; MEGAPTERA-NOVAEANGLIAE; SEA-ICE; PRIORITY AREAS; BALEEN WHALES; MARINE MAMMALS; BOWHEAD WHALES; ABUNDANCE</t>
  </si>
  <si>
    <t>Humpback whales (Megaptera novaeangliae) perform seasonal migrations from high latitude feeding grounds to low latitude breeding and calving grounds. Feeding grounds at polar regions are currently experiencing major ecosystem modifications, therefore, quantitatively assessing species responses to habitat characteristics is crucial for understanding how whales might respond to such modifications. We analyzed satellite telemetry data from 22 individual humpback whales in the Southwest Atlantic Ocean (SWA). Tagging effort was divided in two periods, 2003-2012 and 2016-2019. Correlations between whale's movement parameters and environmental variables were used as proxy for inferring behavioral responses to environmental variation. Two versions of a covariate-driven continuous-time correlated random-walk state-space model, were fitted to the data: i) Population-level models (P-models), which assess correlation parameters pooling data across all individuals or groups, and ii) individual-level models (I-models), fitted independently for each tagged whale. Area of Restricted Search behavior (slower and less directionally persistent movement, ARS) was concentrated at cold waters south of the Polar Front (similar to 50 degrees S). The best model showed that ARS was expected to occur in coastal areas and over ridges and seamounts. Ice coverage during August of each year was a consistent predictor of ARS across models. Wind stress curl and sea surface temperature anomalies were also correlated with movement parameters but elicited larger inter-individual variation. I-models were consistent with P-models' predictions for the case of females accompanied by calves (mothers), while males and those of undetermined sex (males +) presented more variability as a group. Spatial predictions of humpback whale behavioral responses showed that feeding grounds for this population are concentrated in the complex system of islands, ridges, and rises of the Scotia Sea and the northern Weddell Ridge. More southernly incursions were observed in recent years, suggesting a potential response to increased temperature and large ice coverage reduction observed in the late 2010s. Although, small sample size and differences in tracking duration precluded appropriately testing predictions for such a distributional shift, our modelling framework showed the efficiency of borrowing statistical strength during data pooling, while pinpointing where more complexity should be added in the future as additional data become available.</t>
  </si>
  <si>
    <t>[Bedrinana-Romano, Luis] Univ Austral Chile, Fac Ciencias, Inst Ciencias Marinas &amp; Limnol, Casilla 567, Valdivia, Chile; [Bedrinana-Romano, Luis] NGO Ctr Ballena Azul, Valdivia, Chile; [Bedrinana-Romano, Luis] Univ Concepcion, Ctr Invest Oceanog COPAS Coastal, Reg Bio Bio, Concepcion 4070043, Chile; [Zerbini, Alexandre N.] Univ Washington, Cooperat Inst Climate Ocean &amp; Ecosyst Studies, 7600 Sand Point Way NE, Seattle, WA 98195 USA; [Zerbini, Alexandre N.] NOAA, Marine Mammal Lab, Alaska Fisheries Sci Ctr, 7600 Sand Point Way NE, Seattle, WA 98195 USA; [Zerbini, Alexandre N.] Marine Ecol &amp; Telemetry Res, 2468 Camp McKenzie Tr NW, Seabeck, WA 98380 USA; [Zerbini, Alexandre N.; Andriolo, Artur; Danilewicz, Daniel; Sucunza, Federico] Inst Aqualie, Av Dr Paulo Japiassu Coelho 714, BR-36033310 Juiz De Fora, MG, Brazil; [Andriolo, Artur] Univ Fed Juiz de Fora, Inst Ciencias Biol, Dept Zool, Lab Ecol Comportamental &amp; Bioacust,LABEC, Juiz De Fora, MG, Brazil; [Danilewicz, Daniel; Sucunza, Federico] Grp Estudos Mamiferos Aquat Rio Grande do Sul GEM, Porto Alegre, RS, Brazil</t>
  </si>
  <si>
    <t>Universidad Austral de Chile; Universidad de Concepcion; University of Washington; University of Washington Seattle; National Oceanic Atmospheric Admin (NOAA) - USA; Universidade Federal de Juiz de Fora</t>
  </si>
  <si>
    <t>Bedriñana-Romano, L (corresponding author), Univ Austral Chile, Fac Ciencias, Inst Ciencias Marinas &amp; Limnol, Casilla 567, Valdivia, Chile.;Bedriñana-Romano, L (corresponding author), NGO Ctr Ballena Azul, Valdivia, Chile.;Bedriñana-Romano, L (corresponding author), Univ Concepcion, Ctr Invest Oceanog COPAS Coastal, Reg Bio Bio, Concepcion 4070043, Chile.</t>
  </si>
  <si>
    <t>luis.bedrinana.romano@gmail.com</t>
  </si>
  <si>
    <t>SUCUNZA, FEDERICO/B-2119-2016; Danilewicz, Daniel/O-5024-2014</t>
  </si>
  <si>
    <t>Bedrinana-Romano, Luis/0000-0002-6105-0920</t>
  </si>
  <si>
    <t>Instituto Aqualie; COPAS Coastal ANID [FB210021]; Shell Brasil; CGG Brasil</t>
  </si>
  <si>
    <t>Instituto Aqualie; COPAS Coastal ANID; Shell Brasil; CGG Brasil</t>
  </si>
  <si>
    <t>LB was supported by Instituto Aqualie and COPAS Coastal ANID FB210021. Collection of satellite telemetry data off Brazil was funded by Shell Brasil (2001-2013) and CGG Brasil (2016-2019). The scientific results and conclusions, as well as any views or opinions expressed herein, are those of the author(s) and do not necessarily reflect those of NOAA or the US Department of Commerce.</t>
  </si>
  <si>
    <t>10.1038/s41598-022-11536-7</t>
  </si>
  <si>
    <t>1A5WC</t>
  </si>
  <si>
    <t>WOS:000791825700005</t>
  </si>
  <si>
    <t>Hwengwere, K; Nair, HP; Hughes, KA; Peck, LS; Clark, MS; Walker, CA</t>
  </si>
  <si>
    <t>Hwengwere, K.; Nair, H. Paramel; Hughes, K. A.; Peck, L. S.; Clark, M. S.; Walker, C. A.</t>
  </si>
  <si>
    <t>Antimicrobial resistance in Antarctica: is it still a pristine environment?</t>
  </si>
  <si>
    <t>MICROBIOME</t>
  </si>
  <si>
    <t>beta-Lactam; Efflux pumps; Aminoglycosides; Horizontal gene transfer; Wastewater treatment; Metagenomics; Anthropogenic; Sewage</t>
  </si>
  <si>
    <t>WATER TREATMENT PLANTS; ANTIBIOTIC-RESISTANCE; WASTE-WATER; PSYCHROTROPHIC BACTERIA; FILDES PENINSULA; ESCHERICHIA-COLI; ENTERIC BACTERIA; GENE TET(M); MICROORGANISMS; SALMONELLA</t>
  </si>
  <si>
    <t>Although the rapid spread of antimicrobial resistance (AMR), particularly in relation to clinical settings, is causing concern in many regions of the globe, remote, extreme environments, such as Antarctica, are thought to be relatively free from the negative impact of human activities. In fact, Antarctica is often perceived as the last pristine continent on Earth. Such remote regions, which are assumed to have very low levels of AMR due to limited human activity, represent potential model environments to understand the mechanisms and interactions underpinning the early stages of evolution, de novo development, acquisition and transmission of AMR. Antarctica, with its defined zones of human colonisation (centred around scientific research stations) and large populations of migratory birds and animals, also has great potential with regard to mapping and understanding the spread of early-stage zoonotic interactions. However, to date, studies of AMR in Antarctica are limited. Here, we survey the current literature focussing on the following: i) Dissection of human-introduced AMR versus naturally occurring AMR, based on the premise that multiple drug resistance and resistance to synthetic antibiotics not yet found in nature are the results of human contamination ii) The potential role of endemic wildlife in AMR spread There is clear evidence for greater concentrations of AMR around research stations, and although data show reverse zoonosis of the characteristic human gut bacteria to endemic wildlife, AMR within birds and seals appears to be very low, albeit on limited samplings. Furthermore, areas where there is little, to no, human activity still appear to be free from anthropogenically introduced AMR. However, a comprehensive assessment of AMR levels in Antarctica is virtually impossible on current data due to the wide variation in reporting standards and methodologies used and poor geographical coverage. Thus, future studies should engage directly with policymakers to promote the implementation of continent-wide AMR reporting standards. The development of such standards alongside a centralised reporting system would provide baseline data to feedback directly into wastewater treatment policies for the Antarctic Treaty Area to help preserve this relatively pristine environment.</t>
  </si>
  <si>
    <t>[Hwengwere, K.; Nair, H. Paramel; Walker, C. A.] Anglia Ruskin Univ, Fac Sci &amp; Engn, Sch Life Sci, East Rd, Cambridge CB1 1PT, England; [Hwengwere, K.] Univ Plymouth, Sch Biol &amp; Marine Sci, Marine Biol &amp; Ecol Res Ctr, Plymouth PL4 8AA, Devon, England; [Hwengwere, K.; Hughes, K. A.; Peck, L. S.; Clark, M. S.] NERC, British Antarctic Survey, Madingley Rd, Cambridge CB3 0ET, England</t>
  </si>
  <si>
    <t>Anglia Ruskin University; University of Plymouth; UK Research &amp; Innovation (UKRI); Natural Environment Research Council (NERC); NERC British Antarctic Survey</t>
  </si>
  <si>
    <t>Clark, MS (corresponding author), NERC, British Antarctic Survey, Madingley Rd, Cambridge CB3 0ET, England.</t>
  </si>
  <si>
    <t>mscl@bas.ac.uk</t>
  </si>
  <si>
    <t>Hughes, Kevin/JVZ-0793-2024; Paramel Nair, Harisree/KHT-3638-2024; Clark, Melody/D-7371-2014</t>
  </si>
  <si>
    <t>Paramel Nair, Harisree/0000-0002-9688-524X; Clark, Melody/0000-0002-3442-3824; Walker, Caray A/0000-0002-4700-1743</t>
  </si>
  <si>
    <t>Anglia Ruskin University QR Postdoctoral Fellowship - BAS Innovation voucher</t>
  </si>
  <si>
    <t>HPN was funded by Anglia Ruskin University QR Postdoctoral Fellowship. KH was partially funded by a BAS Innovation voucher.</t>
  </si>
  <si>
    <t>BMC</t>
  </si>
  <si>
    <t>CAMPUS, 4 CRINAN ST, LONDON N1 9XW, ENGLAND</t>
  </si>
  <si>
    <t>2049-2618</t>
  </si>
  <si>
    <t>Microbiome</t>
  </si>
  <si>
    <t>10.1186/s40168-022-01250-x</t>
  </si>
  <si>
    <t>1A5PB</t>
  </si>
  <si>
    <t>Green Published, Green Submitted, gold, Green Accepted</t>
  </si>
  <si>
    <t>WOS:000791807300001</t>
  </si>
  <si>
    <t>Lukens, KE; Ide, K; Garrett, K; Liu, H; Santek, D; Hoover, B; Hoffman, RN</t>
  </si>
  <si>
    <t>Lukens, Katherine E.; Ide, Kayo; Garrett, Kevin; Liu, Hui; Santek, David; Hoover, Brett; Hoffman, Ross N.</t>
  </si>
  <si>
    <t>Exploiting Aeolus level-2b winds to better characterize atmospheric motion vector bias and uncertainty</t>
  </si>
  <si>
    <t>The need for highly accurate atmospheric wind observations is a high priority in the science community, particularly for numerical weather prediction (NWP). To address this need, this study leverages Aeolus wind lidar level-2B data provided by the European Space Agency (ESA) as a potential comparison standard to better characterize atmospheric motion vector (AMV) bias and uncertainty. AMV products from geostationary (GEO) and low Earth orbiting (LEO) satellites are compared with reprocessed Aeolus horizontal line-of-sight (HLOS) global winds observed in August-September 2019. Winds from two Aeolus observing modes are compared with AMVs, namely Rayleigh-clear (RAY; derived from the molecular scattering signal) and Mie-cloudy (MIE; derived from the particle scattering signal). Quality-controlled (QC'd) Aeolus winds are co-located with QC'd AMVs in space and time, and the AMVs are projected onto the Aeolus HLOS direction. Mean co-location differences (MCDs) and the standard deviation (SD) of those differences (SDCDs) are determined and analyzed. As shown in other comparison studies, the level of agreement between AMV and Aeolus wind velocities (HLOSVs) varies with the AMV type, geographic region, and height of the co-located winds, as well as with the Aeolus observing mode. In terms of global statistics, QC'd AMVs and QC'd Aeolus HLOSVs are highly correlated for both observing modes. Aeolus MIE winds are shown to have great potential value as a comparison standard to characterize AMVs, as MIE co-locations generally exhibit smaller biases and uncertainties compared to RAY co-locations. Aeolus RAY winds contribute a substantial fraction of the total SDCDs in the presence of clouds where co-location/representativeness errors are also large. Stratified comparisons with Aeolus HLOSVs are consistent with known AMV bias and uncertainty in the tropics, NH extratropics, the Arctic, and at mid- to upper-levels in clear and cloudy scenes. AMVs in the SH/Antarctic generally exhibit larger-than-expected MCDs and SDCDs, most probably due to larger AMV height assignment errors and co-location/representativeness errors in the presence of high wind speeds and strong vertical wind shear, particularly for RAY comparisons.</t>
  </si>
  <si>
    <t>[Lukens, Katherine E.; Garrett, Kevin; Liu, Hui; Hoffman, Ross N.] NOAA, NESDIS, Ctr Satellite Applicat &amp; Res STAR, College Pk, MD 20740 USA; [Lukens, Katherine E.; Liu, Hui; Hoffman, Ross N.] Univ Maryland, Cooperat Inst Satellite Earth Syst Studies CISESS, College Pk, MD 20740 USA; [Ide, Kayo] Univ Maryland, Coll Comp Math &amp; Nat Sci CMNS, College Pk, MD 20740 USA; [Santek, David; Hoover, Brett] Univ Wisconsin, Cooperat Inst Meteorol Satellite Studies CIMSS, Madison, WI 53706 USA</t>
  </si>
  <si>
    <t>National Oceanic Atmospheric Admin (NOAA) - USA; University System of Maryland; University of Maryland College Park; University System of Maryland; University of Maryland College Park; University of Wisconsin System; University of Wisconsin Madison</t>
  </si>
  <si>
    <t>Lukens, KE (corresponding author), NOAA, NESDIS, Ctr Satellite Applicat &amp; Res STAR, College Pk, MD 20740 USA.;Lukens, KE (corresponding author), Univ Maryland, Cooperat Inst Satellite Earth Syst Studies CISESS, College Pk, MD 20740 USA.</t>
  </si>
  <si>
    <t>katherine.lukens@noaa.gov</t>
  </si>
  <si>
    <t>Ide, Kayo/F-8443-2010; Garrett, Kevin/L-7582-2016</t>
  </si>
  <si>
    <t>Garrett, Kevin/0000-0002-7444-4363; Ide, Kayo/0000-0001-5789-9326; liu, hui/0000-0002-7959-0984; Lukens, Katherine/0000-0003-3469-8171; Hoover, Brett/0000-0001-9119-2295</t>
  </si>
  <si>
    <t>National Oceanic and Atmospheric Administration [NA14NES4320003, NA19NES4320002, NA20NES4320003]</t>
  </si>
  <si>
    <t>National Oceanic and Atmospheric Administration(National Oceanic Atmospheric Admin (NOAA) - USA)</t>
  </si>
  <si>
    <t>This research has been supported by the National Oceanic and Atmospheric Administration (grant nos. NA14NES4320003, NA19NES4320002, and NA20NES4320003).</t>
  </si>
  <si>
    <t>10.5194/amt-15-2719-2022</t>
  </si>
  <si>
    <t>0Z7QO</t>
  </si>
  <si>
    <t>WOS:000791268500001</t>
  </si>
  <si>
    <t>Kühn, S; Utne-Palm, AC; de Jong, K</t>
  </si>
  <si>
    <t>Kuehn, Saskia; Utne-Palm, Anne Christine; de Jong, Karen</t>
  </si>
  <si>
    <t>Two of the most common crustacean zooplankton Meganyctiphanes norvegica and Calanus spp. produce sounds within the hearing range of their fish predators</t>
  </si>
  <si>
    <t>BIOACOUSTICS-THE INTERNATIONAL JOURNAL OF ANIMAL SOUND AND ITS RECORDING</t>
  </si>
  <si>
    <t>REACTION DISTANCE; ANTARCTIC KRILL; SURFACE SWARMS; SEARCH TIME; BEHAVIOR; LOBSTER; TURBIDITY; FIELD; PREY; COD</t>
  </si>
  <si>
    <t>Sound is an effective channel for the transfer of information underwater. While it is known that fish and whales can use sound for communication, and as a cue to localise predators and prey, much less is known about sound production in invertebrates. Here we describe sounds produced by two of the most common marine crustacean zooplankton in the Northern hemisphere: Northern krill (Meganyctiphanes norvegica) and copepods (Calanus spp.). The recorded sounds were taxon-specific and within the hearing range of common planktivorous fish. We recorded similar sounds in the laboratory and in the field. In krill, the sound co-occurred with a tail flip, and the amplitude of the sound was correlated to the displacement distance of the animal, indicating a potential sound producing mechanism. Our findings highlight the possibility that zooplankton sounds could be used as a cue for their predators and for intraspecific communication.</t>
  </si>
  <si>
    <t>[Kuehn, Saskia] Univ Kiel, Res &amp; Technol Ctr West Coast, Busum, Germany; [Kuehn, Saskia] Univ Groningen, RUG, Life Sci &amp; Technol, Groningen, Netherlands; [Utne-Palm, Anne Christine] Inst Marine Res, Fish Capture, Postboks 1870 Nordnes, Bergen, Norway; [de Jong, Karen] Inst Marine Res, Ecosyst Acoust, Postboks 1870 Nordnes, Bergen, Norway</t>
  </si>
  <si>
    <t>University of Kiel; University of Groningen; Institute of Marine Research - Norway; Institute of Marine Research - Norway</t>
  </si>
  <si>
    <t>de Jong, K (corresponding author), Inst Marine Res, NO-5817 Bergen, Norway.</t>
  </si>
  <si>
    <t>karen.dejong@hi.no</t>
  </si>
  <si>
    <t>Kühn, Saskia/GOH-3092-2022; de Jong, Karen/D-1808-2010</t>
  </si>
  <si>
    <t>de Jong, Karen/0000-0001-9239-7268; Utne-Palm, Anne Christine/0000-0001-6063-8549</t>
  </si>
  <si>
    <t>Institute of Marine Research (IMR) in Bergen and Matre, Norway; University of Groningen (RUG); Federal State Funding at Kiel University; FTZ; Norwegian Research Council [302675]; IMR</t>
  </si>
  <si>
    <t>Institute of Marine Research (IMR) in Bergen and Matre, Norway; University of Groningen (RUG); Federal State Funding at Kiel University; FTZ; Norwegian Research Council(Research Council of Norway); IMR</t>
  </si>
  <si>
    <t>We would like to thank the Institute of Marine Research (IMR) in Bergen and Matre, Norway, for supporting the present study. SK was funded by the University of Groningen (RUG), the Federal State Funding at Kiel University and the FTZ. KdJ and ACUP were funded by the Norwegian Research Council under Grant (302675) and by IMR. A big thanks to Ragnar Nortvedt, Magnhild ROrtveit and Tone Vagseth for all their support and help during our work in Matre. We would like to thank Martine Maan for help with supervision of the master project and Katja Heubel and Anthony D. Hawkins for their valuable comments on a previous version of this manuscript.</t>
  </si>
  <si>
    <t>0952-4622</t>
  </si>
  <si>
    <t>2165-0586</t>
  </si>
  <si>
    <t>BIOACOUSTICS</t>
  </si>
  <si>
    <t>Bioacoustics</t>
  </si>
  <si>
    <t>10.1080/09524622.2022.2070542</t>
  </si>
  <si>
    <t>8E1KY</t>
  </si>
  <si>
    <t>WOS:000791154700001</t>
  </si>
  <si>
    <t>Ershadi, MR; Drews, R; Martín, C; Eisen, O; Ritz, C; Corr, H; Christmann, J; Zeising, O; Humbert, A; Mulvaney, R</t>
  </si>
  <si>
    <t>Ershadi, M. Reza; Drews, Reinhard; Martin, Carlos; Eisen, Olaf; Ritz, Catherine; Corr, Hugh; Christmann, Julia; Zeising, Ole; Humbert, Angelika; Mulvaney, Robert</t>
  </si>
  <si>
    <t>Polarimetric radar reveals the spatial distribution of ice fabric at domes and divides in East Antarctica</t>
  </si>
  <si>
    <t>Ice crystals are mechanically and dielectrically anisotropic. They progressively align under cumulative deformation, forming an ice-crystal-orientation fabric that, in turn, impacts ice deformation. However, almost all the observations of ice fabric are from ice core analysis, and its influence on the ice flow is unclear. Here, we present a non-linear inverse approach to process co- and cross-polarized phase-sensitive radar data. We estimate the continuous depth profile of georeferenced ice fabric orientation along with the reflection ratio and horizontal anisotropy of the ice column. Our method approximates the complete second-order orientation tensor and all the ice fabric eigenvalues. As a result, we infer the vertical ice fabric anisotropy, which is an essential factor to better understand ice deformation using anisotropic ice flow models. The approach is validated at two Antarctic ice core sites (EPICA (European Project for Ice Coring in Antarctica) Dome C and EPICA Dronning Maud Land) in contrasting flow regimes. Spatial variability in ice fabric characteristics in the dome-to-flank transition near Dome C is quantified with 20 more sites located along with a 36 km long cross-section. Local horizontal anisotropy increases under the dome summit and decreases away from the dome summit We suggest that this is a consequence of the nonlinear rheology of ice, also known as the Raymond effect. On larger spatial scales, horizontal anisotropy increases with increasing distance from the dome. At most of the sites, the main driver of ice fabric evolution is vertical compression, yet our data show that the horizontal distribution of the ice fabric is consistent with the present horizontal flow. This method uses polarimetric-radar data, which are suitable for profiling radar applications and are able to constrain ice fabric distribution on a spatial scale comparable to ice flow observations and models.</t>
  </si>
  <si>
    <t>[Ershadi, M. Reza; Drews, Reinhard] Univ Tubingen, Dept Geosci, Tubingen, Germany; [Martin, Carlos; Corr, Hugh; Mulvaney, Robert] NERC, British Antarctic Survey, Cambridge, England; [Eisen, Olaf; Christmann, Julia; Zeising, Ole; Humbert, Angelika] Helmholtz Ctr Polar &amp; Marine Res, Alfred Wegener Inst, Glaciol, Bremerhaven, Germany; [Ritz, Catherine] Univ Grenoble Alpes, IGE, CNRS, IRD,Grenoble INP, F-38000 Grenoble, France; [Eisen, Olaf; Zeising, Ole; Humbert, Angelika] Univ Bremen, Dept Geosci, Bremen, Germany; [Christmann, Julia] Univ Kaiserslautern, Inst Appl Mech, Kaiserslautern, Germany</t>
  </si>
  <si>
    <t>Eberhard Karls University of Tubingen; UK Research &amp; Innovation (UKRI); Natural Environment Research Council (NERC); NERC British Antarctic Survey; Helmholtz Association; Alfred Wegener Institute, Helmholtz Centre for Polar &amp; Marine Research; Communaute Universite Grenoble Alpes; Universite Grenoble Alpes (UGA); Institut de Recherche pour le Developpement (IRD); Institut National Polytechnique de Grenoble; Centre National de la Recherche Scientifique (CNRS); University of Bremen; University of Kaiserslautern</t>
  </si>
  <si>
    <t>Ershadi, MR (corresponding author), Univ Tubingen, Dept Geosci, Tubingen, Germany.</t>
  </si>
  <si>
    <t>mohammadreza.ershadi@uni-tuebingen.de</t>
  </si>
  <si>
    <t>Drews, reinhard/AAP-4134-2021; Corr, Hugh/C-5398-2011; Mulvaney, Robert/K-3929-2012</t>
  </si>
  <si>
    <t>Drews, reinhard/0000-0002-2328-294X; Christmann, Julia/0000-0002-5044-1192; Mulvaney, Robert/0000-0002-5372-8148; Eisen, Olaf/0000-0002-6380-962X; Ritz, Catherine/0000-0003-0785-8571; Zeising, Ole/0000-0002-1284-8098; Ershadi, Mohammadreza/0000-0002-8929-1638; Humbert, Angelika/0000-0002-0244-8760</t>
  </si>
  <si>
    <t>Deutsche Forschungsgemeinschaft [DR 822/3-1]; Horizon 2020 research and innovation program and coordination and support action (Beyond EPICA) [815384]; Horizon 2020 research and innovation program and coordination and support action (BE-OI) [730258]; H2020 Societal Challenges Programme [730258, 815384] Funding Source: H2020 Societal Challenges Programme</t>
  </si>
  <si>
    <t>Deutsche Forschungsgemeinschaft(German Research Foundation (DFG)); Horizon 2020 research and innovation program and coordination and support action (Beyond EPICA); Horizon 2020 research and innovation program and coordination and support action (BE-OI); H2020 Societal Challenges Programme(Horizon 2020European Union (EU)H2020 Societal Challenges Programme)</t>
  </si>
  <si>
    <t>This research has been supported by the Deutsche Forschungsgemeinschaft (grant no. DR 822/3-1) and the Horizon 2020 research and innovation program and coordination and support action (Beyond EPICA (grant no. 815384) and BE-OI (grant no. 730258)).</t>
  </si>
  <si>
    <t>10.5194/tc-16-1719-2022</t>
  </si>
  <si>
    <t>0Z7QL</t>
  </si>
  <si>
    <t>WOS:000791268200001</t>
  </si>
  <si>
    <t>Szopinska, M; Potapowicz, J; Jankowska, K; Luczkiewicz, A; Svahn, O; Bjorklund, E; Nannou, C; Lambropoulou, D; Polkowska, Z</t>
  </si>
  <si>
    <t>Szopinska, Malgorzata; Potapowicz, Joanna; Jankowska, Katarzyna; Luczkiewicz, Aneta; Svahn, Ola; Bjorklund, Erland; Nannou, Christina; Lambropoulou, Dimitra; Polkowska, Zaneta</t>
  </si>
  <si>
    <t>Pharmaceuticals and other contaminants of emerging concern in Admiralty Bay as a result of untreated wastewater discharge: Status and possible environmental consequences</t>
  </si>
  <si>
    <t>Anthropogenic pollutants; Antibiotic resistance genes; Maritime Antarctica; Environmental risk assessment; Mitigation measures; Wastewater</t>
  </si>
  <si>
    <t>PERSONAL CARE PRODUCTS; ANTIBIOTIC-RESISTANCE GENES; RISK-ASSESSMENT; COASTAL ENVIRONMENT; POTENTIAL IMPACTS; ESCHERICHIA-COLI; TREATMENT PLANTS; SURFACE-WATER; BISPHENOL-A; FRESH-WATER</t>
  </si>
  <si>
    <t>Considering how the impact of human activity in Antarctica is growing, the aim of this study was to conduct the first assessment of pharmaceuticals and personal care products (PPCPs), other emerging contaminants (ECs), and antibiotic resistance genes present in the western shore of the Admiralty Bay region of King George Island. In total, more than 170 substances were evaluated to assess the potential environmental risks they pose to the study area. The major evaluated source of pollutants in this study is discharged untreated wastewater. The highest PPCP concentrations in wastewater were found for naproxen (2653 ngL(?1)), diclofenac (747 ngL(?1)), ketoconazole (760 ngL(?1)), ibuprofen (477 ngL(?1)) and acetaminophen (332 ngL(?1)). Moreover, the concentrations of benzotriazole (6340 ngL(?1)) and caffeine (3310 ngL(?1)) were also high. The Risk Quotient values indicate that azole antifungals (ketoconazole), anti-inflammatories (diclofenac, ibuprofen) and stimulants (caffeine) are the main groups responsible for the highest toxic burden. In addition, antibiotic resistance genes integrons (int 1) and sulphonamide resistance genes (sul 1-2) were detected in wastewater and seawater. These results indicate that regular monitoring of PPCPs and other ECs is of great importance in this environment. Additionally, the following mitigation strategies are suggested: (1) to create a centralised record of the medications prescribed and consumed in situ (to improve knowledge of potential contaminants without analysis); (2) to use more environmentally friendly substitutes both for pharmaceuticals and personal care products when possible (limiting consumption at the source); and (3) to apply advanced systems for wastewater treatment before discharge to the recipient (end-of-pipe technologies as a final barrier).</t>
  </si>
  <si>
    <t>[Szopinska, Malgorzata; Jankowska, Katarzyna; Luczkiewicz, Aneta] Gdansk Univ Technol, Fac Civil &amp; Environm Engn, Dept Environm Engn Technol, 11-12 Narutowicza St, PL-80233 Gdansk, Poland; [Potapowicz, Joanna; Polkowska, Zaneta] Gdansk Univ Technol, Fac Chem, Analyt Chem Dept, 11-12 Narutowicza St, PL-80233 Gdansk, Poland; [Svahn, Ola; Bjorklund, Erland] Kristianstad Univ, Dept Environm Sci &amp; Biosci, Elmetorpsvagen 15, SE-29188 Kristianstad, Sweden; [Nannou, Christina; Lambropoulou, Dimitra] Aristotle Univ Thessaloniki, Dept Chem, GR-54124 Thessaloniki, Greece; [Lambropoulou, Dimitra] Balkan Ctr, Ctr Interdisciplinary Res &amp; Innovat CIRI AUTH, 10th km Thessaloniki Thermi Rd, GR-57001 Thessaloniki, Greece</t>
  </si>
  <si>
    <t>Fahrenheit Universities; Gdansk University of Technology; Fahrenheit Universities; Gdansk University of Technology; Kristianstad University; Aristotle University of Thessaloniki</t>
  </si>
  <si>
    <t>Szopinska, M (corresponding author), Gdansk Univ Technol, Fac Civil &amp; Environm Engn, Dept Environm Engn Technol, 11-12 Narutowicza St, PL-80233 Gdansk, Poland.</t>
  </si>
  <si>
    <t>malszopi@pg.edu.pl</t>
  </si>
  <si>
    <t>Nannou, Christina/AAJ-2464-2020; Polkowska, Zaneta/AAA-3578-2020; Luczkiewicz, Aneta/HGU-3312-2022</t>
  </si>
  <si>
    <t>Nannou, Christina/0000-0002-9153-1127; Luczkiewicz, Aneta/0000-0002-4145-3036; Szopinska, Malgorzata/0000-0003-2186-7781; Polkowska, Zaneta/0000-0002-2730-0068</t>
  </si>
  <si>
    <t>National Science Centre Poland project task (MINIATURA2) entitled 'Recognition and selection of pollution markers introduced into Admiralty Bay via wastewater discharge: The example from Arctowski Polish Antarctic Station. King George Island. Maritime Anta [DEC-2018/02/X/ST10/01539]; 2014-2020 Interreg IPA Cross Border Cooperation Programme [CCI 2014 TC 16 I5CB 009, (MIS): 5030774]; European Union Funds [POWR.03.02.00-IP.08-00-DOK/16]</t>
  </si>
  <si>
    <t>National Science Centre Poland project task (MINIATURA2) entitled 'Recognition and selection of pollution markers introduced into Admiralty Bay via wastewater discharge: The example from Arctowski Polish Antarctic Station. King George Island. Maritime Anta; 2014-2020 Interreg IPA Cross Border Cooperation Programme; European Union Funds(European Union (EU)Marie Curie Actions)</t>
  </si>
  <si>
    <t>This research was mainly supported by the National Science Centre Poland project task (MINIATURA2) entitled 'Recognition and selection of pollution markers introduced into Admiralty Bay via wastewater discharge: The example from Arctowski Polish Antarctic Station. King George Island. Maritime Antarctica', agreement no. DEC-2018/02/X/ST10/01539 awarded to M. Szopinska. LC-Orbitrap MS/MS equipment has been funded by 2014-2020 Interreg IPA Cross Border Cooperation Programme CCI 2014 TC 16 I5CB 009, Research Project: Aqua-M II: Sustainable management of cross-border water resources, Project number (MIS): 5030774, which is gratefully acknowledged. The article was created partly thanks to funding by the European Union Funds from the project POWR.03.02.00-IP.08-00-DOK/16.</t>
  </si>
  <si>
    <t>AUG 20</t>
  </si>
  <si>
    <t>10.1016/j.scitotenv.2022.155400</t>
  </si>
  <si>
    <t>1W4RJ</t>
  </si>
  <si>
    <t>WOS:000806762000011</t>
  </si>
  <si>
    <t>Di Mauro, R; Castillo, S; Perez, A; Iachetti, CM; Silva, L; Tomba, JP; Chiesa, IL</t>
  </si>
  <si>
    <t>Di Mauro, Rosana; Castillo, Santiago; Perez, Analia; Iachetti, Clara M.; Silva, Leonel; Tomba, Juan P.; Chiesa, Ignacio L.</t>
  </si>
  <si>
    <t>Anthropogenic microfibers are highly abundant at the Burdwood Bank seamount, a protected sub-Antarctic environment in the Southwestern Atlantic Ocean</t>
  </si>
  <si>
    <t>Microplastics; Water column; Open ocean; PET; ACC; Patagonia</t>
  </si>
  <si>
    <t>MICROPLASTIC POLLUTION; MARINE-ENVIRONMENT; PLASTIC DEBRIS; SOUTH-AMERICA; SCOTIA ARC; YELLOW SEA; HOT-SPOT; WATER; ZOOPLANKTON; PARTICLES</t>
  </si>
  <si>
    <t>Microplastics debris in the marine environment have been widely studied across the globe. Within these particles, the most abundant and prevalent type in the oceans are anthropogenic microfibers (MFs), although they have been historically overlooked mostly due to methodological constraints. MFs are currently considered omnipresent in natural environments, however, contrary to the Northern Hemisphere, data on their abundance and distribution in Southern Oceans ecosystems are still scarce, in particular for sub-Antarctic regions. Using Niskin bottles we've explored microfibers abundance and distribution in the water column (3-2450 m depth) at the Burdwood Bank (BB), a seamount located at the southern extreme of the Patagonian shelf, in the Southwestern Atlantic Ocean. The MFs detected from filtered water samples were photographed and measured using ImageJ software, to estimate length, width, and the projected surface area of each particle. Our results indicate that small pieces of fibers are widespread in the water column at the BB (mean of 17.4 +/- 12.6 MFs.L-1), from which, 10.6 +/- 5.3 MFs.L-1 were at the surface (3-10 m depth), 20 +/- 9 MFs.L-1 in intermediate waters (41-97 m), 24.6 +/- 17.3 MFs.L-1 in deeper waters (102-164 m), and 9.2 +/- 5.3 MFs.L-1 within the slope break of the seamount. Approximately 76.1% of the MFs were composed of Polyethylene terephthalate, and the abundance was dominated by the size fraction from 0.1 to 0.3 mm of length. Given the high relative abundance of small and aged MFs, and the oceanographic complexity of the study area, we postulate that MFs are most likely transported to the BB via the Antarctic Circumpolar Current. Our findings imply that this sub-Antarctic protected ecosystem is highly exposed to microplastic pollution, and this threat could be spreading towards the highly productive waters, north of the study area.</t>
  </si>
  <si>
    <t>[Di Mauro, Rosana] Inst Nacl Invest &amp; Desarrollo Pesquero INIDEP, Gabinete Zooplancton, Mar Del Plata, Argentina; [Di Mauro, Rosana; Perez, Analia; Silva, Leonel; Tomba, Juan P.; Chiesa, Ignacio L.] Consejo Nacl Invest Cient &amp; Tecn CONICET, Buenos Aires, Argentina; [Castillo, Santiago] Univ Nacl Cordoba, Fac Ciencias Exactas, Fis &amp; Nat, Ecol Marina, Cordoba, Argentina; [Castillo, Santiago] Univ Nacl Cordoba, Inst Multidisciplinario Biol Vegetal, CONICET, Cordoba, Argentina; [Perez, Analia] Univ Maimonides, Lab Invertebrados Marinos, CCNA, CONICET, CABA, Argentina; [Iachetti, Clara M.] Univ Nacl Tierra Fuego UNTdF, Ushuaia, Argentina; [Silva, Leonel; Tomba, Juan P.] Inst Invest Ciencia &amp; Tecnol Mat INTEMA CONICET, Mar Del Plata, Argentina; [Chiesa, Ignacio L.] Consejo Nacl Invest Cient &amp; Tecn, Lab Crustaceos &amp; Ecosistemas Costeros CAD, Argentina Bernardo Houssay 200, RA-V9410CAB Ushuaia, Argentina; [Chiesa, Ignacio L.] Consejo Nacl Invest Cient &amp; Tecn, Ctr Austral Invest Cient CADIC, Bernardo Houssay 200, Ushuaia, Tierra Del Fueg, Argentina</t>
  </si>
  <si>
    <t>Consejo Nacional de Investigaciones Cientificas y Tecnicas (CONICET); National Fisheries Research &amp; Development Institute (INIDEP); Consejo Nacional de Investigaciones Cientificas y Tecnicas (CONICET); National University of Cordoba; National University of Cordoba; Consejo Nacional de Investigaciones Cientificas y Tecnicas (CONICET); Consejo Nacional de Investigaciones Cientificas y Tecnicas (CONICET); Consejo Nacional de Investigaciones Cientificas y Tecnicas (CONICET); Consejo Nacional de Investigaciones Cientificas y Tecnicas (CONICET)</t>
  </si>
  <si>
    <t>Chiesa, IL (corresponding author), Consejo Nacl Invest Cient &amp; Tecn, Ctr Austral Invest Cient CADIC, Bernardo Houssay 200, Ushuaia, Tierra Del Fueg, Argentina.</t>
  </si>
  <si>
    <t>chiesa.ignacio@conicet.gov.ar</t>
  </si>
  <si>
    <t>Instituto Nacional de Investigacio?n y Desarrollo Pesquero (INIDEP) [FONCyT PICT-2018 03872]</t>
  </si>
  <si>
    <t>Instituto Nacional de Investigacio?n y Desarrollo Pesquero (INIDEP)</t>
  </si>
  <si>
    <t>Acknowledgments This work is the Contribution N? 60 to the Marine Protected Area Namuncura?/Burdwood Bank (Law 26.875) , and INIDEP?s contribution N? 2263. The authors are thankful to the chief scientists of the three surveys, Luciana Riccialdelli (PD survey) , Gustavo Alvarez Colombo and Mariano Diez (VA survey) and Natalia Dellabianca (AS survey) . We are also grateful to the crews of RV Puerto Deseado, BIP Victor Angelescu and RV Austral for their support during the sampling procedures. The research cruises were funded through the Argentine National State Law 26,875. This study was funded by Instituto Nacional de Investigacio?n y Desarrollo Pesquero (INIDEP) , and partially funded by grant FONCyT PICT-2018 03872. We are also thankful to Dr. AgustinSchiariti and Dr. Gustavo Lovrich for their constructive comments on an earlier draft of this manuscript. We also thank the anonymous reviewers for the valuable comments and suggestions on an earlier version of this manuscript.</t>
  </si>
  <si>
    <t>10.1016/j.envpol.2022.119364</t>
  </si>
  <si>
    <t>1S4EC</t>
  </si>
  <si>
    <t>WOS:000804004500002</t>
  </si>
  <si>
    <t>Puccinelli, E; Porri, F; Altieri, K; Flynn, R; Little, H; Louw, T; Pattrick, P; Sparks, C; Tsanwani, M; de Waardt, S; Walker, D; Fawcett, S</t>
  </si>
  <si>
    <t>Puccinelli, Eleonora; Porri, Francesca; Altieri, Katye; Flynn, Raquel; Little, Hazel; Louw, Tayla; Pattrick, Paula; Sparks, Conrad; Tsanwani, Mutshutshu; de Waardt, Sonya; Walker, David; Fawcett, Sarah</t>
  </si>
  <si>
    <t>Coastal ecosystem services in South Africa?s largest natural bay: The role of marine benthic filter feeders in mitigating pollution</t>
  </si>
  <si>
    <t>Water quality; Filter feeders; Coastal circulation; Nutrient loading; Atmospheric deposition; Metal contamination</t>
  </si>
  <si>
    <t>NITROGEN ISOTOPE FRACTIONATION; HARMFUL ALGAL BLOOMS; MYTILUS-GALLOPROVINCIALIS; HEAVY-METALS; CLIMATE-CHANGE; PERNA-PERNA; WEST-COAST; FALSE BAY; OCEAN ACIDIFICATION; ORGANIC-MATTER</t>
  </si>
  <si>
    <t>Nearshore water quality can be highly impacted by anthropogenic activities ongoing along the coast, the effects of which on natural environments can be permanent and irreversible, with consequences for ecosystem biodiversity and functioning, as well as for associated services. Benthic filter feeders (e.g., mussels) provide several services for coastal regions, including improving water quality by reducing eutrophication, being a major source of food for humans, and as a habitat-forming species. Here, we seek to understand the role of benthic filter feeders in enhancing water quality in an urban coastal system in order to assess their role as ecosystem service providers and how they should be included in ecosystem-based evaluations. Using as a model False Bay, South Africa's largest natural bay and a socio-economic hotspot, this multidisciplinary study was designed to identify possible pollution sources to a highly-urbanised coastal region, assess their effects on several biological and biogeochemical parameters, and evaluate the role of mussels in mitigating these anthropogenic inputs. We consider several sources of pollution, including nutrient loading from wastewater and river outflows, heavy metals, and aerosol deposition. We find that pollutant inputs are largely attenuated by the circulation of the bay and by the presence of filter feeders that bioaccumulate contaminants, thereby removing them from coastal waters. Our work thus emphasizes the potential for mussels and natural abiotic processes to ameliorate anthropogenic impacts, although these mitigation strategies are not without environmental risk. We recommend that such information should be included in national assessments used to develop appropriate strategies and policies for coastal environmental management and conservation.</t>
  </si>
  <si>
    <t>[Puccinelli, Eleonora; Altieri, Katye; Flynn, Raquel; Little, Hazel; Louw, Tayla; Tsanwani, Mutshutshu; Fawcett, Sarah] Univ Cape Town, Dept Oceanog, ZA-7701 Cape Town, South Africa; [Puccinelli, Eleonora] Univ Brest, CNRS, UBO, Ifremer,LEMAR,IUEM,UMR 6539, Rue Dumont Urville, F-29280 Plouzane, France; [Porri, Francesca] South African Inst Aquat Biodivers SAIAB, Somerset St, ZA-6139 Makhanda, South Africa; [Porri, Francesca] Rhodes Univ, Ichthyol &amp; Fisheries Sci Dept, ZA-6139 Makhanda, South Africa; [Pattrick, Paula] South African Environm Observat Network SAEON, ZA-6001 Gqeberha, South Africa; [Pattrick, Paula] ABALOBI, NPO, 1 Westlake Dr, ZA-7945 Cape Town, South Africa; [Sparks, Conrad; de Waardt, Sonya; Walker, David] Cape Peninsula Univ Technol, Dept Conservat &amp; Marine Sci, ZA-8000 Cape Town, South Africa; [Tsanwani, Mutshutshu] Oceans &amp; Coasts Res, Dept Environm Forestry &amp; Fisheries, ZA-8001 Cape Town, South Africa; [Fawcett, Sarah] Univ Cape Town, MARIS, ZA-7701 Cape Town, South Africa</t>
  </si>
  <si>
    <t>University of Cape Town; Centre National de la Recherche Scientifique (CNRS); CNRS - Institute of Ecology &amp; Environment (INEE); Universite de Bretagne Occidentale; Institut Universitaire Europeen de la Mer (IUEM); Ifremer; Institut de Recherche pour le Developpement (IRD); National Research Foundation - South Africa; South African Institute for Aquatic Biodiversity; Rhodes University; Cape Peninsula University of Technology; University of Cape Town</t>
  </si>
  <si>
    <t>Puccinelli, E (corresponding author), Univ Cape Town, Dept Oceanog, ZA-7701 Cape Town, South Africa.</t>
  </si>
  <si>
    <t>eleonorapuccinelli@gmail.com</t>
  </si>
  <si>
    <t>Altieri, Katye/GWV-4512-2022; Sparks, Conrad/E-2768-2018; Puccinelli, Eleonora/M-3562-2018; Porri, Francesca/M-4258-2017</t>
  </si>
  <si>
    <t>Altieri, Katye/0000-0002-6778-4079; Sparks, Conrad/0000-0001-9721-3544; Walker, David/0000-0002-4235-1699; Puccinelli, Eleonora/0000-0002-6144-6650; Fawcett, Sarah/0000-0002-0878-6496; Porri, Francesca/0000-0001-8247-4506; Tsanwani, Mutshutshu/0000-0002-7599-0200</t>
  </si>
  <si>
    <t>South African National Research Foundation [105895, 115335, 116142, 129320]; Claude Leon Foundation; Swiss Polar Institute through the Antarctic Circumnavigation Expedition (ACE); University of Cape Town (UCT) Research Committee; Royal Society/African Acad-emy of Sciences Future Leaders Africa Independent Researcher (FLAIR) fellowship; ISblue project; Interdisciplinary graduate school for the blue planet [ANR-17-EURE-0015]; French government under the program Investissements dAvenir; SAD programme fellowship</t>
  </si>
  <si>
    <t>South African National Research Foundation(National Research Foundation - South Africa); Claude Leon Foundation; Swiss Polar Institute through the Antarctic Circumnavigation Expedition (ACE); University of Cape Town (UCT) Research Committee; Royal Society/African Acad-emy of Sciences Future Leaders Africa Independent Researcher (FLAIR) fellowship; ISblue project; Interdisciplinary graduate school for the blue planet; French government under the program Investissements dAvenir(Agence Nationale de la Recherche (ANR)); SAD programme fellowship</t>
  </si>
  <si>
    <t>This work was supported by funding from the South African National Research Foundation (105895, 115335, 116142, 129320), the Claude Leon Foundation, the Swiss Polar Institute through the Antarctic Circumnavigation Expedition (ACE) Project 12, the University of Cape Town (UCT) Research Committee, and a Royal Society/African Acad-emy of Sciences Future Leaders Africa Independent Researcher (FLAIR) fellowship to SF and the ISblue project, Interdisciplinary graduate school for the blue planet (ANR-17-EURE-0015), co-funded by the French government under the program Investissements d'Avenir and SAD programme fellowship to EP</t>
  </si>
  <si>
    <t>10.1016/j.ecolind.2022.108899</t>
  </si>
  <si>
    <t>1K7OZ</t>
  </si>
  <si>
    <t>WOS:000798788000006</t>
  </si>
  <si>
    <t>Wagner, NY; Andersen, DT; Hahn, AS; Johnson, SS</t>
  </si>
  <si>
    <t>Wagner, Nicole Yasmin; Andersen, Dale T.; Hahn, Aria S.; Johnson, Sarah Stewart</t>
  </si>
  <si>
    <t>Survival strategies of an anoxic microbial ecosystem in Lake Untersee, a potential analog for Enceladus</t>
  </si>
  <si>
    <t>DRONNING MAUD LAND; ICE; ENVIRONMENTS; ISOTOPE; MARGIN; OCEAN; PLUME; LIFE</t>
  </si>
  <si>
    <t>Lake Untersee located in Eastern Antarctica, is a perennially ice-covered lake. At the bottom of its southern basin lies 20 m of anoxic, methane rich, stratified water, making it a good analog for Enceladus, a moon of Saturn. Here we present the first metagenomic study of this basin and detail the community composition and functional potential of the microbial communities at 92 m, 99 m depths and within the anoxic sediment. A diverse and well-populated microbial community was found, presenting the potential for Enceladus to have a diverse and abundant community. We also explored methanogenesis, sulfur metabolism, and nitrogen metabolism, given the potential presence of these compounds on Enceladus. We found an abundance of these pathways offering a variety of metabolic strategies. Additionally, the extreme conditions of the anoxic basin make it optimal for testing spaceflight technology and life detection methods for future Enceladus exploration.</t>
  </si>
  <si>
    <t>[Wagner, Nicole Yasmin; Johnson, Sarah Stewart] Georgetown Univ, Dept Biol, 3700 O St NW, Washington, DC 20057 USA; [Andersen, Dale T.] SETI Inst, Mountain View, CA USA; [Hahn, Aria S.] Koonkie Inc, Menlo Pk, CA USA; [Johnson, Sarah Stewart] Georgetown Univ, Sci Technol &amp; Int Affairs Program, Washington, DC 20057 USA</t>
  </si>
  <si>
    <t>Georgetown University; Georgetown University</t>
  </si>
  <si>
    <t>Johnson, SS (corresponding author), Georgetown Univ, Dept Biol, 3700 O St NW, Washington, DC 20057 USA.;Johnson, SS (corresponding author), Georgetown Univ, Sci Technol &amp; Int Affairs Program, Washington, DC 20057 USA.</t>
  </si>
  <si>
    <t>sarah.johnson@georgetown.edu</t>
  </si>
  <si>
    <t>TAWANI Foundation; Trottier Family Foundation; NASA's Exobiology program [80NSSC18K1094]; Arctic and Antarctic Research Institute/Russian Antarctic Expedition</t>
  </si>
  <si>
    <t>TAWANI Foundation; Trottier Family Foundation; NASA's Exobiology program(National Aeronautics &amp; Space Administration (NASA)); Arctic and Antarctic Research Institute/Russian Antarctic Expedition</t>
  </si>
  <si>
    <t>This work was supported by the TAWANI Foundation, the Trottier Family Foundation, NASA's Exobiology program (80NSSC18K1094) and the Arctic and Antarctic Research Institute/Russian Antarctic Expedition. Logistical support was provided by the Antarctic Logistics Centre International, Cape Town, South Africa. We are grateful to Colonel (IL) J. N. Pritzker, IL ARNG (retired), Lorne Trottier, and fellow field team members for their support during the expedition.</t>
  </si>
  <si>
    <t>MAY 5</t>
  </si>
  <si>
    <t>10.1038/s41598-022-10876-8</t>
  </si>
  <si>
    <t>1A1DL</t>
  </si>
  <si>
    <t>WOS:000791506100023</t>
  </si>
  <si>
    <t>Christie, FDW; Benham, TJ; Batchelor, CL; Rack, W; Montelli, A; Dowdeswell, JA</t>
  </si>
  <si>
    <t>Christie, Frazer D. W.; Benham, Toby J.; Batchelor, Christine L.; Rack, Wolfgang; Montelli, Aleksandr; Dowdeswell, Julian A.</t>
  </si>
  <si>
    <t>Antarctic ice-shelf advance driven by anomalous atmospheric and sea-ice circulation</t>
  </si>
  <si>
    <t>BASAL MELT RATES; EAST ANTARCTICA; OUTLET GLACIERS; OCEAN; PENINSULA; RETREAT; MODEL; LAND; DISINTEGRATION; VARIABILITY</t>
  </si>
  <si>
    <t>The disintegration of the eastern Antarctic Peninsula's Larsen A and B ice shelves has been attributed to atmosphere and ocean warming, and increased mass losses from the glaciers once restrained by these ice shelves have increased Antarctica's total contribution to sea-level rise. Abrupt recessions in ice-shelf frontal position presaged the break-up of Larsen A and B, yet, in the -20 years since these events, documented knowledge of frontal change along the entire -1,400-km-long eastern Antarctic Peninsula is limited. Here, we show that 85% of the seaward ice-shelf perimeter fringing this coastline underwent uninterrupted advance between the early 2000s and 2019, in contrast to the two previous decades. We attribute this advance to enhanced ocean-wave dampening, ice-shelf buttressing and the absence of sea-surface slope-induced gravitational ice-shelf flow. These phenomena were, in turn, enabled by increased near-shore sea ice driven by a Weddell Sea-wide intensification of cyclonic surface winds around 2002. Collectively, our observations demonstrate that sea-ice change can either safeguard from, or set in motion, the final rifting and calving of even large Antarctic ice shelves.</t>
  </si>
  <si>
    <t>[Christie, Frazer D. W.; Benham, Toby J.; Batchelor, Christine L.; Montelli, Aleksandr; Dowdeswell, Julian A.] Univ Cambridge, Scott Polar Res Inst, Cambridge, England; [Rack, Wolfgang] Univ Canterbury, Gateway Antarct, Christchurch, New Zealand; [Batchelor, Christine L.] Univ Newcastle, Sch Geog Polit &amp; Sociol, Newcastle Upon Tyne, Tyne &amp; Wear, England</t>
  </si>
  <si>
    <t>University of Cambridge; University of Canterbury; Newcastle University - UK</t>
  </si>
  <si>
    <t>Christie, FDW (corresponding author), Univ Cambridge, Scott Polar Res Inst, Cambridge, England.</t>
  </si>
  <si>
    <t>fc475@cam.ac.uk</t>
  </si>
  <si>
    <t>Batchelor, Christine/JCN-7543-2023; Rack, Wolfgang/U-8898-2017</t>
  </si>
  <si>
    <t>Dowdeswell, Julian/0000-0003-1369-9482; Christie, Frazer/0000-0002-7378-4243; Benham, Toby/0000-0003-2723-1880; Rack, Wolfgang/0000-0003-2447-377X</t>
  </si>
  <si>
    <t>Flotilla Foundation; Marine Archaeology Consultants Switzerland; Prince Albert II of Monaco Foundation</t>
  </si>
  <si>
    <t>We thank A. Cook, T. Haran, J. Ferrigno and J. Wuite for making their historical ice-shelf frontal positions publicly available, D. Floricioiu for providing access to the DLR/ESA AIS CCI GLL product and NASA, USGS, ESA, the EU Copernicus programme, NSIDC, ECMWF, NOAA, G. Marshall and A. Fraser for making all other satellite and climate data utilized in this study available free of charge. This work was funded by the Flotilla Foundation and Marine Archaeology Consultants Switzerland (F.D.W.C., T.J.B., C.L.B., A.M. and J.A.D.) and with the financial assistance (F.D.W.C. and J.A.D.) of the Prince Albert II of Monaco Foundation.</t>
  </si>
  <si>
    <t>10.1038/s41561-022-00938-x</t>
  </si>
  <si>
    <t>1D7HC</t>
  </si>
  <si>
    <t>WOS:000791081900001</t>
  </si>
  <si>
    <t>Webb, DJ; Holmes, RM; Spence, P; England, MH</t>
  </si>
  <si>
    <t>Webb, David J.; Holmes, Ryan M.; Spence, Paul; England, Matthew H.</t>
  </si>
  <si>
    <t>Propagation of barotropic Kelvin waves around Antarctica</t>
  </si>
  <si>
    <t>OCEAN DYNAMICS</t>
  </si>
  <si>
    <t>Barotropic Kelvin waves; Planetary waves; Wave propagation; Antarctica</t>
  </si>
  <si>
    <t>COASTAL-TRAPPED WAVES; NORTH-ATLANTIC; OCEAN; OSCILLATIONS; BOUNDARIES; SURFACE; SYSTEM</t>
  </si>
  <si>
    <t>Barotropic (i.e., depth-uniform) coastal oceanic Kelvin waves can provide rapid teleconnections from climate and weather events in one location to remote regions of the globe. Studies suggest that barotropic Kelvin waves observed around Antarctica may provide a mechanism for rapidly propagating circulation anomalies around the continent, with implications for continental shelf temperatures along the West Antarctic Peninsula and thus Antarctic ice mass loss rates. However, how the propagation of Kelvin waves around Antarctica is influenced by features such as coastal geometry and variations in bathymetry remains poorly understood. Here we study the propagation of barotropic Antarctic Kelvin waves using a range of idealized model simulations. Using a single-layer linear shallow water model with 1(circle) horizontal resolution, we gradually add complexity of continental configuration, realistic bathymetry, variable planetary rotation, and forcing scenarios, to isolate sources and sinks of wave energy and the mechanisms responsible. We find that approximately 75% of sub-inertial barotropic Kelvin wave energy is scattered away from Antarctica as other waves in one circumnavigation of the continent, due mostly to interactions with bathymetry. Super-inertial barotropic Kelvin waves lose nearly 95% of their energy in one circumpolar loop, due to interactions with both coastal geometry and bathymetry. These results help to explain why only sustained signals of low-frequency resonant barotropic Kelvin waves have been observed around Antarctica, and contribute to our understanding of the role of rapid, oceanic teleconnections in climate.</t>
  </si>
  <si>
    <t>[Webb, David J.] Univ New South Wales, ARC Ctr Excellence Climate Syst Sci, Climate Change Res Ctr, Sydney, NSW, Australia; [Holmes, Ryan M.] Univ New South Wales, ARC Ctr Excellence Climate Extremes, Climate Change Res Ctr, Sydney, NSW, Australia; [Holmes, Ryan M.] Univ New South Wales, Sch Math &amp; Stat, Sydney, NSW, Australia; [Holmes, Ryan M.] Univ Sydney, Sch Geosci, Sydney, NSW, Australia; [Spence, Paul] Univ Tasmania, Australian Ctr Excellence Antarctic Sci, Inst Marine &amp; Antarctic Studies, Hobart, Tas, Australia; [Spence, Paul] Univ Tasmania, Australian Antarctic Partnership Program, Hobart, Tas, Australia; [England, Matthew H.] Univ New South Wales, Australian Ctr Excellence Antarctic Sci, Sydney, NSW, Australia; [England, Matthew H.] Univ New South Wales, Climate Change Res Ctr, Sydney, NSW, Australia</t>
  </si>
  <si>
    <t>ARC Centre of Excellence for Climate System Science; University of New South Wales Sydney; University of New South Wales Sydney; University of New South Wales Sydney; University of Sydney; University of Tasmania; University of Tasmania; University of New South Wales Sydney; University of New South Wales Sydney</t>
  </si>
  <si>
    <t>Holmes, RM (corresponding author), Univ New South Wales, ARC Ctr Excellence Climate Extremes, Climate Change Res Ctr, Sydney, NSW, Australia.;Holmes, RM (corresponding author), Univ New South Wales, Sch Math &amp; Stat, Sydney, NSW, Australia.;Holmes, RM (corresponding author), Univ Sydney, Sch Geosci, Sydney, NSW, Australia.</t>
  </si>
  <si>
    <t>r.holmes@sydney.edu.au</t>
  </si>
  <si>
    <t>Spence, Paul/IZE-7366-2023; England, Matthew/A-7539-2011; Holmes, Ryan/J-3024-2019</t>
  </si>
  <si>
    <t>Spence, Paul/0000-0001-5156-2204; England, Matthew/0000-0001-9696-2930; Holmes, Ryan/0000-0002-6799-9109; Webb, David/0000-0001-5847-7002</t>
  </si>
  <si>
    <t>Australian Research Council; ARC Centre of Excellence for Climate System Science [CE110001028]; ARC Centre of Excellence for Climate Extremes [CE170100023]; ARC [FT190100413, DE21010004]; Centre for Southern Hemisphere Oceans Research (CSHOR); ARC Centre for Excellence in Antarctic Science [SR200100008]; CAUL; Australian Research Council [FT190100413] Funding Source: Australian Research Council</t>
  </si>
  <si>
    <t>Australian Research Council(Australian Research Council); ARC Centre of Excellence for Climate System Science(Australian Research Council); ARC Centre of Excellence for Climate Extremes; ARC(Australian Research Council); Centre for Southern Hemisphere Oceans Research (CSHOR); ARC Centre for Excellence in Antarctic Science; CAUL; Australian Research Council(Australian Research Council)</t>
  </si>
  <si>
    <t>Open Access funding enabled and organized by CAUL and its Member Institutions. This work was supported by the Australian Research Council, including the ARC Centre of Excellence for Climate System Science (CE110001028) the ARC Centre of Excellence for Climate Extremes (CE170100023), the ARC Centre for Excellence in Antarctic Science (SR200100008), and ARC grants FT190100413 (PS) and DE21010004 (RMH). MHE is also supported by the Centre for Southern Hemisphere Oceans Research (CSHOR), a joint research centre between QNLM, CSIRO, UNSW, and UTAS.</t>
  </si>
  <si>
    <t>1616-7341</t>
  </si>
  <si>
    <t>1616-7228</t>
  </si>
  <si>
    <t>OCEAN DYNAM</t>
  </si>
  <si>
    <t>Ocean Dyn.</t>
  </si>
  <si>
    <t>10.1007/s10236-022-01506-y</t>
  </si>
  <si>
    <t>1U7LQ</t>
  </si>
  <si>
    <t>WOS:000791065700001</t>
  </si>
  <si>
    <t>Fugger, S; Fyffe, CL; Fatichi, S; Miles, E; McCarthy, M; Shaw, TE; Ding, BH; Yang, W; Wagnon, P; Immerzeel, W; Liu, Q; Pellicciotti, F</t>
  </si>
  <si>
    <t>Fugger, Stefan; Fyffe, Catriona L.; Fatichi, Simone; Miles, Evan; McCarthy, Michael; Shaw, Thomas E.; Ding, Baohong; Yang, Wei; Wagnon, Patrick; Immerzeel, Walter; Liu, Qiao; Pellicciotti, Francesca</t>
  </si>
  <si>
    <t>Understanding monsoon controls on the energy and mass balance of glaciers in the Central and Eastern Himalaya</t>
  </si>
  <si>
    <t>BUDGET</t>
  </si>
  <si>
    <t>The Indian and East Asian summer monsoons shape the melt and accumulation patterns of glaciers in High Mountain Asia in complex ways due to the interaction of persistent cloud cover, large temperature ranges, high atmospheric water content and high precipitation rates. Glacier energy- and mass-balance modelling using in situ measurements offers insights into the ways in which surface processes are shaped by climatic regimes. In this study, we use a full energy- and mass-balance model and seven on-glacier automatic weather station datasets from different parts of the Central and Eastern Himalaya to investigate how monsoon conditions influence the glacier surface energy and mass balance. In particular, we look at how debris-covered and debris-free glaciers respond differently to monsoonal conditions. The radiation budget primarily controls the melt of cleanice glaciers, but turbulent fluxes play an important role in modulating the melt energy on debris-covered glaciers. The sensible heat flux decreases during core monsoon, but the latent heat flux cools the surface due to evaporation of liquid water. This interplay of radiative and turbulent fluxes causes debris-covered glacier melt rates to stay almost constant through the different phases of the monsoon. Ice melt under thin debris, on the other hand, is amplified by both the dark surface and the turbulent fluxes, which intensify melt during monsoon through surface heating and condensation. Pre-monsoon snow cover can considerably delay melt onset and have a strong impact on the seasonal mass balance. Intermittent monsoon snow cover lowers the melt rates at high elevation. This work is fundamental to the understanding of the present and future Himalayan cryosphere and water budget, while informing and motivating further glacier- and catchment-scale research using process-based models.</t>
  </si>
  <si>
    <t>[Fugger, Stefan; Miles, Evan; McCarthy, Michael; Shaw, Thomas E.; Pellicciotti, Francesca] Swiss Fed Inst Forest Snow &amp; Landscape Res WSL, Birmensdorf, Switzerland; [Fugger, Stefan] Swiss Fed Inst Technol, Inst Environm Engn, Zurich, Switzerland; [Fyffe, Catriona L.; Pellicciotti, Francesca] Northumbria Univ, Dept Geog &amp; Environm Sci, Newcastle Upon Tyne, Tyne &amp; Wear, England; [Fatichi, Simone] Natl Univ Singapore, Dept Civil &amp; Environm Engn, Singapore, Singapore; [McCarthy, Michael] British Antarctic Survey, Cambridge, England; [Ding, Baohong; Yang, Wei] Chinese Acad Sci, Inst Tibetan Plateau Res, Beijing, Peoples R China; [Wagnon, Patrick] Univ Grenoble Alpes, IGE, Grenoble INP, CNRS,IRD, Grenoble, France; [Immerzeel, Walter] Univ Utrecht, Fac Geosci, Dept Phys Geog, Utrecht, Netherlands; [Liu, Qiao] Chinese Acad Sci, Inst Mt Hazards &amp; Environm, Chengdu, Peoples R China</t>
  </si>
  <si>
    <t>Swiss Federal Institutes of Technology Domain; Swiss Federal Institute for Forest, Snow &amp; Landscape Research; Swiss Federal Institutes of Technology Domain; ETH Zurich; Northumbria University; National University of Singapore; UK Research &amp; Innovation (UKRI); Natural Environment Research Council (NERC); NERC British Antarctic Survey; Chinese Academy of Sciences; Institute of Tibetan Plateau Research, CAS; Institut de Recherche pour le Developpement (IRD); Communaute Universite Grenoble Alpes; Institut National Polytechnique de Grenoble; Universite Grenoble Alpes (UGA); Centre National de la Recherche Scientifique (CNRS); Utrecht University; Chinese Academy of Sciences; Institute of Mountain Hazards &amp; Environment, CAS</t>
  </si>
  <si>
    <t>Fugger, S (corresponding author), Swiss Fed Inst Forest Snow &amp; Landscape Res WSL, Birmensdorf, Switzerland.;Fugger, S (corresponding author), Swiss Fed Inst Technol, Inst Environm Engn, Zurich, Switzerland.</t>
  </si>
  <si>
    <t>stefan.fugger@wsl.ch</t>
  </si>
  <si>
    <t>Immerzeel, Walter W/E-2489-2012; Sun, Meng/M-7203-2019; Miles, Evan/J-1286-2019</t>
  </si>
  <si>
    <t>Sun, Meng/0000-0002-8188-9264; Miles, Evan/0000-0001-5446-8571; Fugger, Stefan/0000-0002-4659-4209; Fyffe, Catriona/0000-0001-6950-3501</t>
  </si>
  <si>
    <t>European Research Council, H2020 European Research Council [772751]; National Natural Science Foundation of China [41961134035]; European Research Council (ERC) [772751] Funding Source: European Research Council (ERC)</t>
  </si>
  <si>
    <t>European Research Council, H2020 European Research Council; National Natural Science Foundation of China(National Natural Science Foundation of China (NSFC)); European Research Council (ERC)(European Research Council (ERC)Spanish Government)</t>
  </si>
  <si>
    <t>This research has been supported by the European Research Council, H2020 European Research Council (RAVEN (grant no. 772751)). The National Natural Science Foundation of China (41961134035) financially supported the data collection on 24K and Parlung No.4 glaciers.</t>
  </si>
  <si>
    <t>10.5194/tc-16-1631-2022</t>
  </si>
  <si>
    <t>0Z0FA</t>
  </si>
  <si>
    <t>Green Accepted, Green Submitted, Green Published, gold</t>
  </si>
  <si>
    <t>WOS:000790755300001</t>
  </si>
  <si>
    <t>van Ginneken, M; Debaille, V; Decrée, S; Goderis, S; Woodland, AB; Wozniakiewicz, P; De Ceukelaire, M; Leduc, T; Claeys, P</t>
  </si>
  <si>
    <t>van Ginneken, Matthias; Debaille, Vinciane; Decree, Sophie; Goderis, Steven; Woodland, Alan B.; Wozniakiewicz, Penelope; De Ceukelaire, Marleen; Leduc, Thierry; Claeys, Philippe</t>
  </si>
  <si>
    <t>Artificial weathering of an ordinary chondrite: Recommendations for the curation of Antarctic meteorites</t>
  </si>
  <si>
    <t>METEORITICS &amp; PLANETARY SCIENCE</t>
  </si>
  <si>
    <t>NATURAL-HISTORY MUSEUM; ARCHAEOLOGICAL IRON; CORROSION PRODUCTS; TERRESTRIAL AGES; STONY METEORITE; BETA-FEOOH; COLLECTION; DESERT; MECHANISMS; OLDHAMITE</t>
  </si>
  <si>
    <t>Meteorites are prone to errestrial weathering not only after their fall on the Earth's surface but also during storage in museum collections. To study the susceptibility of this material to weathering, weathering experiments were carried out on polished sections of the H5 chondrite Asuka 10177. The experiments consisted of four 100-days cycles during which temperature and humidity varied on a twelve hours basis. The first alteration cycle consisted of changing the temperature from 15 to 25 degrees C; the second cycle consisted of modifying both humidity and temperature from 35 to 45% and 15 to 25 degrees C, respectively; the third cycle consisted of varying the humidity level from 40 to 60%; and the fourth cycle maintained a fixed high humidity of 80%. Weathering products resulting from the experiments were identified and characterized using scanning electron microscopy-energy dispersive spectroscopy and Raman spectroscopy. Such products were not observed at the microscopic scale after the first cycle of alteration. Conversely, products typical of the corrosion of meteoritic FeNi metal were observed during scanning electron microscope surveys after all subsequent cycles. Important increases in the distribution of weathering products on the samples were observed after cycles 2 and 4 but not after cycle 3, suggesting that the combination of temperature and humidity fluctuations or high humidity (&gt;60%) alone is most detrimental to chondritic samples. Chemistry of the weathering products revealed a high degree of FeNi metal corrosion with a limited contribution of troilite corrosion. No clear evidence of mafic silicate alteration was observed after all cycles, suggesting that postretrieval alteration remains limited to FeNi metal and to a lesser extent to troilite.</t>
  </si>
  <si>
    <t>[van Ginneken, Matthias; Wozniakiewicz, Penelope] Univ Kent, Ctr Astrophys &amp; Planetary Sci, Sch Phys Sci, Ingram Bldg, Canterbury CT2 7NH, Kent, England; [Debaille, Vinciane] Univ Libre Bruxelles, Lab G Time, BE-1050 Brussels, Belgium; [Decree, Sophie; De Ceukelaire, Marleen; Leduc, Thierry] Royal Belgian Inst Nat Sci, Geol Survey Belgium, Rue Vautier 29, BE-1000 Brussels, Belgium; [Goderis, Steven; Claeys, Philippe] Vrije Univ Brussel, Analytical Environm &amp; Geochem, Pl Laan 2, BE-1050 Brussels, Belgium; [Woodland, Alan B.] Goethe Univ Frankfurt, Inst Geowissensch, Altenhoferallee 1, D-60438 Frankfurt, Germany</t>
  </si>
  <si>
    <t>University of Kent; Universite Libre de Bruxelles; Royal Belgian Institute of Natural Sciences; Vrije Universiteit Brussel; Goethe University Frankfurt</t>
  </si>
  <si>
    <t>van Ginneken, M (corresponding author), Univ Kent, Ctr Astrophys &amp; Planetary Sci, Sch Phys Sci, Ingram Bldg, Canterbury CT2 7NH, Kent, England.</t>
  </si>
  <si>
    <t>m.van-ginneken@kent.ac.uk</t>
  </si>
  <si>
    <t>(VUB), VRIJE UNIVERSITEIT BRUSSEL/B-4895-2008; Goderis, Steven/F-9908-2011; Van Ginneken, Matthias/A-3342-2017</t>
  </si>
  <si>
    <t>(VUB), VRIJE UNIVERSITEIT BRUSSEL/0000-0002-4585-7687; Goderis, Steven/0000-0002-6666-7153; Van Ginneken, Matthias/0000-0002-2508-7021</t>
  </si>
  <si>
    <t>Belgian Science Policy (Belspo) AMUNDSEN project; FRS-FNRS; STFC [ST/S000348/1] Funding Source: UKRI</t>
  </si>
  <si>
    <t>Belgian Science Policy (Belspo) AMUNDSEN project; FRS-FNRS(Fonds de la Recherche Scientifique - FNRS); STFC(UK Research &amp; Innovation (UKRI)Science &amp; Technology Facilities Council (STFC))</t>
  </si>
  <si>
    <t>This work was made possible thanks to the Belgian Science Policy (Belspo) AMUNDSEN project, including funding to MVG. VD thanks the FRS-FNRS for support. PC and SG thank the VUB Strategic Research Program. PW and MVG thank STFC. Kevin Righter is acknowledged for editorial assistance. We thank Phillipe Heck and an anonymous reviewer for their constructive comments.</t>
  </si>
  <si>
    <t>1086-9379</t>
  </si>
  <si>
    <t>1945-5100</t>
  </si>
  <si>
    <t>METEORIT PLANET SCI</t>
  </si>
  <si>
    <t>Meteorit. Planet. Sci.</t>
  </si>
  <si>
    <t>10.1111/maps.13818</t>
  </si>
  <si>
    <t>1X2ZJ</t>
  </si>
  <si>
    <t>WOS:000790807100001</t>
  </si>
  <si>
    <t>McGovern, KA; Rodríguez, DH; Lewis, MN; Eder, EB; Piola, AR; Davis, RW</t>
  </si>
  <si>
    <t>McGovern, K. A.; Rodriguez, D. H.; Lewis, M. N.; Eder, E. B.; Piola, A. R.; Davis, R. W.</t>
  </si>
  <si>
    <t>Habitat associations of post-breeding female southern elephant seals (Mirounga leonina) from Peninsula Valdes, Argentina</t>
  </si>
  <si>
    <t>Antarctic intermediate water; Diving; Elephant seal; Foraging; Habitat-association; Peninsula Valdes</t>
  </si>
  <si>
    <t>FORAGING STRATEGIES; TROPICAL PACIFIC; MESOSCALE EDDIES; SURFACE CURRENTS; DIVING BEHAVIOR; CEPHALOPOD PREY; ATLANTIC; WATER; BRAZIL; DIET</t>
  </si>
  <si>
    <t>Research on marine mammal habitat-associations often uses satellite remote sensing of sea surface temperature, chlorophyll concentration, and sea surface height to map mesoscale features, which may indicate areas of enhanced productivity and prey availability. However, for species that feed at depths &gt;400 m, the increased productivity associated with mesoscale features observed near the surface may have little or no immediate effect on habitat-associations at depth. As a result, previous studies have found a weak correlation between mesoscale features and the movements of marine mammals. The advantage of biologging is that hydmgraphic variables are recorded in situ and at foraging depths using animal-borne instruments with sensors for temperature, conductivity (salinity), and dissolved oxygen. The goal of this study was to characterize the habitat-associations of female southern elephant seals (SES) from Peninsula Valdes, Argentina during the post-breeding foraging trip. Although female SES exhibited significant habitat-associations with sea surface height anomaly and chlorophyll concentrations, the presence or absence of eddies was not predictive of foraging behavior, and the majority of foraging dives (74%) and prey encounters (77%) occurred in the absence of eddies. The strongest habitat-association was with deep (&gt;500 m) and cold (3.73 +/- 1.29 degrees C) subantarctic water, primarily during foraging dives from dusk to dawn. Female SES made most of their foraging dives (68%, mean maximum depth of 539 +/- 226 m) and had the most prey encounters (67%) in Antarctic Intermediate Water (AAIW), which is formed near the Subantarctic Front on the northern flank of the Antarctic Circumpolar Current. Our results suggest that AAIW is the principal foraging habitat of female SES from Peninsula Valdes, which may not be directly associated with near-surface mesoscale features. Future research on the habitat-associations for SES and other deep-diving marine mammals should focus on indices of foraging success and the hydrographic features of water masses at foraging depths, not mesoscale features observed near the surface.</t>
  </si>
  <si>
    <t>[McGovern, K. A.; Davis, R. W.] Texas A&amp;M Univ, Dept Marine Biol, Galveston, TX 77554 USA; [Rodriguez, D. H.] Univ Nacl Mar del Plata, Inst Invest Marinas &amp; Costeras, Fac Ciencias Exactas &amp; Nat, CONICET, Dean Funes 3350, RA-3350 Mar Del Plata, Buenos Aires, Argentina; [Lewis, M. N.; Eder, E. B.] Consejo Nacl Invest Cient &amp; Tecn, Ctr Estudio Sistemas Marinos, RA-2915 Puerto Madryn, Chubut, Argentina; [Piola, A. R.] Univ Buenos Aires, Dept Oceanog, Serv Hidrog Naval, Dept Cs Atmosfera &amp; Oceans, Buenos Aires, DF, Argentina; [Piola, A. R.] CNRS CONICET UBA, Inst Franco Argentino Estudio Clima &amp; Impactos UM, Buenos Aires, DF, Argentina</t>
  </si>
  <si>
    <t>Texas A&amp;M University System; Consejo Nacional de Investigaciones Cientificas y Tecnicas (CONICET); National University of Mar del Plata; Consejo Nacional de Investigaciones Cientificas y Tecnicas (CONICET); Servicio de Hidrografia Naval; University of Buenos Aires</t>
  </si>
  <si>
    <t>McGovern, KA (corresponding author), Texas A&amp;M Univ, Dept Marine Biol, Galveston, TX 77554 USA.</t>
  </si>
  <si>
    <t>krismcgov@gmail.com</t>
  </si>
  <si>
    <t>Piola, Alberto/O-2280-2013; Rodriguez, Diego H./L-3172-2013</t>
  </si>
  <si>
    <t>Piola, Alberto/0000-0002-5003-8926; Mcgovern, Kristen/0000-0002-0040-8693; Rodriguez, Diego H./0000-0002-5080-3739</t>
  </si>
  <si>
    <t>National Science Foundation [1063198, 1455546]; NSF-CONICET [1340/10, 0145/15]; National Science Foundation Graduate Research Fellowship [1252521]; Prince Bernhard Naturefund; Texas A&amp;M University at Galveston Marine Biology Mini-Grants; Erma Lee and Luke Mooney Travel Grants; Texas A&amp;M University at Galveston Research Advisory Grants; Direct For Biological Sciences; Div Of Biological Infrastructure [1063198] Funding Source: National Science Foundation; Div Of Biological Infrastructure; Direct For Biological Sciences [1455546] Funding Source: National Science Foundation</t>
  </si>
  <si>
    <t>National Science Foundation(National Science Foundation (NSF)); NSF-CONICET; National Science Foundation Graduate Research Fellowship(National Science Foundation (NSF)); Prince Bernhard Naturefund; Texas A&amp;M University at Galveston Marine Biology Mini-Grants; Erma Lee and Luke Mooney Travel Grants; Texas A&amp;M University at Galveston Research Advisory Grants; Direct For Biological Sciences; Div Of Biological Infrastructure(National Science Foundation (NSF)NSF - Directorate for Biological Sciences (BIO)); Div Of Biological Infrastructure; Direct For Biological Sciences(National Science Foundation (NSF)NSF - Directorate for Biological Sciences (BIO))</t>
  </si>
  <si>
    <t>This research was supported by grants from the National Science Foundation (1063198, 1455546) to R.W.D., NSF-CONICET (Resolutions 1340/10 and 0145/15) to R.W.D. and D.H.R., the Prince Bernhard Naturefund to K.A.M., and a National Science Foundation Graduate Research Fellowship (1252521) to K.A.M. Additional travel funding was provided to K.A.M. from Texas A&amp;M University at Galveston Marine Biology Mini-Grants, Erma Lee and Luke Mooney Travel Grants, and Texas A&amp;M University at Galveston Research Advisory Grants. Funding sources had no involvement in study design, data analysis, the writing of this manuscript, or in the decision to submit this manuscript for publication.</t>
  </si>
  <si>
    <t>10.1016/j.dsr.2022.103789</t>
  </si>
  <si>
    <t>3E9DV</t>
  </si>
  <si>
    <t>WOS:000830278000004</t>
  </si>
  <si>
    <t>Wang, RX; Williams, TJ; Hillenbrand, CD; Ehrmann, W; Larkin, CS; Hutchings, AM; Piotrowski, AM</t>
  </si>
  <si>
    <t>Wang, Ruixue; Williams, Thomas J.; Hillenbrand, Claus-Dieter; Ehrmann, Werner; Larkin, Christina S.; Hutchings, Alec M.; Piotrowski, Alexander M.</t>
  </si>
  <si>
    <t>Boundary processes and neodymium cycling along the Pacific margin of West Antarctica</t>
  </si>
  <si>
    <t>Neodymium isotopes; Neodymium cycling; Boundary exchange; Benthic flux; Antarctic margin</t>
  </si>
  <si>
    <t>RARE-EARTH-ELEMENTS; CONTINENTAL RISE WEST; DEEP-SEA SEDIMENTS; BELLINGSHAUSEN SEA; ISOTOPIC COMPOSITION; ICE-SHEET; SURFACE SEDIMENTS; MARINE-SEDIMENTS; EARLY DIAGENESIS; ATLANTIC SECTOR</t>
  </si>
  <si>
    <t>Neodymium (Nd) isotopes have been utilized as a tracer of water mass source in the modern ocean and in palaeoceanographic studies, though the oceanic cycling of Nd is not yet fully constrained. Recent studies have highlighted the importance of processes that occur near the seawater - sediment interface in altering the Nd isotopic composition of bottom waters. The two major observed processes boundary exchange  and benthic flux  have been suggested as playing an important role in setting water mass compositions, however, more studies are needed to constrain their chemical mechanism and the extent to which these processes set the composition of deep waters. The Antarctic continental margin is an important place to study these processes because Antarctic-sourced waters dominate the Southern Ocean and ventilate the global deep ocean. This study is the first to measure and compare seawater, porewater and sediment data from along the margin of Antarctica to examine the nature of potential boundary processes. We show that a process similar to boundary exchange seems to be occurring within porewaters, modifying porewater chemistry by shifting its Nd isotopic ratios to more radiogenic values without significantly increasing the concentration of dissolved Nd. We hypothesize that this shift results from partial dissolution of radiogenic detrital particles, such as smectite, amphibole and/or volcanic glass, while re-scavenging maintains low Nd concentrations. We infer the existence of benthic flux of porewaters to deep waters by examining chemical gradients in porewaters and show that it is much lower on the Antarctic margin compared to other studies. Benthic flux appears to be slightly higher along the Antarctic Peninsula than in the Bellingshausen Sea due to partial degradation of organic matter and associated dissolution of Fe-Mn oxyhydroxides. Taken together, boundary processes do not significantly change the Nd isotopic composition of Antarctic margin seawater because while the porewaters have an altered Nd isotopic composition the Nd concentration of these porewaters is low compared to other settings. ((c) 2022 The Authors. Published by Elsevier Ltd. This is an open access article under the CC BY-NC-ND license (http:// creativecommons.org/licenses/by-nc-nd/4.0/).</t>
  </si>
  <si>
    <t>[Wang, Ruixue; Williams, Thomas J.; Larkin, Christina S.; Hutchings, Alec M.; Piotrowski, Alexander M.] Univ Cambridge, Dept Earth Sci, Cambridge, England; [Williams, Thomas J.; Hillenbrand, Claus-Dieter] British Antarctic Survey, Cambridge, England; [Williams, Thomas J.] Univ Tasmania, Inst Marine &amp; Antarctic Studies, Hobart, TAS, Australia; [Ehrmann, Werner] Univ Leipzig, Inst Geophys &amp; Geol, Leipzig, Germany; [Larkin, Christina S.] Univ Southampton, Natl Oceanog Ctr, Sch Ocean &amp; Earth Sci, Southampton, England</t>
  </si>
  <si>
    <t>University of Cambridge; UK Research &amp; Innovation (UKRI); Natural Environment Research Council (NERC); NERC British Antarctic Survey; University of Tasmania; Leipzig University; University of Southampton; NERC National Oceanography Centre</t>
  </si>
  <si>
    <t>Wang, RX (corresponding author), Univ Cambridge, Dept Earth Sci, Cambridge, England.</t>
  </si>
  <si>
    <t>rw581@cam.ac.uk</t>
  </si>
  <si>
    <t>Williams, Thomas/0000-0001-8869-0488; Hutchings, Alec/0000-0002-7530-6990; Larkin, Christina/0000-0002-6420-0461</t>
  </si>
  <si>
    <t>NERC UK-IODP [NE/J006513/1, NE/J006548/1]; NERC; NERC collaborative gearing scheme grant; CSC Cambridge International Scholarship - Cambridge TRUST; China Scholarship Council; NERC [NE/J006548/1, NE/J006513/1] Funding Source: UKRI</t>
  </si>
  <si>
    <t>NERC UK-IODP; NERC(UK Research &amp; Innovation (UKRI)Natural Environment Research Council (NERC)); NERC collaborative gearing scheme grant(UK Research &amp; Innovation (UKRI)Natural Environment Research Council (NERC)); CSC Cambridge International Scholarship - Cambridge TRUST; China Scholarship Council(China Scholarship Council); NERC(UK Research &amp; Innovation (UKRI)Natural Environment Research Council (NERC))</t>
  </si>
  <si>
    <t>We thank the captain, officers, crew, technical support staff and shipboard scientists of RRS James Clark Rosscruise JR298. We especially thank Robert Larter (BAS)for planning and leading the cruise. Furthermore, we are grateful to J. Clegg and M. Greaves (University of Cam-bridge) for assistance with laboratory analyses, and A.Turchyn (University of Cambridge) for providing sample processing equipment. This study forms part of the British Antarctic Survey's Polar Science for Planet Earth Programme and was made possible by NERC UK-IODP grants NE/J006513/1 and NE/J006548/1, a NERC funded PhD project to T. Williams, and a NERC collaborative gearing scheme grant to support A. Piotrowski and T. Williams for participating in cruise JR298. Ruixue Wang is supported by CSC Cambridge International Scholarship jointly funded by Cambridge TRUST and China Scholarship Council.</t>
  </si>
  <si>
    <t>10.1016/j.gca.2022.04.012</t>
  </si>
  <si>
    <t>1P9DH</t>
  </si>
  <si>
    <t>WOS:000802301600001</t>
  </si>
  <si>
    <t>Yin, SR; Hernandez-Molina, FJ; Miramontes, E; Shen, ZY; Yang, CG; Gao, JY; Liu, S; Li, JB</t>
  </si>
  <si>
    <t>Yin, Shaoru; Hernandez-Molina, F. Javier; Miramontes, Elda; Shen, Zhongyan; Yang, Chunguo; Gao, Jinyao; Liu, Shan; Li, Jiabiao</t>
  </si>
  <si>
    <t>Sequential bedform development in mixed turbidite-contourite systems: An example from the Cosmonaut Sea, East Antarctica</t>
  </si>
  <si>
    <t>GEOMORPHOLOGY</t>
  </si>
  <si>
    <t>Mixed-system bedforms; Sediment waves; Furrows; Cosmonaut Sea; Antarctica</t>
  </si>
  <si>
    <t>SEDIMENT DENSITY FLOWS; DEEP-WATER CHANNELS; CONTINENTAL-SLOPE; DEPOSITIONAL PROCESSES; BOTTOM CURRENTS; CIRCULATION; EVOLUTION; MARGIN; BASIN; RISE</t>
  </si>
  <si>
    <t>Mixed turbidite-contourite depositional systems are commonly found on continental margins, but their bedforms and associated sedimentary processes have not been studied in depth. In this work, we used multibeam echosounder, sub-bottom profiling, and multichannel seismic data from the continental rise of the Cosmonaut Sea, East Antarctica, to (1) identify primary bedforms in a combined-current (i.e., turbidity current + contour current) channel-levee system and (2) infer bedform-associated sedimentary processes. Within turbidite channels and on adjacent levees and distal overbank deposits, scours, furrows, and sediment waves of varying dimensions and trends were identified. These bedforms are interpreted to have formed in two steps, which have been likely repeated over and over again through time. First, scours and sediment waves within the channels were formed by turbidity currents, while sediment waves on adjacent levees were likely formed by synchronous interactions between overspilled unconfined turbidity currents and the westward Antarctic Bottom Water (AABW) contour current. Second, after waning of the episodic turbidity currents, AABW flow created a field of erosional furrows on a distal overbank, with these furrows truncating the large field of sediment waves earlier generated by the combined flow of interacting currents. Bedform locations, orientations, and truncating relationships are key for identifying the likely origins of mixed-system bedforms.</t>
  </si>
  <si>
    <t>[Yin, Shaoru; Shen, Zhongyan; Yang, Chunguo; Gao, Jinyao; Li, Jiabiao] Minist Nat Resources, Inst Oceanog 2, Key Lab Submarine Geosci, Hangzhou 310012, Peoples R China; [Hernandez-Molina, F. Javier] Univ London, Dept Earth Sci, Royal Holloway, Egham TW20 0EX, Surrey, England; [Miramontes, Elda] Univ Bremen, Fac Geosci, D-28359 Bremen, Germany; [Miramontes, Elda] Univ Bremen, MARUM Ctr Marine Environm Sci, D-28359 Bremen, Germany; [Liu, Shan] Sun Yat Sen Univ, Sch Marine Sci, Zhuhai 519083, Peoples R China</t>
  </si>
  <si>
    <t>Ministry of Natural Resources of the People's Republic of China; University of London; Royal Holloway University London; University of Bremen; University of Bremen; Sun Yat Sen University</t>
  </si>
  <si>
    <t>Yin, SR; Shen, ZY; Yang, CG (corresponding author), Minist Nat Resources, Inst Oceanog 2, Key Lab Submarine Geosci, Hangzhou 310012, Peoples R China.</t>
  </si>
  <si>
    <t>shaoru2017@outlook.com; zyshen@sio.org.cn; yangchunguo@sio.org.cn</t>
  </si>
  <si>
    <t>GAO, Jinyao/HHN-6642-2022; Liu, Shan/HOH-7673-2023</t>
  </si>
  <si>
    <t>Yang, Chunguo/0000-0001-6450-8530</t>
  </si>
  <si>
    <t>project Impact and Response of Antarctic Seas to Climate Change [IRASCC2020-2022, IRASCC2020-2022-01-03-01B, IRASCC2020-2022-02-03-03, IRASCC2020-2022-02-03-04, IRASCC2020-2022-02-03-05]; National Natural Science Foundation of China [41706043]; Royal Holloway University of London (United Kingdom) [CTM2017-89711-C2-01-P, CTM2017-89711-C2-02-P]</t>
  </si>
  <si>
    <t>project Impact and Response of Antarctic Seas to Climate Change; National Natural Science Foundation of China(National Natural Science Foundation of China (NSFC)); Royal Holloway University of London (United Kingdom)</t>
  </si>
  <si>
    <t>This research was funded by the project Impact and Response of Antarctic Seas to Climate Change, IRASCC2020-2022 (IRASCC2020-2022-01-03-01B, IRASCC2020-2022-02-03-03, IRASCC2020-2022-02-03-04, and IRASCC2020-2022-02-03-05) , of the National Natural Science Foundation of China (grant 41706043) . This research was conducted in collaboration with ?The Drifters Research Group? of the Royal Holloway University of London (United Kingdom) and relates to TASDRACC project CTM2017-89711-C2-01-P and CTM2017-89711-C2-02-P.</t>
  </si>
  <si>
    <t>0169-555X</t>
  </si>
  <si>
    <t>1872-695X</t>
  </si>
  <si>
    <t>Geomorphology</t>
  </si>
  <si>
    <t>10.1016/j.geomorph.2022.108287</t>
  </si>
  <si>
    <t>1N0IA</t>
  </si>
  <si>
    <t>WOS:000800346700001</t>
  </si>
  <si>
    <t>Aguilar-Munoz, P; Lavergne, C; Chamy, R; Cabrol, L</t>
  </si>
  <si>
    <t>Aguilar-Munoz, P.; Lavergne, C.; Chamy, R.; Cabrol, L.</t>
  </si>
  <si>
    <t>The biotechnological potential of microbial communities from Antarctic soils and sediments: Application to low temperature biogenic methane production</t>
  </si>
  <si>
    <t>JOURNAL OF BIOTECHNOLOGY</t>
  </si>
  <si>
    <t>Polar region; Bioprocesses; Archaea; Bacteria; High throughput sequencing; QPCR; Microcosms</t>
  </si>
  <si>
    <t>WASTE-WATER TREATMENT; 15 DEGREES-C; SP NOV.; ANAEROBIC TREATMENT; GEN. NOV.; METHANOGENIC COMMUNITIES; UASB REACTOR; LENA DELTA; PERMAFROST; PERFORMANCE</t>
  </si>
  <si>
    <t>Anaerobic digestion (AD) is an attractive bioprocess for waste treatment and energy recovery through methanerich biogas production. Under temperate to cold climate, the implementation of AD for low-organic load wastewater treatment has been limited to date, due to the energetic and economic cost of maintaining optimal mesophilic temperature. Hence, we aim at (i) exploring the biotechnological potential of a microbial inoculum from Antarctic soils and sediments to run AD at low temperatures; and (ii) evaluating the effect of temperature over a psychrophilic-mesophilic range on both methane production rates and microbial community composition. Methane production stimulated by acetate amendment was detected from 5 to 37 degrees C, with a maximum at 25 degrees C, corresponding to the highest relative abundance of methanogenic archaea (c. 21.4% of the total community). From 5 to 25 degrees C, the predominant methanogen was Methanosaeta, while it shifted to Methanocorpusculum at 30 degrees C. Compared with an industrial mesophilic sludge, the relative methane production rate at 5 degrees C (compared to the maximum) was 40% greater in the Antarctic inoculum. Microbial communities from permanently cold Antarctic sediments efficiently produce methane at low temperatures revealing a biotechnological potential for the treatment of low-organic load residues in cold regions.</t>
  </si>
  <si>
    <t>[Aguilar-Munoz, P.; Chamy, R.] Pontificia Univ Catolica Valparaiso, Escuela Ingn Bioquim, Valparaiso, Chile; [Aguilar-Munoz, P.; Lavergne, C.] Univ Playa Ancha, HUB AMBIENTAL UPLA, Valparaiso, Chile; [Lavergne, C.] Univ Playa Ancha, Ctr Estudios Avanzados, Lab Aquat Environm Res, Vina Del Mar, Chile; [Cabrol, L.] Aix Marseille Univ, Mediterranean Inst Oceanog MIO, UMR 7294,IRD, CNRS, Marseille, France; [Cabrol, L.] Univ Chile, Millennium Inst BASE Biodivers Antarctic &amp; Subanta, Santiago, Chile</t>
  </si>
  <si>
    <t>Pontificia Universidad Catolica de Valparaiso; Universidad de Playa Ancha; Universidad de Playa Ancha; Institut de Recherche pour le Developpement (IRD); Aix-Marseille Universite; Centre National de la Recherche Scientifique (CNRS); CNRS - National Institute for Earth Sciences &amp; Astronomy (INSU); Universidad de Chile</t>
  </si>
  <si>
    <t>Lavergne, C (corresponding author), Univ Playa Ancha, HUB AMBIENTAL UPLA, Valparaiso, Chile.;Cabrol, L (corresponding author), Aix Marseille Univ, Mediterranean Inst Oceanog MIO, UMR 7294,IRD, CNRS, Marseille, France.</t>
  </si>
  <si>
    <t>polette.aguilar@upla.cl; celine.lavergne@upla.cl; rolando.chamy@pucv.cl; lea.cabrol@mio.osupytheas.fr</t>
  </si>
  <si>
    <t>Cabrol, Lea/L-2438-2016; Chamy, Rolando/M-3124-2014</t>
  </si>
  <si>
    <t>Cabrol, Lea/0000-0003-0417-2021; Chamy, Rolando/0000-0001-8718-9173; Aguilar-Munoz, Polette/0000-0002-2590-2778</t>
  </si>
  <si>
    <t>Instituto Antartico Chileno (INACH) [RT_09-12, 2012-2015]; ECOS Sud-CONICYT Project MATCH [C16B03]; Chilean Ministry of Science, Technology, Knowledge and Innovation [21161068]; ANID FONDECYT [3180374]</t>
  </si>
  <si>
    <t>Instituto Antartico Chileno (INACH); ECOS Sud-CONICYT Project MATCH; Chilean Ministry of Science, Technology, Knowledge and Innovation; ANID FONDECYT</t>
  </si>
  <si>
    <t>This work was supported by Instituto Antartico Chileno (INACH) project [RT_09-12, 2012-2015]. Mobility was funded by ECOS Sud-CONICYT Project MATCH [C16B03, 2017-2020]. We acknowledge the French ministries MAEDI (Ministere des Afffaires Etrangeres et du Developpement International) and MENESR (Ministere de l'Education nationale, de l'Enseignement superieur et de la Recherche) as well as Chilean CONICYT (Comision Nacional de Investigacion Cientifica y Tecnologica). Polette Aguilar-Munoz was granted by Chilean Ministry of Science, Technology, Knowledge and Innovation [ANID National Doctoral grant 21161068]. Celine Lavergne was granted by ANID FONDECYT [grant 3180374].</t>
  </si>
  <si>
    <t>0168-1656</t>
  </si>
  <si>
    <t>1873-4863</t>
  </si>
  <si>
    <t>J BIOTECHNOL</t>
  </si>
  <si>
    <t>J. Biotechnol.</t>
  </si>
  <si>
    <t>10.1016/j.jbiotec.2022.04.014</t>
  </si>
  <si>
    <t>Biotechnology &amp; Applied Microbiology</t>
  </si>
  <si>
    <t>1N1VZ</t>
  </si>
  <si>
    <t>WOS:000800452100006</t>
  </si>
  <si>
    <t>Neto, FAD; Mendes, D; Spyrides, MHC</t>
  </si>
  <si>
    <t>de Brito Neto, Francisco Agustinho; Mendes, David; Constantino Spyrides, Maria Helena</t>
  </si>
  <si>
    <t>Analysis of extreme wind events in the Weddell Sea region (Antarctica) at Belgrano II Station</t>
  </si>
  <si>
    <t>JOURNAL OF SOUTH AMERICAN EARTH SCIENCES</t>
  </si>
  <si>
    <t>Climate; Strong wind; Extra-tropical cyclone; Synoptic</t>
  </si>
  <si>
    <t>SOUTHERN; CLIMATOLOGY; REEXAMINATION; CONTINENT; TREND</t>
  </si>
  <si>
    <t>The objective of the present work is to analyze the wind pattern (direction and speed) at Belgrano II Station, evaluating the influence of large-scale atmospheric systems on extreme wind speed events. The study area is the Weddell Sea, located at the southern end of the Atlantic Ocean, between latitudes of 83 S and 55 S and longitudes of 84 W and 20 E. Daily meteorological data were used in the period from 1979 to 2015, whose variables are: Sea Level Pres-sure (SLP), Wind Speed (WS), Wind Direction (WD) and Air Temperature at 2 Meters (T2M), collected at Belgrano II Station, under the care of the Ar-gentine Antarctic Institute (AAI). To analyze the anomalies in the fields of air temperature, atmospheric circulation and surface pressure on a large scale, we used the reanalysis data obtained from the ERA-Interim database, which are: air temperature at 2 m (oC), geopotential height (m) at the 500 hPa level, and zonal and meridional components of wind (ms(-1)) on the surface. The extreme event was defined as values above the 95% percentile of each month of the year. The results indicate that the wind direction at Belgrano II Station was predominantly southeast. However, when the wind speed was predominant from the northeast, approximately 20% of the cases presented wind speeds above 16 ms(-1). Therefore, when there is a change in synoptic conditions near the Belgrano II station, the predominance of the winds becomes northeasterly, with an intensification in its speed. An extra-tropical cyclone approaching the Belgrano II region caused the wind to become of the northeastern on the days before the extreme event, so that two days beforehand there was an increase in air temperature in surface. When we analyzed the wind speed in Belgrano II, we identified that there was not a marked change and over the years, however, we identified that the seasonality presented changes, with more intense winds between the months of May and September.</t>
  </si>
  <si>
    <t>[de Brito Neto, Francisco Agustinho] Res Inst Meteorol &amp; Water Resources FUNCEME, Fortaleza, Ceara, Brazil; [Mendes, David; Constantino Spyrides, Maria Helena] Univ Fed Rio Grande do Norte, Natal, RN, Brazil</t>
  </si>
  <si>
    <t>Universidade Federal do Rio Grande do Norte</t>
  </si>
  <si>
    <t>Neto, FAD (corresponding author), Res Inst Meteorol &amp; Water Resources FUNCEME, Fortaleza, Ceara, Brazil.</t>
  </si>
  <si>
    <t>fbnagustinho@gmail.com</t>
  </si>
  <si>
    <t>Mendes, David/B-4377-2011; MENDES, DAVID/IXX-0718-2023</t>
  </si>
  <si>
    <t>Mendes, David/0000-0003-1418-5109; de Brito Neto, Francisco Agustinho/0000-0001-5858-7287</t>
  </si>
  <si>
    <t>Brazil's National Council for Scientific and Technological Research (CNPq); Brazilian Antarctic Program (PROANTAR) [64/2013]; Office to Coordinate Improvement of University Personnel (CAPES) [001]</t>
  </si>
  <si>
    <t>Brazil's National Council for Scientific and Technological Research (CNPq); Brazilian Antarctic Program (PROANTAR); Office to Coordinate Improvement of University Personnel (CAPES)</t>
  </si>
  <si>
    <t>We are grateful to the Postgraduate Program in Meteorology (PGMET) of the National Institute for Space Research and to the Argentine Antarctic Institute for providing the data from Belgrano II Station. The author David Mendes thanks Brazil's National Council for Scientific and Technological Research (CNPq) and the Brazilian Antarctic Program (PROANTAR) for their support for Transversal Action Project No. 64/2013. This study was also fi-nanced in part by the Office to Coordinate Improvement of University Personnel (CAPES) - Finance Code 001.</t>
  </si>
  <si>
    <t>0895-9811</t>
  </si>
  <si>
    <t>1873-0647</t>
  </si>
  <si>
    <t>J S AM EARTH SCI</t>
  </si>
  <si>
    <t>J. South Am. Earth Sci.</t>
  </si>
  <si>
    <t>10.1016/j.jsames.2022.103804</t>
  </si>
  <si>
    <t>1N0UM</t>
  </si>
  <si>
    <t>WOS:000800379100004</t>
  </si>
  <si>
    <t>Schultz, J; Argentino, ICV; Kallies, R; da Rocha, UN; Rosado, AS</t>
  </si>
  <si>
    <t>Schultz, Junia; Argentino, Isabella Campelo Vilardi; Kallies, Rene; Nunes da Rocha, Ulisses; Rosado, Alexandre Soares</t>
  </si>
  <si>
    <t>Polyphasic Analysis Reveals Potential Petroleum Hydrocarbon Degradation and Biosurfactant Production by Rare Biosphere Thermophilic Bacteria From Deception Island, an Active Antarctic Volcano</t>
  </si>
  <si>
    <t>extremophiles; thermophiles; polar volcano; Antarctica; biosurfactants; oil degradation; bacterial isolation</t>
  </si>
  <si>
    <t>BACILLUS; ENVIRONMENTS; SOIL; BIODEGRADATION; MICROORGANISMS; SEARCH; FASTER; GENES; READS; SPILL</t>
  </si>
  <si>
    <t>Extreme temperature gradients in polar volcanoes are capable of selecting different types of extremophiles. Deception Island is a marine stratovolcano located in maritime Antarctica. The volcano has pronounced temperature gradients over very short distances, from as high as 100 degrees C in the fumaroles to subzero next to the glaciers. These characteristics make Deception a promising source of a variety of bioproducts for use in different biotechnological areas. In this study, we isolated thermophilic bacteria from sediments in fumaroles at two geothermal sites on Deception Island with temperatures between 50 and 100 degrees C, to evaluate the potential capacity of these bacteria to degrade petroleum hydrocarbons and produce biosurfactants under thermophilic conditions. We isolated 126 thermophilic bacterial strains and identified them molecularly as members of genera Geobacillus, Anoxybacillus, and Brevibacillus (all in phylum Firmicutes). Seventy-six strains grew in a culture medium supplemented with crude oil as the only carbon source, and 30 of them showed particularly good results for oil degradation. Of 50 strains tested for biosurfactant production, 13 showed good results, with an emulsification index of 50% or higher of a petroleum hydrocarbon source (crude oil and diesel), emulsification stability at 100 degrees C, and positive results in drop-collapse, oil spreading, and hemolytic activity tests. Four of these isolates showed great capability of degrade crude oil: FB2_38 (Geobacillus), FB3_54 (Geobacillus), FB4_88 (Anoxybacillus), and WB1_122 (Geobacillus). Genomic analysis of the oil-degrading and biosurfactant-producer strain FB4_88 identified it as Anoxybacillus flavithermus, with a high genetic and functional diversity potential for biotechnological applications. These initial culturomic and genomic data suggest that thermophilic bacteria from this Antarctic volcano have potential applications in the petroleum industry, for bioremediation in extreme environments and for microbial enhanced oil recovery (MEOR) in reservoirs. In addition, recovery of small-subunit rRNA from metagenomes of Deception Island showed that Firmicutes is not among the dominant phyla, indicating that these low-abundance microorganisms may be important for hydrocarbon degradation and biosurfactant production in the Deception Island volcanic sediments.</t>
  </si>
  <si>
    <t>[Schultz, Junia; Rosado, Alexandre Soares] King Abdullah Univ Sci &amp; Technol, Biol &amp; Environm Sci &amp; Engn Div, Microbial Ecogenom &amp; Biotechnol Lab, Thuwal, Saudi Arabia; [Schultz, Junia; Rosado, Alexandre Soares] King Abdullah Univ Sci &amp; Technol, Red Sea Res Ctr, Biol andEnvironmental Sci &amp; Engn Div, Thuwal, Saudi Arabia; [Argentino, Isabella Campelo Vilardi] Fed Univ Rio Janeiro, Inst Microbiol, Lab Mol Microbial Ecol, Rio De Janeiro, Brazil; [Kallies, Rene; Nunes da Rocha, Ulisses] UFZ Helmholtz Ctr Environm Res, Dept Environm Microbiol, Leipzig, Germany; [Rosado, Alexandre Soares] King Abdullah Univ Scienceand Technol, Biosci Program, Biol &amp; Environm Sci &amp; Engn Div, Thuwal, Saudi Arabia</t>
  </si>
  <si>
    <t>King Abdullah University of Science &amp; Technology; King Abdullah University of Science &amp; Technology; Universidade Federal do Rio de Janeiro; Helmholtz Association; Helmholtz Center for Environmental Research (UFZ)</t>
  </si>
  <si>
    <t>Rosado, AS (corresponding author), King Abdullah Univ Sci &amp; Technol, Biol &amp; Environm Sci &amp; Engn Div, Microbial Ecogenom &amp; Biotechnol Lab, Thuwal, Saudi Arabia.;Rosado, AS (corresponding author), King Abdullah Univ Sci &amp; Technol, Red Sea Res Ctr, Biol andEnvironmental Sci &amp; Engn Div, Thuwal, Saudi Arabia.;Rosado, AS (corresponding author), King Abdullah Univ Scienceand Technol, Biosci Program, Biol &amp; Environm Sci &amp; Engn Div, Thuwal, Saudi Arabia.</t>
  </si>
  <si>
    <t>junia.schultz@kaust.edu.sa; alexandre.rosado@kaust.edu.sa</t>
  </si>
  <si>
    <t>Kallies, René/ACK-2998-2022; Rosado, Alexandre Soares/G-1955-2012; Rocha, Ulisses/AAE-5158-2021</t>
  </si>
  <si>
    <t>Rosado, Alexandre Soares/0000-0001-5135-1394; Rocha, Ulisses/0000-0001-6972-6692</t>
  </si>
  <si>
    <t>MAY 4</t>
  </si>
  <si>
    <t>10.3389/fmicb.2022.885557</t>
  </si>
  <si>
    <t>1J1UG</t>
  </si>
  <si>
    <t>WOS:000797708700001</t>
  </si>
  <si>
    <t>Salabao, L; Plevoets, T; Frédérich, B; Lepoint, G; Kochzius, M; Schön, I</t>
  </si>
  <si>
    <t>Salabao, Louraine; Plevoets, Tim; Frederich, Bruno; Lepoint, Gilles; Kochzius, Marc; Schon, Isa</t>
  </si>
  <si>
    <t>Describing novel mitochondrial genomes of Antarctic amphipods</t>
  </si>
  <si>
    <t>MITOCHONDRIAL DNA PART B-RESOURCES</t>
  </si>
  <si>
    <t>Amphipoda; Eusirus giganteus; Charcotia amundseni; gene rearrangements; mitochondrial genome; nucleotide diversity</t>
  </si>
  <si>
    <t>COMPARATIVE MITOGENOMIC ANALYSES; UNIQUE GENE ORDER; CRYPTIC DIVERSITY; CRUSTACEA-AMPHIPODA; CONTROL REGION; EVOLUTION; SEQUENCE; PATTERNS; GENERATION; INSIGHTS</t>
  </si>
  <si>
    <t>To date, only one mitogenome from an Antarctic amphipod has been published. Here, novel complete mitochondrial genomes (mitogenomes) of two morphospecies are assembled, namely, Charcotia amundseni and Eusirus giganteus. For the latter species, we have assembled two mitogenomes from different genetic clades of this species. The lengths of Eusirus and Charcotia mitogenomes range from 15,534 to 15,619 base pairs and their mitogenomes are composed of 13 protein coding genes, 22 transfer RNAs, 2 ribosomal RNAs, and 1 putative control region CR. Some tRNAs display aberrant structures suggesting that minimalization is also ongoing in amphipod mitogenomes. The novel mitogenomes of the two Antarctic species have features distinguishing them from other amphipod mitogenomes such as a lower AT-richness in the whole mitogenomes and a negative GC- skew in both strands of protein coding genes. The genetically most variable mitochondrial regions of amphipods are nad6 and atp8, while cox1 shows low nucleotide diversity among closely and more distantly related species. In comparison to the pancrustacean mitochondrial ground pattern, E. giganteus shows a translocation of the nad1 gene, while cytb and nad6 genes are translocated in C. amundseni. Phylogenetic analysis based on mitogenomes illustrates that Eusirus and Charcotia cluster together with other species belonging to the same amphipod superfamilies. In the absence of reference nuclear genomes, mitogenomes can be useful to develop markers for studying population genetics or evolutionary relationships at higher taxonomic levels.</t>
  </si>
  <si>
    <t>[Salabao, Louraine; Frederich, Bruno] Univ Liege, Lab Funct &amp; Evolutionary Morphol, FOCUS, Liege, Belgium; [Salabao, Louraine; Schon, Isa] Ctr Environm Sci Zool Toxicol &amp; Biodivers, Diepenbeek, Belgium; [Plevoets, Tim] Flanders Res Inst Agr Fisheries &amp; Food, Unit Anim Sci ILVO Marine Res, Oostende, Belgium; [Lepoint, Gilles] Univ Liege, Lab Troph &amp; Isotopes Ecol, FOCUS, Liege, Belgium; [Kochzius, Marc] Vrije Univ Brussel VUB, Marine Biol, Brussels, Belgium; [Schon, Isa] Royal Belgian Inst Nat Sci, Freshwater Biol, OD Nat, Brussels, Belgium</t>
  </si>
  <si>
    <t>University of Liege; Institute For Agricultural &amp; Fisheries Research; University of Liege; Vrije Universiteit Brussel; Royal Belgian Institute of Natural Sciences</t>
  </si>
  <si>
    <t>Salabao, L (corresponding author), Univ Liege, Lab Funct &amp; Evolutionary Morphol, FOCUS, Liege, Belgium.;Salabao, L (corresponding author), Ctr Environm Sci Zool Toxicol &amp; Biodivers, Diepenbeek, Belgium.</t>
  </si>
  <si>
    <t>lsalabao@doct.uliege.be</t>
  </si>
  <si>
    <t>Lepoint, Gilles/I-1130-2014</t>
  </si>
  <si>
    <t>Lepoint, Gilles/0000-0003-4375-0357; Kochzius, Marc/0000-0001-8953-4719</t>
  </si>
  <si>
    <t>Bijzonder Onderzoeksfonds (BOF) of the Universities Hasselt and Liege [BOF18DOCLI01]; Belgian Science Policy (Belspo) as part of the project 'Refugia and Ecosystem Tolerance in the Southern Ocean' (RECTO) [BR/154/A1/RECTO]</t>
  </si>
  <si>
    <t>Bijzonder Onderzoeksfonds (BOF) of the Universities Hasselt and Liege; Belgian Science Policy (Belspo) as part of the project 'Refugia and Ecosystem Tolerance in the Southern Ocean' (RECTO)</t>
  </si>
  <si>
    <t>This research was funded by the Bijzonder Onderzoeksfonds (BOF) of the Universities Hasselt and Liege with grant number [BOF18DOCLI01] and by Belgian Science Policy (Belspo) as part of the project 'Refugia and Ecosystem Tolerance in the Southern Ocean' (RECTO) [BR/154/A1/RECTO]. This is RECTO contribution 028.</t>
  </si>
  <si>
    <t>2380-2359</t>
  </si>
  <si>
    <t>MITOCHONDRIAL DNA B</t>
  </si>
  <si>
    <t>Mitochondrial DNA Part B-Resour.</t>
  </si>
  <si>
    <t>10.1080/23802359.2022.2073837</t>
  </si>
  <si>
    <t>1C1PK</t>
  </si>
  <si>
    <t>WOS:000792899600001</t>
  </si>
  <si>
    <t>Amsler, CD; Miller, LR; Edwards, RA; Amsler, MO; Engl, W; Mcclintock, JB; Baker, BJ</t>
  </si>
  <si>
    <t>Amsler, Charles D.; Miller, Leucas R.; Edwards, Raven A.; Amsler, Margaret O.; Engl, Winfried; Mcclintock, James B.; Baker, Bill J.</t>
  </si>
  <si>
    <t>Gastropod assemblages associated with Himantothallus grandifolius, Sarcopeltis antarctica and other subtidal macroalgae</t>
  </si>
  <si>
    <t>Antarctic Peninsula; benthos; depth distribution; mesograzers; prosobranchs; seaweeds</t>
  </si>
  <si>
    <t>ADELAIDE ISLAND; REPRODUCTION; STREBEL; GROWTH; BAY</t>
  </si>
  <si>
    <t>Gastropods are an important component of subtidal Antarctic communities including in common association with macroalgae. Nonetheless, limited data exist detailing their abundance and distribution on macroalgal species. This study documents the abundance and species composition of gastropod assemblages on the two largest, blade-forming Antarctic macroalgae, Himantothallus grandifolius and Sarcopeltis antarctica, sampled across two depths (9 and 18 m) at four sites for each species off Anvers Island, Antarctica. Gastropods were also enumerated on Desmarestia anceps, Desmarestia antarctica and Plocamium sp. but were not included in the main analyses because of small sample sizes. There were major differences between the gastropod assemblages on deep vs shallow H. grandifolius and S. antarctica with much higher numbers of individuals and also greater numbers of gastropod species at the greater depth. Differences between the gastropod assemblages on H. grandifolius and S. antarctica across sampling sites were apparent in non-parametric, multivariate analyses, although depth contributed more than site to these differences. Within common sites, assemblages on H. grandifolius were significantly different from those on S. antarctica at 18 m depth but not at 9 m depth, indicating that the host species can be but is not always more important than site in influencing the gastropod assemblages.</t>
  </si>
  <si>
    <t>[Amsler, Charles D.; Miller, Leucas R.; Edwards, Raven A.; Amsler, Margaret O.; Mcclintock, James B.] Univ Alabama Birmingham, Dept Biol, 1300 Univ Blvd, Birmingham, AL 35233 USA; [Engl, Winfried] Rubensstr 7, D-40237 Dusseldorf, Germany; [Baker, Bill J.] Univ S Florida, Dept Chem, 4202 E Fowler Ave, Tampa, FL 33620 USA</t>
  </si>
  <si>
    <t>University of Alabama System; University of Alabama Birmingham; State University System of Florida; University of South Florida</t>
  </si>
  <si>
    <t>Amsler, MO (corresponding author), Univ Alabama Birmingham, Dept Biol, 1300 Univ Blvd, Birmingham, AL 35233 USA.</t>
  </si>
  <si>
    <t>amsler@uab.edu</t>
  </si>
  <si>
    <t>Baker, Bill/N-4312-2019</t>
  </si>
  <si>
    <t>Edwards, Raven/0000-0003-2891-8772; Baker, Bill/0000-0003-3033-5779; Amsler, Margaret/0000-0002-7196-1576</t>
  </si>
  <si>
    <t>National Science Foundation [PLR-1341333, PLR-1341339]; Antarctic Organisms and Ecosystems Program; Endowed University Professorship in Polar and Marine Biology; University of Alabama at Birmingham</t>
  </si>
  <si>
    <t>National Science Foundation(National Science Foundation (NSF)); Antarctic Organisms and Ecosystems Program(National Science Foundation (NSF)NSF - Directorate for Geosciences (GEO)); Endowed University Professorship in Polar and Marine Biology; University of Alabama at Birmingham</t>
  </si>
  <si>
    <t>This research was funded by National Science Foundation awards PLR-1341333 (CDA, JBM) and PLR-1341339 (BJB) from the Antarctic Organisms and Ecosystems Program. JBM acknowledges the support of an Endowed University Professorship in Polar and Marine Biology provided by the University of Alabama at Birmingham.</t>
  </si>
  <si>
    <t>PII S0954102022000153</t>
  </si>
  <si>
    <t>10.1017/S0954102022000153</t>
  </si>
  <si>
    <t>WOS:000792188400001</t>
  </si>
  <si>
    <t>Zhu, ZY</t>
  </si>
  <si>
    <t>Zhu, Zhuo-Yi</t>
  </si>
  <si>
    <t>Clarifying the fate of dissolved organic carbon in turbid glacier meltwater rivers in Svalbard via a series of incubations</t>
  </si>
  <si>
    <t>BIOGEOCHEMISTRY</t>
  </si>
  <si>
    <t>DOC; Photo-degradation; Bio-degradation; Incubation; Glacier meltwater; Svalbard</t>
  </si>
  <si>
    <t>ARCTIC-OCEAN; PERMAFROST CARBON; AMINO-ACIDS; MATTER; LABILE; BIODEGRADABILITY; PHOTODEGRADATION; BIOGEOCHEMISTRY; PRODUCTIVITY; CATCHMENT</t>
  </si>
  <si>
    <t>The dissolved organic carbon (DOC) of Svalbard's glacier meltwater has received limited attention. Due to the northward ocean current, terrestrial DOC output from Svalbard eventually enters the Arctic Ocean, rather than travelling southward into the Atlantic. This makes the role of Svalbard glaciers in the Arctic marine carbon budget significantly different from that of Greenland glaciers. Field work was conducted in Ny-angstrom lesund, Svalbard in late summer, 2017 to reveal the fate of DOC in turbid glacier meltwaters in Svalbard. Based on mixing incubation over 25 h, bio- and photo-degradation over 10 days, and long-term biodegradation over 13 months, it is believed that glacier meltwater DOC fraction is linearly mixed and diluted with seawater in the turbid plume area due to light limitation. When the light limitation is removed (e.g., in the clear offshore waters), 78% of the DOC undergoes photo-degradation or photo-triggered synergistic degradation within 10 days, rather than solely microbial degradation. Over the long-term, 73% of initial DOC was lost after being kept in the dark for 13 months. This work underlines that 4/5 of the Svalbard glaciers DOC would be degraded in Arctic coast within 10 days after entering the sea, generating a positive feedback to global warming. Photo-degradation, and/or photo-triggered synergistic degradation, is the key mechanism. Approximately one-fifth of the original concentration exhibited resistance and this fraction of DOC would be transported out of the fjord and likely into the Arctic Ocean.</t>
  </si>
  <si>
    <t>[Zhu, Zhuo-Yi] Shanghai Jiao Tong Univ, Sch Oceanog, Shanghai Key Lab Polar Life &amp; Environm Sci, 1954 Huashan Rd, Shanghai 200030, Peoples R China; [Zhu, Zhuo-Yi] Polar Res Inst China, MNR Key Lab Polar Sci, Shanghai 200136, Peoples R China</t>
  </si>
  <si>
    <t>Shanghai Jiao Tong University; Polar Research Institute of China</t>
  </si>
  <si>
    <t>Zhu, ZY (corresponding author), Polar Res Inst China, MNR Key Lab Polar Sci, Shanghai 200136, Peoples R China.</t>
  </si>
  <si>
    <t>zhu.zhuoyi@sjtu.edu.cn</t>
  </si>
  <si>
    <t>Zhu, Zhuoyi/HNS-4424-2023</t>
  </si>
  <si>
    <t>Zhu, Zhuo-Yi/0000-0002-0276-2418</t>
  </si>
  <si>
    <t>National Science Foundation of China [41676188]; Chinese Arctic and Antarctic Administration; Oceanic Interdisciplinary Program of Shanghai Jiao Tong University [SL2021MS020]; Shanghai Frontiers Science Center of Polar Science (SCOPS)</t>
  </si>
  <si>
    <t>National Science Foundation of China(National Natural Science Foundation of China (NSFC)); Chinese Arctic and Antarctic Administration; Oceanic Interdisciplinary Program of Shanghai Jiao Tong University; Shanghai Frontiers Science Center of Polar Science (SCOPS)</t>
  </si>
  <si>
    <t>This work was supported by the National Science Foundation of China (Grant No. 41676188), by Chinese Arctic and Antarctic Administration through its projects for field expeditions in 2017, by the Oceanic Interdisciplinary Program of Shanghai Jiao Tong University (project number SL2021MS020), and by Shanghai Frontiers Science Center of Polar Science (SCOPS).</t>
  </si>
  <si>
    <t>0168-2563</t>
  </si>
  <si>
    <t>1573-515X</t>
  </si>
  <si>
    <t>Biogeochemistry</t>
  </si>
  <si>
    <t>10.1007/s10533-022-00931-x</t>
  </si>
  <si>
    <t>Environmental Sciences; Geosciences, Multidisciplinary</t>
  </si>
  <si>
    <t>2A2RL</t>
  </si>
  <si>
    <t>WOS:000790632400001</t>
  </si>
  <si>
    <t>Williams, TJ; Allen, MA; Panwar, P; Cavicchioli, R</t>
  </si>
  <si>
    <t>Williams, Timothy J.; Allen, Michelle A.; Panwar, Pratibha; Cavicchioli, Ricardo</t>
  </si>
  <si>
    <t>Into the darkness: the ecologies of novel 'microbial dark matter' phyla in an Antarctic lake</t>
  </si>
  <si>
    <t>ENVIRONMENTAL MICROBIOLOGY</t>
  </si>
  <si>
    <t>ARCHAEON PYROCOCCUS-FURIOSUS; WOOD-LJUNGDAHL PATHWAY; RE-CITRATE SYNTHASE; DESULFOVIBRIO-VULGARIS; RHODOSPIRILLUM-RUBRUM; ANAEROBIC RESPIRATION; THIOSULFATE REDUCTION; SALMONELLA-ENTERICA; NUCLEOTIDE-SEQUENCE; DIMETHYL-SULFOXIDE</t>
  </si>
  <si>
    <t>Uncultivated microbial clades ('microbial dark matter') are inferred to play important but uncharacterized roles in nutrient cycling. Using Antarctic lake (Ace Lake, Vestfold Hills) metagenomes, 12 metagenome-assembled genomes (MAGs; 88%-100% complete) were generated for four 'dark matter' phyla: six MAGs from Candidatus Auribacterota (=Aureabacteria, SURF-CP-2), inferred to be hydrogen- and sulfide-producing fermentative heterotrophs, with individual MAGs encoding bacterial microcompartments (BMCs), gas vesicles, and type IV pili; one MAG (100% complete) from Candidatus Hinthialibacterota (=OLB16), inferred to be a facultative anaerobe capable of dissimilatory nitrate reduction to ammonia, specialized for mineralization of complex organic matter (e.g. sulfated polysaccharides), and encoding BMCs, flagella, and Tad pili; three MAGs from Candidatus Electryoneota (=AABM5-125-24), previously reported to include facultative anaerobes capable of dissimilatory sulfate reduction, and here inferred to perform sulfite oxidation, reverse tricarboxylic acid cycle for autotrophy, and possess numerous proteolytic enzymes; two MAGs from Candidatus Lernaellota (=FEN-1099), inferred to be capable of formate oxidation, amino acid fermentation, and possess numerous enzymes for protein and polysaccharide degradation. The presence of 16S rRNA gene sequences in public metagenome datasets (88%-100% identity) suggests these 'dark matter' phyla contribute to sulfur cycling, degradation of complex organic matter, ammonification and/or chemolithoautotrophic CO2 fixation in diverse global environments.</t>
  </si>
  <si>
    <t>[Williams, Timothy J.; Allen, Michelle A.; Panwar, Pratibha; Cavicchioli, Ricardo] UNSW Sydney, Sch Biotechnol &amp; Biomol Sci, Sydney, NSW 2052, Australia</t>
  </si>
  <si>
    <t>University of New South Wales Sydney</t>
  </si>
  <si>
    <t>Cavicchioli, R (corresponding author), UNSW Sydney, Sch Biotechnol &amp; Biomol Sci, Sydney, NSW 2052, Australia.</t>
  </si>
  <si>
    <t>r.cavicchioli@unsw.edu.au</t>
  </si>
  <si>
    <t>Panwar, Pratibha/JFJ-6910-2023; Cavicchioli, Ricardo/D-4341-2013</t>
  </si>
  <si>
    <t>Panwar, Pratibha/0000-0002-7437-7084; Cavicchioli, Ricardo/0000-0001-8989-6402; Williams, Timothy/0000-0002-2738-3019; Allen, Michelle/0000-0002-8852-1454</t>
  </si>
  <si>
    <t>Australian Research Council [DP150100244]; Australian Antarctic Science Program [4031]; Faculty of Science</t>
  </si>
  <si>
    <t>Australian Research Council(Australian Research Council); Australian Antarctic Science Program; Faculty of Science</t>
  </si>
  <si>
    <t>This work was supported by the Australian Research Council (DP150100244) and the Australian Antarctic Science Program (project 4031). Computational analyses at UNSW Sydney were performed on the computational cluster Katana, supported by the Faculty of Science. We thank the JGI for providing long-term support for the Antarctic metagenomics project; the expeditioners and Helicopter Resources crew at Davis Station during the 2006-2007, 2008-2009 and 20132015 expeditions for their assistance in collecting samples, and the Australian Antarctic Division for technical and logistical support during the expeditions. We acknowledge the considerable value that the reviewers brought to this study during the review process.</t>
  </si>
  <si>
    <t>1462-2912</t>
  </si>
  <si>
    <t>1462-2920</t>
  </si>
  <si>
    <t>ENVIRON MICROBIOL</t>
  </si>
  <si>
    <t>Environ. Microbiol.</t>
  </si>
  <si>
    <t>10.1111/1462-2920.16026</t>
  </si>
  <si>
    <t>1P9DB</t>
  </si>
  <si>
    <t>WOS:000790147500001</t>
  </si>
  <si>
    <t>Verdes, A; Taboada, S; Hamilton, BR; Undheim, EAB; Sonoda, GG; Andrade, SCS; Morato, E; Marina, AI; Cárdenas, CA; Riesgo, A</t>
  </si>
  <si>
    <t>Verdes, Aida; Taboada, Sergi; Hamilton, Brett R.; Undheim, Eivind A. B.; Sonoda, Gabriel G.; Andrade, Sonia C. S.; Morato, Esperanza; Marina, Ana Isabel; Cardenas, Cesar A.; Riesgo, Ana</t>
  </si>
  <si>
    <t>Evolution, Expression Patterns, and Distribution of Novel Ribbon Worm Predatory and Defensive Toxins</t>
  </si>
  <si>
    <t>MOLECULAR BIOLOGY AND EVOLUTION</t>
  </si>
  <si>
    <t>venom; toxins; RNAseq; ribbon worm; mass spectrometry imaging; proteomics</t>
  </si>
  <si>
    <t>NEMERTEAN PARANEMERTES-PEREGRINA; RISERIELLUS-OCCULTUS NEMERTEA; MASS-SPECTROMETRY; CONVERGENT RECRUITMENT; POPULATION GENOMICS; GENE-EXPRESSION; PROTEIN FAMILY; SEA-URCHIN; VENOM; PEPTIDES</t>
  </si>
  <si>
    <t>Ribbon worms are active predators that use an eversible proboscis to inject venom into their prey and defend themselves with toxic epidermal secretions. Previous work on nemertean venom has largely focused on just a few species and has not investigated the different predatory and defensive secretions in detail. Consequently, our understanding of the composition and evolution of ribbon worm venoms is still very limited. Here, we present a comparative study of nemertean venom combining RNA-seq differential gene expression analyses of venom-producing tissues, tandem mass spectrometry-based proteomics of toxic secretions, and mass spectrometry imaging of proboscis sections, to shed light onto the composition and evolution of predatory and defensive toxic secretions in Antarctonemertes valida. Our analyses reveal a wide diversity of putative defensive and predatory toxins with tissue-specific gene expression patterns and restricted distributions to the mucus and proboscis proteomes respectively, suggesting that ribbon worms produce distinct toxin cocktails for predation and defense. Our results also highlight the presence of numerous lineage-specific toxins, indicating that venom evolution is highly divergent across nemerteans, producing toxin cocktails that might be finely tuned to subdue different prey. Our data also suggest that the hoplonemertean proboscis is a highly specialized predatory organ that seems to be involved in a variety of biological functions besides predation, including secretion and sensory perception. Overall, our results advance our knowledge into the diversity and evolution of nemertean venoms and highlight the importance of combining different types of data to characterize toxin composition in understudied venomous organisms.</t>
  </si>
  <si>
    <t>[Verdes, Aida; Riesgo, Ana] Museo Nacl Ciencias Nat MNCN, CSIC, Dept Biodivers &amp; Evolutionary Biol, Madrid, Spain; [Verdes, Aida; Taboada, Sergi; Riesgo, Ana] Nat Hist Museum, Dept Life Sci, London, England; [Taboada, Sergi] Univ Complutense Madrid, Dept Biodivers Ecol &amp; Evolut, Madrid, Spain; [Hamilton, Brett R.; Undheim, Eivind A. B.] Univ Queensland, Ctr Adv Imaging, Brisbane, Qld, Australia; [Hamilton, Brett R.] Univ Queensland, Ctr Microscopy &amp; Microanal, Brisbane, Qld, Australia; [Undheim, Eivind A. B.] Univ Oslo, Ctr Ecol &amp; Evolutionary Synth, Dept Biosci, POB 1066, N-0316 Oslo, Norway; [Undheim, Eivind A. B.] Univ Queensland, Inst Mol Biosci, Brisbane, Qld, Australia; [Sonoda, Gabriel G.; Andrade, Sonia C. S.] Univ Sao Paulo, Dept Genet &amp; Biol Evolut, Sao Paulo, Brazil; [Morato, Esperanza; Marina, Ana Isabel] Univ Autonoma Madrid, CSIC, Ctr Biol Mol Severo Ochoa, CBMSO Prot Chem Facil, Madrid, Spain; [Cardenas, Cesar A.] Inst Antartico Chileno, Dept Cient, Punta Arenas, Chile; [Cardenas, Cesar A.] Millennium Inst Biodivers Antarctic &amp; Subantarct, Santiago, Chile</t>
  </si>
  <si>
    <t>Consejo Superior de Investigaciones Cientificas (CSIC); CSIC - Museo Nacional de Ciencias Naturales (MNCN); Natural History Museum London; Complutense University of Madrid; University of Queensland; University of Queensland; University of Oslo; University of Queensland; Universidade de Sao Paulo; Consejo Superior de Investigaciones Cientificas (CSIC); CSIC - Centro de Biologia Molecular Severo Ochoa (CBM); Autonomous University of Madrid</t>
  </si>
  <si>
    <t>Verdes, A (corresponding author), Museo Nacl Ciencias Nat MNCN, CSIC, Dept Biodivers &amp; Evolutionary Biol, Madrid, Spain.;Verdes, A (corresponding author), Nat Hist Museum, Dept Life Sci, London, England.</t>
  </si>
  <si>
    <t>aida.verdes@mncn.csic.es</t>
  </si>
  <si>
    <t>Riesgo, Ana/E-3341-2014; Undheim, Eivind A B/J-1557-2014; Andrade, Sonia/GLS-1234-2022</t>
  </si>
  <si>
    <t>Riesgo, Ana/0000-0002-7993-1523; Andrade, Sonia/0000-0002-1302-5261; Gonzalez Sonoda, Gabriel/0000-0002-1854-0692; Morato Lopez, Esperanza/0000-0003-4768-895X; Cardenas, Cesar/0000-0001-6662-6899; Verdes, Aida/0000-0002-9193-9253</t>
  </si>
  <si>
    <t>European Union's Horizon 2020 Research and Innovation program through a Marie Sklodowska-Curie Individual Fellowship [841576]; Spanish Ministry of Science MCIN/AEI; European Union NextGenerationEU/PRTR [IJC2020-045256-I]; Marie Curie Alumni Association Micro Media grant; Spanish Ministry of Science and Innovation - MCIN/AEI [RYC2018-024247-I, PID2019-105769GB-I00]; EI FSE invierte en tu futuro; MCIN/AEI [PID2020-117115GA-100]; Norwegian Research Council FRIPRO-YRT Fellowship [287462]; INACH Marine Protected Area Program [24 03 052]; ANID-Millennium Science Initiative Program [ICN2021_002]; PE I+D+i 2013-2016 - ISCIII [PT17/0019]; ERDF; Spanish Ministry of Economy and Competitiveness [CTM2013-42667/ANT]; Marie Curie Actions (MSCA) [841576] Funding Source: Marie Curie Actions (MSCA)</t>
  </si>
  <si>
    <t>European Union's Horizon 2020 Research and Innovation program through a Marie Sklodowska-Curie Individual Fellowship; Spanish Ministry of Science MCIN/AEI; European Union NextGenerationEU/PRTR(European Union (EU)); Marie Curie Alumni Association Micro Media grant(Marie Curie ActionsEuropean Union (EU)); Spanish Ministry of Science and Innovation - MCIN/AEI; EI FSE invierte en tu futuro; MCIN/AEI; Norwegian Research Council FRIPRO-YRT Fellowship; INACH Marine Protected Area Program; ANID-Millennium Science Initiative Program; PE I+D+i 2013-2016 - ISCIII; ERDF(European Union (EU)); Spanish Ministry of Economy and Competitiveness(Spanish Government); Marie Curie Actions (MSCA)(Marie Curie Actions)</t>
  </si>
  <si>
    <t>This work was supported by the European Union's Horizon 2020 Research and Innovation program through a Marie Sklodowska-Curie Individual Fellowship (grant agreement 841576), the Spanish Ministry of Science MCIN/AEI/10.13039/501100011033, European Union NextGenerationEU/PRTR (grant IJC2020-045256-I), and the Marie Curie Alumni Association Micro Media grant to A.V. A.R. acknowledges funding from the Spanish Ministry of Science and Innovation, grants RYC2018-024247-I and PID2019-105769GB-I00, both funded by MCIN/AEI/10.13039/50110001103 and EI FSE invierte en tu futuro. S.T. received funding from the grant PID2020-117115GA-100 funded by MCIN/AEI/10.13039/50110001103. E.A.B.U. was supported by a Norwegian Research Council FRIPRO-YRT Fellowship no. 287462. C.A.C. acknowledges funding support by INACH Marine Protected Area Program (24 03 052) and ANID-Millennium Science Initiative Program-ICN2021_002. Part of the proteomic analyses was carried out in the CBMSO PROTEIN CHEMISTRY FACILITY, that belongs to the network ProteoRed, PRB3-ISCIII, supported by grant PT17/0019 of the PE I+D+i 2013-2016, funded by ISCIII and ERDF. We wish to express our gratitude to Prof Juan Junoy for helpful discussions during the preparation of this manuscript and Dr Vasiliki Koutsouveli for assistance with histological procedures. We would also like to thank Dr Carlos Leiva, Dr Patricia alvarez-Campos, Dr Erasmo Macaya-Horta, and Prof Juan Junoy for their help during the collection of specimens. Part of the collection was performed under the frame of the project DISTANTCOM (CTM2013-42667/ANT), Spanish Ministry of Economy and Competitiveness.</t>
  </si>
  <si>
    <t>0737-4038</t>
  </si>
  <si>
    <t>1537-1719</t>
  </si>
  <si>
    <t>MOL BIOL EVOL</t>
  </si>
  <si>
    <t>Mol. Biol. Evol.</t>
  </si>
  <si>
    <t>MAY 3</t>
  </si>
  <si>
    <t>msac096</t>
  </si>
  <si>
    <t>10.1093/molbev/msac096</t>
  </si>
  <si>
    <t>Biochemistry &amp; Molecular Biology; Evolutionary Biology; Genetics &amp; Heredity</t>
  </si>
  <si>
    <t>1M4VY</t>
  </si>
  <si>
    <t>WOS:000799969900004</t>
  </si>
  <si>
    <t>Maturana-Martinez, C; Iriarte, JL; Ha, SY; Lee, B; Ahn, IY; Vernet, M; Cape, M; Fernandez, C; Gonzalez, HE; Galand, PE</t>
  </si>
  <si>
    <t>Maturana-Martinez, Claudia; Iriarte, Jose Luis; Ha, Sun-Yong; Lee, Boyeon; Ahn, In-Young; Vernet, Maria; Cape, Mattias; Fernandez, Camila; Gonzalez, Humberto E.; Galand, Pierre E.</t>
  </si>
  <si>
    <t>Biogeography of Southern Ocean Active Prokaryotic Communities Over a Large Spatial Scale</t>
  </si>
  <si>
    <t>DNA; RNA; Southern Ocean; fjord; biogeography</t>
  </si>
  <si>
    <t>OPERON COPY NUMBER; KING GEORGE ISLAND; MICROBIAL BIOGEOGRAPHY; BACTERIAL COMMUNITIES; PHYTOPLANKTON BLOOM; RARE BIOSPHERE; CLIMATE-CHANGE; WATER MASSES; AMUNDSEN SEA; DIVERSITY</t>
  </si>
  <si>
    <t>The activity of marine microorganisms depends on community composition, yet, in some oceans, less is known about the environmental and ecological processes that structure their distribution. The objective of this study was to test the effect of geographical distance and environmental parameters on prokaryotic community structure in the Southern Ocean (SO). We described the total (16S rRNA gene) and the active fraction (16S rRNA-based) of surface microbial communities over a ~6,500 km longitudinal transect in the SO. We found that the community composition of the total fraction was different from the active fraction across the zones investigated. In addition, higher alpha-diversity and stronger species turnover were displayed in the active community compared to the total community. Oceanospirillales, Alteromonadales, Rhodobacterales, and Flavobacteriales dominated the composition of the bacterioplankton communities; however, there were marked differences at the order level. Temperature, salinity, silicic acid, particulate organic nitrogen, and particulate organic carbon correlated with the composition of bacterioplankton communities. A strong distance-decay pattern between closer and distant communities was observed. We hypothesize that it was related to the different oceanic fronts present in the Antarctic Circumpolar Current. Our findings contribute to a better understanding of the complex arrangement that shapes the structure of bacterioplankton communities in the SO.</t>
  </si>
  <si>
    <t>[Maturana-Martinez, Claudia; Iriarte, Jose Luis; Gonzalez, Humberto E.] Univ Austral Chile, Valdivia, Chile; [Maturana-Martinez, Claudia; Galand, Pierre E.] Sorbonne Univ, CNRS, Lab Ecogeochimie Environm Benthiques, Banyuls Sur Mer, France; [Ha, Sun-Yong; Lee, Boyeon; Ahn, In-Young] Korea Polar Res Inst, Div Polar Ocean Sci, Incheon, South Korea; [Vernet, Maria] Univ Calif San Diego, Scripps Inst Oceanog, San Diego, CA USA; [Cape, Mattias] Univ Washington, Sch Oceanog, Seattle, WA USA; [Fernandez, Camila] Sorbonne Univ, CNRS, Lab Oceanog Microbienne LOMIC, Banyuls Sur Mer, France; [Maturana-Martinez, Claudia; Iriarte, Jose Luis; Gonzalez, Humberto E.] Ctr Invest Dinam Ecosistemas Marinos Altas Latitud, Valdivia, Chile</t>
  </si>
  <si>
    <t>Universidad Austral de Chile; Centre National de la Recherche Scientifique (CNRS); Sorbonne Universite; Korea Polar Research Institute (KOPRI); University of California System; University of California San Diego; Scripps Institution of Oceanography; University of Washington; University of Washington Seattle; Centre National de la Recherche Scientifique (CNRS); Sorbonne Universite</t>
  </si>
  <si>
    <t>Gonzalez, HE (corresponding author), Univ Austral Chile, Valdivia, Chile.;Gonzalez, HE (corresponding author), Ctr Invest Dinam Ecosistemas Marinos Altas Latitud, Valdivia, Chile.</t>
  </si>
  <si>
    <t>hgonzale@uach.cl</t>
  </si>
  <si>
    <t>Galand, Pierre E/A-1429-2014; Cape, Mattias/KCK-4444-2024; González, Humberto E./A-4039-2008</t>
  </si>
  <si>
    <t>Cape, Mattias/0000-0002-5621-1128</t>
  </si>
  <si>
    <t>10.3389/fmicb.2022.862812</t>
  </si>
  <si>
    <t>1I1HM</t>
  </si>
  <si>
    <t>WOS:000796987200001</t>
  </si>
  <si>
    <t>Noell, SE; Baptista, MS; Smith, E; McDonald, IR; Lee, CK; Stott, MB; Amend, JP; Cary, SC</t>
  </si>
  <si>
    <t>Noell, Stephen E.; Baptista, Mafalda S.; Smith, Emily; McDonald, Ian R.; Lee, Charles K.; Stott, Matthew B.; Amend, Jan P.; Cary, S. Craig</t>
  </si>
  <si>
    <t>Unique Geothermal Chemistry Shapes Microbial Communities on Mt. Erebus, Antarctica</t>
  </si>
  <si>
    <t>Mt; Erebus; Antarctica; geothermal; microbial community analysis; thermal gradient</t>
  </si>
  <si>
    <t>RIBOSOMAL-RNA GENE; MOUNT EREBUS; SP NOV.; THERMOPHILIC BACILLUS; TRAMWAY RIDGE; HOT-SPRINGS; ROSS-ISLAND; VOLCANO; DIVERSITY; SOILS</t>
  </si>
  <si>
    <t>Mt. Erebus, Antarctica, is the world's southernmost active volcano and is unique in its isolation from other major active volcanic systems and its distinctive geothermal systems. Using 16S rRNA gene amplicon sequencing and physicochemical analyses, we compared samples collected at two contrasting high-temperature (50 degrees C-65 degrees C) sites on Mt. Erebus: Tramway Ridge, a weather-protected high biomass site, and Western Crater, an extremely exposed low biomass site. Samples were collected along three thermal gradients, one from Western Crater and two within Tramway Ridge, which allowed an examination of the heterogeneity present at Tramway Ridge. We found distinct soil compositions between the two sites, and to a lesser extent within Tramway Ridge, correlated with disparate microbial communities. Notably, pH, not temperature, showed the strongest correlation with these differences. The abundance profiles of several microbial groups were different between the two sites; class Nitrososphaeria amplicon sequence variants (ASVs) dominated the community profiles at Tramway Ridge, whereas Acidobacteriotal ASVs were only found at Western Crater. A co-occurrence network, paired with physicochemical analyses, allowed for finer scale analysis of parameters correlated with differential abundance profiles, with various parameters (total carbon, total nitrogen, soil moisture, soil conductivity, sulfur, phosphorous, and iron) showing significant correlations. ASVs assigned to Chloroflexi classes Ktedonobacteria and Chloroflexia were detected at both sites. Based on the known metabolic capabilities of previously studied members of these groups, we predict that chemolithotrophy is a common strategy in this system. These analyses highlight the importance of conducting broader-scale metagenomics and cultivation efforts at Mt. Erebus to better understand this unique environment.</t>
  </si>
  <si>
    <t>[Noell, Stephen E.; Smith, Emily; McDonald, Ian R.; Lee, Charles K.; Cary, S. Craig] Univ Waikato, Sch Sci, Hamilton, New Zealand; [Noell, Stephen E.; Baptista, Mafalda S.; Smith, Emily; McDonald, Ian R.; Lee, Charles K.; Cary, S. Craig] Univ Waikato, Int Ctr Terr Antarctic Res, Hamilton, New Zealand; [Baptista, Mafalda S.] Univ Porto, Interdisciplinary Ctr Marine &amp; Environm Res, CIIMAR, CIMAR, Matosinhos, Portugal; [Baptista, Mafalda S.] Univ Porto, Fac Sci, Porto, Portugal; [Stott, Matthew B.] Univ Canterbury, Sch Biol Sci, Christchurch, New Zealand; [Amend, Jan P.] Univ Southern Calif, Dept Earth Sci, Los Angeles, CA USA; [Amend, Jan P.] Univ Southern Calif, Dept Biol Sci, Los Angeles, CA USA</t>
  </si>
  <si>
    <t>University of Waikato; University of Waikato; Universidade do Porto; Universidade do Porto; University of Canterbury; University of Southern California; University of Southern California</t>
  </si>
  <si>
    <t>Cary, SC (corresponding author), Univ Waikato, Sch Sci, Hamilton, New Zealand.;Cary, SC (corresponding author), Univ Waikato, Int Ctr Terr Antarctic Res, Hamilton, New Zealand.</t>
  </si>
  <si>
    <t>caryc@waikato.ac.nz</t>
  </si>
  <si>
    <t>Lee, Charles/AAC-9417-2019; Baptista, Mafalda S./F-8301-2010; McDonald, Ian R/A-4851-2008; Noell, Stephen Edd/CAH-5538-2022</t>
  </si>
  <si>
    <t>Lee, Charles/0000-0002-6562-4733; Baptista, Mafalda S./0000-0002-2198-0410; McDonald, Ian R/0000-0002-4847-6492; Noell, Stephen Edd/0000-0001-7895-3846</t>
  </si>
  <si>
    <t>Royal Society of New Zealand</t>
  </si>
  <si>
    <t>Royal Society of New Zealand(Royal Society of New Zealand)</t>
  </si>
  <si>
    <t>This work was supported by the Royal Society of New Zealand (Marsden Grant 18-UOW-028 to SC, MS, IM, CL, and JA).</t>
  </si>
  <si>
    <t>10.3389/fmicb.2022.836943</t>
  </si>
  <si>
    <t>1I1GN</t>
  </si>
  <si>
    <t>WOS:000796984700001</t>
  </si>
  <si>
    <t>Quaglia, I; Visioni, D; Pitari, G; Ben Kravitz</t>
  </si>
  <si>
    <t>Quaglia, Ilaria; Visioni, Daniele; Pitari, Giovanni; Ben Kravitz</t>
  </si>
  <si>
    <t>An approach to sulfate geoengineering with surface emissions of carbonyl sulfide</t>
  </si>
  <si>
    <t>OZONE CONCENTRATIONS; SULFUR DEPOSITION; DISULFIDE CS2; CLIMATE; CHEMISTRY; AEROSOL; EXCHANGE; IMPACT; SENSITIVITY; TRANSPORT</t>
  </si>
  <si>
    <t>Sulfate geoengineering (SG) methods based on lower stratospheric tropical injection of sulfur dioxide (SO2) have been widely discussed in recent years, focusing on the direct and indirect effects they would have on the climate system. Here a potential alternative method is discussed, where sulfur emissions are located at the surface or in the troposphere in the form of carbonyl sulfide (COS) gas. There are two time-dependent chemistry-climate model experiments designed from the years 2021 to 2055, assuming a 40 Tg - S yr(-1) artificial global flux of COS, which is geographically distributed following the present-day anthropogenic COS surface emissions (SG-COS-SRF) or a 6 Tg - S yr(-1) injection of COS in the tropical upper troposphere (SG-COS-TTL). The budget of COS and sulfur species is discussed, as are the effects of both SG-COS strategies on the stratospheric sulfate aerosol optical depth (similar to Delta tau = 0.080 in the years 2046-2055), aerosol effective radius (0.46 mu m), surface SOx deposition (+8.9 % for SG-COS -SRF; +3.3 % for SG-COS-TTL), and tropopause radiative forcing (RF; similar to -1.5 Wm(-2) in all-sky conditions in both SG-COS experiments). Indirect effects on ozone, methane and stratospheric water vapour are also considered, along with the COS direct contribution. According to our model results, the resulting net RF is -1.3 Wm(-2), for SG-COS-SRF, and -1.5 Wm(-2), for SG-COS-TTL, and it is comparable to the corresponding RF of -1.7 WM-2 obtained with a sustained injection of 4 Tg - Syr(-1) in the tropical lower stratosphere in the form of SO2 (SG-SO2, which is able to produce a comparable increase of the sulfate aerosol optical depth). Significant changes in the stratospheric ozone response are found in both SG-COS experiments with respect to SG-SO2 (similar to 5 DU versus +1.4 DU globally). According to the model results, the resulting ultraviolet B (UVB) perturbation at the surface accounts for -4.3 % as a global and annual average (versus -2.4 % in the SG-SO2 case), with a springtime Antarctic decrease of -2.7 % (versus a +5.8 % increase in the SG-SO2 experiment). Overall, we find that an increase in COS emissions may be feasible and produce a more latitudinally uniform forcing without the need for the deployment of stratospheric aircraft. However, our assumption that the rate of COS uptake by soils and plants does not vary with increasing COS concentrations will need to be investigated in future work, and more studies are needed on the prolonged exposure effects to higher COS values in humans and ecosystems.</t>
  </si>
  <si>
    <t>[Quaglia, Ilaria; Pitari, Giovanni] Univ Aquila, Dept Phys &amp; Chem Sci, I-67100 Laquila, Italy; [Visioni, Daniele] Cornell Univ, Sibley Sch Mech &amp; Aerosp Engn, Ithaca, NY 14853 USA; [Ben Kravitz] Indiana Univ, Dept Earth &amp; Atmospher Sci, Bloomington, IN USA; [Ben Kravitz] Pacific Northwest Natl Lab, Atmospher Sci &amp; Global Change Div, Richland, WA 99352 USA</t>
  </si>
  <si>
    <t>University of L'Aquila; Cornell University; Indiana University System; Indiana University Bloomington; United States Department of Energy (DOE); Pacific Northwest National Laboratory</t>
  </si>
  <si>
    <t>Quaglia, I (corresponding author), Univ Aquila, Dept Phys &amp; Chem Sci, I-67100 Laquila, Italy.</t>
  </si>
  <si>
    <t>ilaria.quaglia@aquila.infn.it</t>
  </si>
  <si>
    <t>Visioni, Daniele/O-7824-2016; Kravitz, Ben/P-7925-2014</t>
  </si>
  <si>
    <t>Visioni, Daniele/0000-0002-7342-2189; Kravitz, Ben/0000-0001-6318-1150; Quaglia, Ilaria/0000-0002-5437-0328</t>
  </si>
  <si>
    <t>National Science Foundation [CBET-1931641]; Indiana University Environmental Resilience Institute; Prepared for Environmental Change Grand Challenge initiative</t>
  </si>
  <si>
    <t>National Science Foundation(National Science Foundation (NSF)); Indiana University Environmental Resilience Institute; Prepared for Environmental Change Grand Challenge initiative</t>
  </si>
  <si>
    <t>Support for Ben Kravitz has been provided in part by the National Science Foundation (grant no. CBET-1931641), the Indiana University Environmental Resilience Institute, and the Prepared for Environmental Change Grand Challenge initiative. Support for Daniele Visioni has been provided by the Atkinson Center for a Sustainable Future at Cornell University.</t>
  </si>
  <si>
    <t>10.5194/acp-22-5757-2022</t>
  </si>
  <si>
    <t>0X6XP</t>
  </si>
  <si>
    <t>WOS:000789846900001</t>
  </si>
  <si>
    <t>Johnson, JS; Venturelli, RA; Balco, G; Allen, CS; Braddock, S; Campbell, S; Goehring, BM; Hall, BL; Neff, PD; Nichols, KA; Rood, DH; Thomas, ER; Woodward, J</t>
  </si>
  <si>
    <t>Johnson, Joanne S.; Venturelli, Ryan A.; Balco, Greg; Allen, Claire S.; Braddock, Scott; Campbell, Seth; Goehring, Brent M.; Hall, Brenda L.; Neff, Peter D.; Nichols, Keir A.; Rood, Dylan H.; Thomas, Elizabeth R.; Woodward, John</t>
  </si>
  <si>
    <t>Review article: Existing and potential evidence for Holocene grounding line retreat and readvance in Antarctica</t>
  </si>
  <si>
    <t>ICE CORE</t>
  </si>
  <si>
    <t>Widespread existing geological records from above the modern ice sheet surface and outboard of the current ice margin show that the Antarctic Ice Sheet (AIS) was much more extensive at the Last Glacial Maximum (similar to 20 ka) than at present. However, whether it was ever smaller than present during the last few millennia, and (if so) by how much, is known only for a few locations because direct evidence lies within or beneath the ice sheet, which is challenging to access. Here, we describe how retreat and readvance (henceforth readvance) of AIS grounding lines during the Holocene could be detected and quantified using subglacial bedrock, subglacial sediments, marine sediment cores, relative sea-level (RSL) records, geodetic observations, radar data, and ice cores. Of these, only subglacial bedrock and subglacial sediments can provide direct evidence for readvance. Marine archives are of limited utility because readvance commonly covers evidence of earlier retreat. Nevertheless, stratigraphic transitions documenting change in environment may provide support for direct evidence from subglacial records, as can the presence of transgressions in RSL records, and isostatic subsidence. With independent age control, ice structure revealed by radar can be used to infer past changes in ice flow and geometry, and therefore potential readvance. Since ice cores capture changes in surface mass balance, elevation, and atmospheric and oceanic circulation that are known to drive grounding line migration, they also have potential for identifying readvance. A multidisciplinary approach is likely to provide the strongest evidence for or against a smaller-than-present AIS in the Holocene.</t>
  </si>
  <si>
    <t>[Johnson, Joanne S.; Allen, Claire S.; Thomas, Elizabeth R.] British Antarctic Survey, High Cross,Madingley Rd, Cambridge CB3 0ET, England; [Venturelli, Ryan A.; Goehring, Brent M.] Tulane Univ, Dept Earth &amp; Environm Sci, New Orleans, LA 70118 USA; [Balco, Greg] Berkeley Geochronol Ctr, 2455 Ridge Rd, Berkeley, CA 94709 USA; [Braddock, Scott; Campbell, Seth; Hall, Brenda L.] Univ Maine, Sch Earth &amp; Climate Sci, Orono, ME 04469 USA; [Braddock, Scott; Campbell, Seth; Hall, Brenda L.] Univ Maine, Climate Change Inst, Orono, ME 04469 USA; [Neff, Peter D.] Univ Minnesota, Dept Soil Water &amp; Climate, St Paul, MN 55108 USA; [Nichols, Keir A.; Rood, Dylan H.] Imperial Coll London, Dept Earth Sci &amp; Engn, London SW7 2AZ, England; [Woodward, John] Northumbria Univ, Dept Geog &amp; Environm Sci, Newcastle Upon Tyne NE1 8ST, Tyne &amp; Wear, England</t>
  </si>
  <si>
    <t>UK Research &amp; Innovation (UKRI); Natural Environment Research Council (NERC); NERC British Antarctic Survey; Tulane University; Berkeley Geochronolgy Center; University of Maine System; University of Maine Orono; University of Maine System; University of Maine Orono; University of Minnesota System; University of Minnesota Twin Cities; Imperial College London; Northumbria University</t>
  </si>
  <si>
    <t>Johnson, JS (corresponding author), British Antarctic Survey, High Cross,Madingley Rd, Cambridge CB3 0ET, England.</t>
  </si>
  <si>
    <t>jsj@bas.ac.uk</t>
  </si>
  <si>
    <t>Venturelli, Ryan A/ISV-3343-2023; Woodward, John/I-1046-2013; Thomas, Elizabeth Ruth/ADF-3660-2022</t>
  </si>
  <si>
    <t>Venturelli, Ryan A/0000-0001-9548-0382; Thomas, Elizabeth Ruth/0000-0002-3010-6493; Neff, Peter/0000-0003-1697-0936; Braddock, Scott/0000-0003-2944-0379</t>
  </si>
  <si>
    <t>UK Natural Environment Research Council [NE/S006710/1, NE/S00663X/1, NE/S006753/1]; US National Science Foundation [OPP-1738989, 17449949]; NERC [NE/S006753/1, NE/S006710/1, NE/S00663X/1, NE/I027576/1] Funding Source: UKRI</t>
  </si>
  <si>
    <t>UK Natural Environment Research Council(UK Research &amp; Innovation (UKRI)Natural Environment Research Council (NERC)); US National Science Foundation(National Science Foundation (NSF)); NERC(UK Research &amp; Innovation (UKRI)Natural Environment Research Council (NERC))</t>
  </si>
  <si>
    <t>This research has been supported by the UK Natural Environment Research Council (grant nos. NE/S006710/1, NE/S00663X/1, and NE/S006753/1) and the US National Science Foundation (grant no. OPP-1738989, and Antarctic Earth Sciences grant 17449949).</t>
  </si>
  <si>
    <t>10.5194/tc-16-1543-2022</t>
  </si>
  <si>
    <t>0X7NM</t>
  </si>
  <si>
    <t>Green Accepted, gold, Green Submitted</t>
  </si>
  <si>
    <t>WOS:000789888300001</t>
  </si>
  <si>
    <t>Smart, JN; Schmid, M; Paine, ER; Britton, D; Revill, A; Hurd, CL</t>
  </si>
  <si>
    <t>Smart, Joanna N.; Schmid, Matthias; Paine, Ellie R.; Britton, Damon; Revill, Andrew; Hurd, Catriona L.</t>
  </si>
  <si>
    <t>Seasonal ammonium uptake kinetics of four brown macroalgae: Implications for use in integrated multi-trophic aquaculture</t>
  </si>
  <si>
    <t>ammonium; integrated-multi-tropic aquaculture; macroalgae; nitrogen physiology; Ochrophyta</t>
  </si>
  <si>
    <t>KELP MACROCYSTIS-PYRIFERA; GRACILARIA-PACIFICA RHODOPHYTA; NITRATE UPTAKE KINETICS; NITROGEN UPTAKE; NUTRIENT-UPTAKE; GIANT-KELP; INORGANIC NITROGEN; PHOTOSYNTHETIC PIGMENTS; INTERTIDAL SEAWEEDS; MARINE AQUACULTURE</t>
  </si>
  <si>
    <t>The combined culture of fed species (bivalves, fish) and macroalgae, known as integrated multi-trophic aquaculture (IMTA), has been suggested as a method of mitigating localised nitrogen (N) increase from aquaculture, whilst simultaneously culturing macroalgae for commercial applications. The development of IMTA requires an understanding of the N ecophysiology of candidate macroalga species. We examined seasonal variations in ammonium (NH4+) uptake kinetics, carbon to nitrogen (C:N) ratio, pigment content and soluble tissue N of four macroalgae of the phylum Ochrophyta, Ecklonia radiata, Macrocystis pyrifera, Lessonia corrugata, and Phyllospora comosa, from Tasmania, Australia. This study aimed to determine, (1) if the N physiology of the four macroalgal species was suitable for IMTA applications and (2) whether the species had seasonal variations in N ecophysiology which would influence their suitability for IMTA. Macrocystis pyrifera, L. corrugata, and E. radiata exhibited saturable NH4+ uptake kinetics, with a maximum uptake rate (V-max) during spring, summer and autumn of 200, 45.8 and 45 mu mol gDW(-1) h(-1) and half-saturation constants (K-s) of 361.3, 104.2 and 121 mu M, respectively. Phyllospora comosa exhibited biphasic uptake patterns for three out of four months sampled. There were no noticeable seasonal patterns in pigment content or soluble tissue N for any species. C:N ratios increased from spring (October) to autumn (March) in both E. radiata (28.34 - 47.83) and P. comosa (24.99 - 51.62), indicating progressive N limitation though summer and into autumn. Results suggest that M. pyrifera and P. comosa are most suitable for IMTA due to their high NH4+ uptake potential.</t>
  </si>
  <si>
    <t>[Smart, Joanna N.; Schmid, Matthias; Paine, Ellie R.; Britton, Damon; Hurd, Catriona L.] Univ Tasmania, Inst Marine &amp; Antarctic Studies, Hobart, Tas, Australia; [Schmid, Matthias] Univ Dublin, Trinity Coll Dublin, Dublin, Ireland; [Revill, Andrew] CSIRO Marine Res, GPO Box 1538, Hobart, Tas 7001, Australia</t>
  </si>
  <si>
    <t>University of Tasmania; Trinity College Dublin; Commonwealth Scientific &amp; Industrial Research Organisation (CSIRO)</t>
  </si>
  <si>
    <t>Smart, JN (corresponding author), Univ Tasmania, Inst Marine &amp; Antarctic Studies, Hobart, Tas, Australia.</t>
  </si>
  <si>
    <t>joanna.smart@utas.edu.au</t>
  </si>
  <si>
    <t>Hurd, Catriona L/J-2411-2013; Revill, Andrew/B-8733-2011</t>
  </si>
  <si>
    <t>Schmid, Matthias/0000-0002-7482-7356; Revill, Andrew/0000-0003-2486-5976; Britton, Damon/0000-0002-9029-7527; Paine, Ellie/0000-0003-2816-9521; Smart, Joanna/0000-0002-0717-0390</t>
  </si>
  <si>
    <t>CAUL; Institute for Marine and Antarctic Studies</t>
  </si>
  <si>
    <t>Open Access funding enabled and organized by CAUL and its Member Institutions. This study was funded by supervisor funds from the Institute for Marine and Antarctic Studies to CLH</t>
  </si>
  <si>
    <t>10.1007/s10811-022-02743-w</t>
  </si>
  <si>
    <t>1N9KW</t>
  </si>
  <si>
    <t>WOS:000790161300001</t>
  </si>
  <si>
    <t>Marin, M; Feng, M; Bindoff, NL; Phillips, HE</t>
  </si>
  <si>
    <t>Marin, Maxime; Feng, Ming; Bindoff, Nathaniel L.; Phillips, Helen E.</t>
  </si>
  <si>
    <t>Local Drivers of Extreme Upper Ocean Marine Heatwaves Assessed Using a Global Ocean Circulation Model</t>
  </si>
  <si>
    <t>extreme marine heatwave; upper ocean; marine heatwave phases; physical drivers; heat advection; air-sea heat flux; global model</t>
  </si>
  <si>
    <t>AUSTRALIA; SEA; VARIABILITY; ADVECTION; LAYER</t>
  </si>
  <si>
    <t>The growing threat of Marine heatwaves (MHWs) to ecosystems demands that we better understand their physical drivers. This information can be used to improve the performance of ocean models in predicting major events so more appropriate management decisions can be made. Air-sea heat fluxes have been found to be one of the dominant drivers of MHWs but their impact are expected to decrease for MHWs extending deeper into the water column. In this study, we examine the most extreme MHWs occurring within an upper ocean layer and quantify the relative contributions of oceanic and atmospheric processes to their onset and decay phases. The base of the upper ocean layer is defined as the local winter mixed layer depth so that summer events occurring within a shallower mixed layer are also included. We perform a local upper ocean heat budget analysis at each grid point of a global ocean general circulation model. Results show that in 78% of MHWs, horizontal heat convergence is the main driver of MHW onset. In contrast, heat fluxes dominate the formation of MHWs in 11% of cases, through decreased latent heat cooling and/or increased solar radiation. These air-sea heat flux driven events occur mostly in the tropical regions where the upper ocean layer is shallow. In terms of MHW decay, heat advection is dominant in only 31% of MHWs, while heat flux dominance increases to 23%. For the majority of remaining events, advection and air-sea heat flux anomalies acted together to dissipate the excessive heat. This shift toward a comparable contribution of advection and air-sea heat flux is a common feature of extreme MHW decay globally. The anomalous air-sea heat flux cooling is mostly due to an increased latent heat loss feedback response to upper ocean temperature anomalies. Extreme upper ocean MHWs coincided with SST MHWs consistently, but with lower intensity in extra-tropical regions, where the upper ocean layer is deeper. This suggests that the upper ocean heat accumulation may pre-condition the SST MHWs in these regions. Our analysis provides valuable insights into the local physical processes controlling the onset and decay of extreme MHWs.</t>
  </si>
  <si>
    <t>[Marin, Maxime; Bindoff, Nathaniel L.; Phillips, Helen E.] Univ Tasmania, Inst Marine &amp; Antarctic Studies, Hobart, TAS, Australia; [Marin, Maxime; Bindoff, Nathaniel L.; Phillips, Helen E.] Australian Res Council ARC Ctr Excellence Climate, Hobart, TAS, Australia; [Marin, Maxime; Feng, Ming] Indian Ocean Marine Res Ctr, Commonwealth Sci &amp; Ind Res Org CSIRO Oceans &amp; Atmo, Crawley, WA, Australia; [Bindoff, Nathaniel L.; Phillips, Helen E.] Australian Antarctic Program Partnership, Hobart, TAS, Australia</t>
  </si>
  <si>
    <t>University of Tasmania; Commonwealth Scientific &amp; Industrial Research Organisation (CSIRO); University of Western Australia</t>
  </si>
  <si>
    <t>Marin, M (corresponding author), Univ Tasmania, Inst Marine &amp; Antarctic Studies, Hobart, TAS, Australia.;Marin, M (corresponding author), Australian Res Council ARC Ctr Excellence Climate, Hobart, TAS, Australia.;Marin, M (corresponding author), Indian Ocean Marine Res Ctr, Commonwealth Sci &amp; Ind Res Org CSIRO Oceans &amp; Atmo, Crawley, WA, Australia.</t>
  </si>
  <si>
    <t>maxime.marin@riskfrontiers.com</t>
  </si>
  <si>
    <t>CAS-CSIRO collaboration project on comparative studies of marine ecosystems between Australia and China; Australian Research Centre for Excellence in Climate Extremes; Earth Systems and Climate Change and Climate Systems Hubs of the Australian Government's National Environmental Science Program; Australian Government as part of the Antarctic Science Collaboration Initiative Program</t>
  </si>
  <si>
    <t>CAS-CSIRO collaboration project on comparative studies of marine ecosystems between Australia and China; Australian Research Centre for Excellence in Climate Extremes; Earth Systems and Climate Change and Climate Systems Hubs of the Australian Government's National Environmental Science Program; Australian Government as part of the Antarctic Science Collaboration Initiative Program(Australian Government)</t>
  </si>
  <si>
    <t>MM and MF are partly supported by a CAS-CSIRO collaboration project on comparative studies of marine ecosystems between Australia and China. MM, HP, and NB acknowledge support from the Australian Research Centre for Excellence in Climate Extremes. HP and NB acknowledge funding from the Earth Systems and Climate Change and Climate Systems Hubs of the Australian Government's National Environmental Science Program and grant funding from the Australian Government as part of the Antarctic Science Collaboration Initiative Program.</t>
  </si>
  <si>
    <t>10.3389/fclim.2022.788390</t>
  </si>
  <si>
    <t>L2TN4</t>
  </si>
  <si>
    <t>WOS:001021835700001</t>
  </si>
  <si>
    <t>Trifoglio, NL; Salinas, HFO; Franzosi, CA; Alder, VA</t>
  </si>
  <si>
    <t>Trifoglio, Noelia L.; Salinas, Hector F. Olguin; Franzosi, Claudio A.; Alder, Viviana A.</t>
  </si>
  <si>
    <t>Annual cycle of phytoplankton, protozoa and diatom species from Scotia Bay (South Orkney Islands, Antarctica): Community structure prior to, during and after an anomalously low sea ice year</t>
  </si>
  <si>
    <t>Phenology; Biomass; Algal blooms; Temporal variations; Antarctica; Laurie Island</t>
  </si>
  <si>
    <t>SIGNY ISLAND; NEARSHORE WATERS; LIFE-HISTORY; WEDDELL SEA; DYNAMICS; TEMPERATURE; PENINSULA; CARBON; WEST; VARIABILITY</t>
  </si>
  <si>
    <t>Deepening the knowledge on Antarctic coastal plankton and its links with environmental conditions is essential to understand the role of these organisms in the carbon and energy flow, and to detect and predict impacts of climate change. This study addresses for the first time the seasonal succession (February 2016 to April 2017) of the phytoplanktonic and protozoan communities of Scotia Bay (Laurie Island, South Orkney Islands) and covers the period of the largest negative anomaly in Antarctic sea ice coverage in the last 40 years and the lowest sea ice duration in the bay since 2012. The density and biomass of diatoms, dinoflagellates, silicoflagellates, pigmented and non-pigmented nanoflagellates, and ciliates were assessed in relation with physico-chemical and meteorological variables. Prevailing groups were diatoms in spring-summer, and nanoflagellates (pigmented and nonpigmented) and ciliates in autumn-winter. A marked contrast was found between February 2016 and February 2017 in coincidence with a time shift in the sea ice breakout (December 2015 vs. October 2016): February 2016 was dominated by diatoms (-250 mu gC l- 1), whereas the bulk of biomass in February 2017 was represented by dinoflagellates (-9 mu gC l- 1) and preceded in January by a massive bloom of the diatoms Odontella weissflogii, Eucampia antarctica, Thalassiosira tumida and Chaetoceros socialis (90% of total diatom biomass: -687 mu gC l- 1). The bloom occurred in association with an event of intense wind followed by days of relative calm. The strong 2015/2016 El Nin similar to o and a positive SAM coincided with a late 2015 sea ice breakout and a short productive period in Scotia Bay (January-March 2016), while the early breakout in 2016 occurred during a negative SAM and lead to a more extensive productive period (October 2016-January 2017). Future studies should cover interannual scales in order to understand feedbacks in the structure of microbial communities and environmental forces acting in normal and atypical conditions.</t>
  </si>
  <si>
    <t>[Trifoglio, Noelia L.; Salinas, Hector F. Olguin; Alder, Viviana A.] Univ Buenos Aires, Fac Ciencias Exactas, Nat Dept Ecol, Genet &amp; Evolucion, Buenos Aires, Argentina; [Trifoglio, Noelia L.; Alder, Viviana A.] Univ Buenos Aires, CONICET, Inst Ecol, Genet &amp; Evolucion, Buenos Aires, Argentina; [Franzosi, Claudio A.; Alder, Viviana A.] Inst Ant art Argentino, Direccio Nacl Ant MREC, 25 Mayo,San Martin, RA-1143 Buenos Aires, Argentina</t>
  </si>
  <si>
    <t>University of Buenos Aires; University of Buenos Aires; Consejo Nacional de Investigaciones Cientificas y Tecnicas (CONICET)</t>
  </si>
  <si>
    <t>Trifoglio, NL (corresponding author), Univ Buenos Aires, Fac Ciencias Exactas, Nat Dept Ecol, Genet &amp; Evolucion, Buenos Aires, Argentina.;Trifoglio, NL (corresponding author), Univ Buenos Aires, CONICET, Inst Ecol, Genet &amp; Evolucion, Buenos Aires, Argentina.</t>
  </si>
  <si>
    <t>trifoglio.19@gmail.com</t>
  </si>
  <si>
    <t>Trifoglio, Noelia Lorena/0000-0002-3756-3881; Alder, Viviana A./0000-0002-7375-3279</t>
  </si>
  <si>
    <t>Consejo Nacional de Investigaciones Cientificas y Tecnicas (CONICET), Argentina; FONCYT-IAA [PICTO 2010-0128]; Universidad de Buenos Aires (UBACYT) [20020170100664BA]</t>
  </si>
  <si>
    <t>Consejo Nacional de Investigaciones Cientificas y Tecnicas (CONICET), Argentina(Consejo Nacional de Investigaciones Cientificas y Tecnicas (CONICET)); FONCYT-IAA; Universidad de Buenos Aires (UBACYT)(University of Buenos Aires)</t>
  </si>
  <si>
    <t>We thank the anonymous reviewers whose comments and suggestions helped significantly to improve the manuscript. We are grateful to Instituto Antartico Argentino (IAA) and Direccion Nacional del Antartico for providing logistic support, and to the Orcadas Base personnel for their help during sampling. We also thank the Servicio Meteorologico Nacional and the Servicio de Hidrografia Naval (Argentina) for the meteorological and sea ice data provided, respectively. N.L.T was supported by a PhD fellowship of the Consejo Nacional de Investigaciones Cientificas y Tecnicas (CONICET), Argentina. The project was performed by funds assigned to V.A.A. by FONCYT-IAA (PICTO 2010-0128) and by the Universidad de Buenos Aires (UBACYT 20020170100664BA).</t>
  </si>
  <si>
    <t>10.1016/j.pocean.2022.102807</t>
  </si>
  <si>
    <t>1K7FJ</t>
  </si>
  <si>
    <t>WOS:000798762200002</t>
  </si>
  <si>
    <t>Weiss, R; Dura, T; Irish, JL</t>
  </si>
  <si>
    <t>Weiss, Robert; Dura, Tina; Irish, Jennifer L.</t>
  </si>
  <si>
    <t>Modeling Coastal Environmental Change and the Tsunami Hazard</t>
  </si>
  <si>
    <t>coastal systems response; tsunami; modeling; climate-change impacts; Monte Carlo</t>
  </si>
  <si>
    <t>The hazard from earthquake-generated tsunami waves is not only determined by the earthquake's magnitude and mechanisms, and distance to the earthquake area, but also by the geomorphology of the nearshore and onshore areas, which can change over time. In coastal hazard assessments, a changing coastal environment is commonly taken into account by increasing the sea-level to projected values (static). However, sea-level changes and other climate-change impacts influence the entire coastal system causing morphological changes near- and onshore (dynamic). We compare the run-up of the same suite of earthquake-generated tsunamis to a barrier island-marsh-lagoon-marsh system for statically adjusted and dynamically adjusted sea level and bathymetry. Sea-level projections from 2000 to 2100 are considered. The dynamical adjustment is based on a morphokinetic model that incorporates sea-level along with other climate-change impacts. We employ Representative Concentration Pathways 2.6 and 8.5 without and with treatment of Antarctic Ice-sheet processes (known as K14 and K17) as different sea-level projections. It is important to note that we do not account for the occurrence probability of the earthquakes. Our results indicate that the tsunami run-up hazard for the dynamic case is approximately three times larger than for the static case. Furthermore, we show that nonlinear and complex responses of the barrier island-marsh-lagoon-marsh system to climate change profoundly impacts the tsunami hazard, and we caution that the tsunami run-up is sensitive to climate-change impacts that are less well-studied than sea-level rise.</t>
  </si>
  <si>
    <t>[Weiss, Robert; Dura, Tina] Virginia Tech, Dept Geosci, Blacksburg, VA USA; [Weiss, Robert; Dura, Tina; Irish, Jennifer L.] Virginia Tech, Ctr Coastal Studies, Blacksburg, VA USA; [Irish, Jennifer L.] Virginia Tech, Dept Civil &amp; Environm Engn, Blacksburg, VA USA</t>
  </si>
  <si>
    <t>Virginia Polytechnic Institute &amp; State University; Virginia Polytechnic Institute &amp; State University; Virginia Polytechnic Institute &amp; State University</t>
  </si>
  <si>
    <t>Weiss, R (corresponding author), Virginia Tech, Dept Geosci, Blacksburg, VA USA.;Weiss, R (corresponding author), Virginia Tech, Ctr Coastal Studies, Blacksburg, VA USA.</t>
  </si>
  <si>
    <t>weiszr@vt.edu</t>
  </si>
  <si>
    <t>Weiss, Robert/0000-0002-7168-5401</t>
  </si>
  <si>
    <t>National Science Foundation [GLD-1630099, DGE-1735139]; U.S. Army Corps of Engineers through the U.S. Coastal Research Program [W912HZ -20-2-0005]</t>
  </si>
  <si>
    <t>National Science Foundation(National Science Foundation (NSF)); U.S. Army Corps of Engineers through the U.S. Coastal Research Program</t>
  </si>
  <si>
    <t>This material is based upon work supported in part by the National Science Foundation under Grants GLD-1630099 and DGE-1735139 and by the U.S. Army Corps of Engineers through the U.S. Coastal Research Program (under Grant No. W912HZ -20-2-0005.</t>
  </si>
  <si>
    <t>MAY 2</t>
  </si>
  <si>
    <t>10.3389/fmars.2022.871794</t>
  </si>
  <si>
    <t>1I0RB</t>
  </si>
  <si>
    <t>WOS:000796944000001</t>
  </si>
  <si>
    <t>Rahlff, J; Bornemann, TLV; Lopatina, A; Severinov, K; Probst, AJ</t>
  </si>
  <si>
    <t>Rahlff, Janina; Bornemann, Till L., V; Lopatina, Anna; Severinov, Konstantin; Probst, Alexander J.</t>
  </si>
  <si>
    <t>Host-Associated Phages Disperse across the Extraterrestrial Analogue Antarctica</t>
  </si>
  <si>
    <t>APPLIED AND ENVIRONMENTAL MICROBIOLOGY</t>
  </si>
  <si>
    <t>viruses; extreme environments; astrovirology; metagenomics; cryosphere; Ralstonia</t>
  </si>
  <si>
    <t>RALSTONIA-SOLANACEARUM; MICROBIAL CHARACTERIZATION; FILAMENTOUS BACTERIOPHAGE; COMMUNITY COMPOSITION; BACTERIAL POPULATION; VIRUSES; ALIGNMENT; GENOMES; ARCHAEA; RADIATION</t>
  </si>
  <si>
    <t>Extreme Antarctic conditions provide one of the closest analogues of extraterrestrial environments. Since air and snow samples, especially from polar regions, yield DNA amounts in the lower picogram range, binning of prokaryotic genomes is challenging and renders studying the dispersal of biological entities across these environments difficult. Here, we hypothesized that dispersal of host-associated bacteriophages (adsorbed, replicating, or prophages) across the Antarctic continent can be tracked via their genetic signatures, aiding our understanding of virus and host dispersal across long distances. Phage genome fragments (PGFs) reconstructed from surface snow metagenomes of three Antarctic stations were assigned to four host genomes, mainly Betaproteobacteria, including Ralstonia spp. We reconstructed the complete genome of a temperate phage with nearly complete alignment to a prophage in the reference genome of Ralstonia pickettii 12D. PGFs from different stations were related to each other at the genus level and matched similar hosts. Metagenomic read mapping and nucleotide polymorphism analysis revealed a wide dispersal of highly identical PGFs, 13 of which were detected in seawater from the Western Antarctic Peninsula at a distance of 5,338 km from the snow sampling stations. Our results suggest that host-associated phages, especially of Ralstonia sp., disperse over long distances despite the harsh conditions of the Antarctic continent. Given that 14 phages associated with two R. pickettii draft genomes isolated from space equipment were identified, we conclude that Ralstonia phages are ideal mobile genetic elements to track dispersal and contamination in ecosystems relevant for astrobiology. IMPORTANCE Host-associated phages of the bacterium Ralstonia identified in snow samples can be used to track microbial dispersal over thousands of kilometers across the Antarctic continent, which functions as an extraterrestrial analogue because of its harsh environmental conditions. Due to the presence of these bacteria carrying genome-integrated prophages on space-related equipment and the potential for dispersal of host-associated phages demonstrated here, our work has implications for planetary protection, a discipline in astrobiology interested in preventing contamination of celestial bodies with alien biomolecules or forms of life. Host-associated phages of the bacterium Ralstonia identified in snow samples can be used to track microbial dispersal over thousands of kilometers across the Antarctic continent, which functions as an extraterrestrial analogue because of its harsh environmental conditions. Due to the presence of these bacteria carrying genome-integrated prophages on space-related equipment and the potential for dispersal of host-associated phages demonstrated here, our work has implications for planetary protection, a discipline in astrobiology interested in preventing contamination of celestial bodies with alien biomolecules or forms of life.</t>
  </si>
  <si>
    <t>[Rahlff, Janina; Bornemann, Till L., V; Probst, Alexander J.] Univ Duisburg Essen, Dept Chem Environm Microbiol &amp; Biotechnol, Grp Aquat Microbial Ecol, Essen, Germany; [Lopatina, Anna] Natl Res Ctr Kurchatov Inst, Inst Mol Genet, Moscow, Russia; [Severinov, Konstantin] Skolkovo Inst Sci &amp; Technol, Moscow, Russia; [Probst, Alexander J.] Univ Duisburg Essen, Ctr Water &amp; Environm Res, Essen, Germany; [Rahlff, Janina] Linnaeus Univ, Ctr Ecol &amp; Evolut Microbial Model Syst, Dept Biol &amp; Environm Sci, EEMiS, SE-39182 Kalmar, Sweden</t>
  </si>
  <si>
    <t>University of Duisburg Essen; National Research Centre - Kurchatov Institute; Skolkovo Institute of Science &amp; Technology; University of Duisburg Essen; Linnaeus University</t>
  </si>
  <si>
    <t>Rahlff, J (corresponding author), Linnaeus Univ, Ctr Ecol &amp; Evolut Microbial Model Syst, Dept Biol &amp; Environm Sci, EEMiS, SE-39182 Kalmar, Sweden.</t>
  </si>
  <si>
    <t>Janina.rahlff@uol.de</t>
  </si>
  <si>
    <t>Rahlff, Janina/H-9952-2019; Lopatina, Anna/HNO-9719-2023; Lopatina, Anna/JAX-4118-2023</t>
  </si>
  <si>
    <t>Rahlff, Janina/0000-0002-2132-2709; Lopatina, Anna/0000-0002-3484-6819; Probst, Alexander J./0000-0002-9392-6544</t>
  </si>
  <si>
    <t>German Aerospace Center (DLR) [50WB1922]; German Science Foundation [DFG RA3432/1-1]; Ministerium fur Kultur und Wissenschaft des Landes NordrheinWestfalen (Nachwuchsgruppe Alexander Probst); Ministry of Science and Higher Education of Russian Federation [075-10-2021-114]</t>
  </si>
  <si>
    <t>German Aerospace Center (DLR)(Helmholtz AssociationGerman Aerospace Centre (DLR)); German Science Foundation(German Research Foundation (DFG)); Ministerium fur Kultur und Wissenschaft des Landes NordrheinWestfalen (Nachwuchsgruppe Alexander Probst); Ministry of Science and Higher Education of Russian Federation</t>
  </si>
  <si>
    <t>We acknowledge funding from the German Aerospace Center (DLR) for the project DISPERS (50WB1922). J.R. was partially supported by the German Science Foundation for the project VIBOCAT (grant number DFG RA3432/1-1). A.J.P. and T.L.V.B. were supported by the Ministerium fur Kultur und Wissenschaft des Landes NordrheinWestfalen (Nachwuchsgruppe Alexander Probst). K.S. lab was supported by the Ministry of Science and Higher Education of Russian Federation (agreement No. 075-10-2021-114).</t>
  </si>
  <si>
    <t>0099-2240</t>
  </si>
  <si>
    <t>1098-5336</t>
  </si>
  <si>
    <t>APPL ENVIRON MICROB</t>
  </si>
  <si>
    <t>Appl. Environ. Microbiol.</t>
  </si>
  <si>
    <t>10.1128/aem.00315-22</t>
  </si>
  <si>
    <t>Biotechnology &amp; Applied Microbiology; Microbiology</t>
  </si>
  <si>
    <t>1Q7ES</t>
  </si>
  <si>
    <t>Green Submitted, Green Published</t>
  </si>
  <si>
    <t>WOS:000792202600003</t>
  </si>
  <si>
    <t>Dorado-Roncancio, EF; Medellín-Mora, J; Mancera-Pineda, JE; Pizarro-Koch, M</t>
  </si>
  <si>
    <t>Fernando Dorado-Roncancio, Edgar; Medellin-Mora, Johanna; Ernesto Mancera-Pineda, Jose; Pizarro-Koch, Matias</t>
  </si>
  <si>
    <t>Copepods of the off-shore waters of Caribbean Colombian Sea and their response to oceanographic regulators</t>
  </si>
  <si>
    <t>JOURNAL OF THE MARINE BIOLOGICAL ASSOCIATION OF THE UNITED KINGDOM</t>
  </si>
  <si>
    <t>Caribbean oceanic ecoregion; copepods; epipelagic; mesopelagic; structure; water masses</t>
  </si>
  <si>
    <t>VERTICAL-DISTRIBUTION; MESOZOOPLANKTON DISTRIBUTION; ARABIAN SEA; ZOOPLANKTON; DISTRIBUTIONS; CIRCULATION; PATTERNS; SURFACE; MASSES; RATES</t>
  </si>
  <si>
    <t>Seven oceanographic expeditions were conducted between the years 2013 and 2018 to determine the horizontal and vertical distribution schemes in the epipelagic and mesopelagic copepod community structure of the Caribbean Oceanic ecoregion (CAO) and the oceanographic variables that regulate it. Four indicator species are suggested for the North Equatorial Current and the Caribbean Surface Water (CSW) mass (Clausocalanus furcatus, Oncaea venusta, Temora stylifera and T. turbinate) and two indicator species for deep-water masses such as the Western North Atlantic Central Water (NACW) and the Antarctic Intermediate Water (AAIW) (Mormonilla phasma and Conaea rapax). The copepod assemblage responds to local oceanographic patterns that are regulated (24%) by the variability of dissolved oxygen and temperature in the water column. The horizontal structure of the copepod assemblage in offshore waters presented a spatial sectorization. Three zones were differentiated: (1) oceanic Colombian zone; (2) influence of the Magdalena River zone; and (3) offshore north-east zone. Water mass mixing processes and migration mechanisms favour the homogeneity of the vertical assemblage of copepods in the CAO ecoregion. This study provides relevant information on the structure and density of copepod species, providing key information to describe the ecological processes and the different responses to the oceanographic factors that modulate them.</t>
  </si>
  <si>
    <t>[Fernando Dorado-Roncancio, Edgar] Univ Nacl Colombia, Programa Posgrados, Ciencias Biol, Linea Biol Marina, Santa Marta, Magdalena, Colombia; [Fernando Dorado-Roncancio, Edgar] Univ Nacl Colombia, Inst Estudios Ciencias Mar CECIMAR, Santa Marta, Magdalena, Colombia; [Fernando Dorado-Roncancio, Edgar] Inst Invest Marinas &amp; Costeras Colombia, INVEMAR, Programa Biodiversidad Ecosistemas Marinos, Santa Marta, Magdalena, Colombia; [Medellin-Mora, Johanna; Pizarro-Koch, Matias] Univ Concepcion, Fac Ciencias Nat &amp; Oceanog, Inst Milenio Oceanog IMO, Concepcion, Chile; [Medellin-Mora, Johanna; Pizarro-Koch, Matias] Univ Concepcion, Fac Ciencias Nat &amp; Oceanog, Dept Oceanog, Concepcion, Chile; [Medellin-Mora, Johanna] Univ Valparaiso, Fac Ciencias Mar &amp; Recursos Nat, Valparaiso, Chile; [Ernesto Mancera-Pineda, Jose] Univ Nacl Colombia, Fac Ciencias, Dept Biol, Bogota, Colombia; [Pizarro-Koch, Matias] Agencia Natl Invest &amp; Desarrollo ANID Millennium, Millennium Nucleus Understanding Coastal Upwellin, Coquimbo 1780000, Chile</t>
  </si>
  <si>
    <t>Universidad Nacional de Colombia; Universidad Nacional de Colombia; Universidad de Concepcion; Universidad de Concepcion; Universidad de Valparaiso; Universidad Nacional de Colombia</t>
  </si>
  <si>
    <t>Medellín-Mora, J (corresponding author), Univ Concepcion, Fac Ciencias Nat &amp; Oceanog, Inst Milenio Oceanog IMO, Concepcion, Chile.;Medellín-Mora, J (corresponding author), Univ Concepcion, Fac Ciencias Nat &amp; Oceanog, Dept Oceanog, Concepcion, Chile.;Medellín-Mora, J (corresponding author), Univ Valparaiso, Fac Ciencias Mar &amp; Recursos Nat, Valparaiso, Chile.</t>
  </si>
  <si>
    <t>johanna.medellin@imo-chile.cl</t>
  </si>
  <si>
    <t>Dorado-Roncancio, Edgar Fernando/0000-0002-0321-5416; Medellin-Mora, Johanna/0000-0003-4864-1694</t>
  </si>
  <si>
    <t>National Agency of Hydrocarbons of Colombia; Institute of Marine and Coastal Research -INVEMAR; Universidad Nacional de Colombia</t>
  </si>
  <si>
    <t>The cruises and this work were funded by the National Agency of Hydrocarbons of Colombia and the Institute of Marine and Coastal Research -INVEMAR. Additional funding has been provided by the Universidad Nacional de Colombia.</t>
  </si>
  <si>
    <t>0025-3154</t>
  </si>
  <si>
    <t>1469-7769</t>
  </si>
  <si>
    <t>J MAR BIOL ASSOC UK</t>
  </si>
  <si>
    <t>J. Mar. Biol. Assoc. U.K.</t>
  </si>
  <si>
    <t>PII S0025315422000133</t>
  </si>
  <si>
    <t>10.1017/S0025315422000133</t>
  </si>
  <si>
    <t>3D9NU</t>
  </si>
  <si>
    <t>WOS:000792221500001</t>
  </si>
  <si>
    <t>Liu, JM; Liu, WJ; Xing, S; Zhou, MY; Zhang, YC; Xia, XK; Wu, HK</t>
  </si>
  <si>
    <t>Liu, Jian-Min; Liu, Wen-Jie; Xing, Shu; Zhou, Ming-Yang; Zhang, Yong-Chun; Xia, Xue-Kui; Wu, Han-Kui</t>
  </si>
  <si>
    <t>BIOACTIVE COMPOUNDS FROM THE ANTARCTIC BACTERIUM Pseudomonas SP. A6-5</t>
  </si>
  <si>
    <t>CHEMISTRY OF NATURAL COMPOUNDS</t>
  </si>
  <si>
    <t>METABOLITES</t>
  </si>
  <si>
    <t>[Liu, Jian-Min; Liu, Wen-Jie; Xing, Shu; Zhou, Ming-Yang; Zhang, Yong-Chun] Qilu Univ Technol, Shandong Acad Sci, Sch Chem &amp; Chem Engn, Jinan 250353, Peoples R China; [Xia, Xue-Kui] Qilu Univ Technol, Biol Inst, Shandong Acad Sci, Jinan 250013, Peoples R China; [Wu, Han-Kui] Anyang Inst Technol, Sch Biotechnol &amp; Food Engn, Anyang 455000, Henan, Peoples R China</t>
  </si>
  <si>
    <t>Qilu University of Technology; Qilu University of Technology; Anyang Institute of Technology</t>
  </si>
  <si>
    <t>Zhou, MY (corresponding author), Qilu Univ Technol, Shandong Acad Sci, Sch Chem &amp; Chem Engn, Jinan 250353, Peoples R China.;Wu, HK (corresponding author), Anyang Inst Technol, Sch Biotechnol &amp; Food Engn, Anyang 455000, Henan, Peoples R China.</t>
  </si>
  <si>
    <t>myzhou@qlu.edu.cn; wuhankui222@126.com</t>
  </si>
  <si>
    <t>Zhang, Yongchun/Q-2364-2016; Zhou, Mingyang/JRY-7534-2023; xia, xue/HNR-4662-2023</t>
  </si>
  <si>
    <t>Zhou, Mingyang/0009-0001-8519-7118;</t>
  </si>
  <si>
    <t>National Natural Science Foundation of China [31400002]; Qilu University of Technology (Shandong Academy of Sciences) Joint Fund for Young Doctors [2017BSH2016, 2017BSH2017]; International Cooperation Fund [QLUTGJHZ2018002]; Natural Science Foundation of Shandong Province [ZR2017BH053]; Government Fund for Universities of Jinan City [2019GXRC021]</t>
  </si>
  <si>
    <t>National Natural Science Foundation of China(National Natural Science Foundation of China (NSFC)); Qilu University of Technology (Shandong Academy of Sciences) Joint Fund for Young Doctors; International Cooperation Fund; Natural Science Foundation of Shandong Province(Natural Science Foundation of Shandong Province); Government Fund for Universities of Jinan City</t>
  </si>
  <si>
    <t>We thank the National Natural Science Foundation of China [Grant No. 31400002]; Qilu University of Technology (Shandong Academy of Sciences) Joint Fund for Young Doctors [Grant Nos. 2017BSH2016 and 2017BSH2017] and International Cooperation Fund (QLUTGJHZ2018002); Natural Science Foundation of Shandong Province [Grant No. ZR2017BH053] and Government Fund for Universities of Jinan City [Grant No. 2019GXRC021].</t>
  </si>
  <si>
    <t>0009-3130</t>
  </si>
  <si>
    <t>1573-8388</t>
  </si>
  <si>
    <t>CHEM NAT COMPD+</t>
  </si>
  <si>
    <t>Chem. Nat. Compd.</t>
  </si>
  <si>
    <t>MAR</t>
  </si>
  <si>
    <t>10.1007/s10600-022-03684-z</t>
  </si>
  <si>
    <t>Chemistry, Medicinal; Chemistry, Organic</t>
  </si>
  <si>
    <t>Pharmacology &amp; Pharmacy; Chemistry</t>
  </si>
  <si>
    <t>1I1CO</t>
  </si>
  <si>
    <t>WOS:000789721800014</t>
  </si>
  <si>
    <t>Ferris, L; Gong, DL; Merrifield, S; St Laurent, L</t>
  </si>
  <si>
    <t>Ferris, Laur; Gong, Donglai; Merrifield, Sophia; St Laurent, Louis</t>
  </si>
  <si>
    <t>Contamination of Finescale Strain Estimates of Turbulent Kinetic Energy Dissipation by Frontal Physics</t>
  </si>
  <si>
    <t>JOURNAL OF ATMOSPHERIC AND OCEANIC TECHNOLOGY</t>
  </si>
  <si>
    <t>Instability; Turbulence; Waves; oceanic; Fronts</t>
  </si>
  <si>
    <t>INTERNAL WAVES; SHEAR; PARAMETERIZATIONS; CIRCULATION; TOPOGRAPHY; OVERTURNS; SPECTRA; THORPE; IMPACT; SCALE</t>
  </si>
  <si>
    <t>Finescale strain parameterization (FSP) of turbulent kinetic energy dissipation rate has become a widely used method for observing ocean mixing, solving a coverage problem where direct turbulence measurements are absent but CTD profiles are available. This method can offer significant value, but there are limitations in its broad application to the global ocean. FSP often fails to produce reliable results in frontal zones where temperature-salinity (T/S) intrusive features contaminate the CTD strain spectrum, as well as where the aspect ratio of the internal wave spectrum is known to vary greatly with depth, as frequently occurs in the Southern Ocean. In this study we use direct turbulence measurements from Diapycnal and Isopycnal Mixing Experiment in the Southern Ocean (DIMES) and glider microstructure measurements from Autonomous Sampling of Southern Ocean Mixing (AUSSOM) to show that FSP can have large biases (compared to direct turbulence measurement) below the mixed layer when physics associated with T/S fronts are meaningfully present. We propose that the FSP methodology be modified to 1) include a density ratio (R-rho)-based data exclusion rule to avoid contamination by double diffusive instabilities in frontal zones such as the Antarctic Circumpolar Current, the Gulf Stream, and the Kuroshio, and 2) conduct (or leverage available) microstructure measurements of the depth-varying shear-to-strain ratio R-omega(z) prior to performing FSP in each dynamically unique region of the global ocean. SIGNIFICANCE STATEMENT: Internal waves travel through the ocean and collide, turbulently mixing the interior ocean and homogenizing its waters. In the absence of actual turbulence measurements, oceanographers count the ripples associated with these internal waves and use them estimate the amount of turbulence that will transpire from their collisions. In this paper we show that the ripples in temperature and salinity that naturally occur at sharp fronts masquerade as internal waves and trick oceanographers into thinking there is up to 100 000 000 times more turbulence than there actually is in these frontal regions.</t>
  </si>
  <si>
    <t>[Ferris, Laur; Gong, Donglai] William &amp; Mary, Virginia Inst Marine Sci, Dept Phys Sci, Gloucester Point, VA 23062 USA; [Merrifield, Sophia] Univ Calif San Diego, Scripps Inst Oceanog, Marine Phys Lab, La Jolla, CA USA; [Ferris, Laur; St Laurent, Louis] Univ Washington, Appl Phys Lab, Environm &amp; Informat Syst, Seattle, WA 98105 USA</t>
  </si>
  <si>
    <t>William &amp; Mary; Virginia Institute of Marine Science; University of California System; University of California San Diego; Scripps Institution of Oceanography; University of Washington; University of Washington Seattle</t>
  </si>
  <si>
    <t>Ferris, L (corresponding author), William &amp; Mary, Virginia Inst Marine Sci, Dept Phys Sci, Gloucester Point, VA 23062 USA.;Ferris, L (corresponding author), Univ Washington, Appl Phys Lab, Environm &amp; Informat Syst, Seattle, WA 98105 USA.</t>
  </si>
  <si>
    <t>lferris@apl.washington.edu</t>
  </si>
  <si>
    <t>Gong, Donglai/0000-0002-1697-1739; Ferris, Laur/0000-0001-6446-9340</t>
  </si>
  <si>
    <t>OCE Division of the National Science Foundation (NSF)</t>
  </si>
  <si>
    <t>OCE Division of the National Science Foundation (NSF)(National Science Foundation (NSF))</t>
  </si>
  <si>
    <t>This paper is VIMS Contribution No. 4065. Computational resources were provided by the VIMS Ocean-Atmosphere and Climate Change Research Fund. AUSSOM was supported by the OCE Division of the National Science Foundation (NSF); we thank the crew of the R/V Gould for their support during the field program, and Justin Shapiro for glider recovery. DIMES US5 was supported by NSF; we thank the crews on the R/V Palmer. Argo data were collected and made freely available by the Coriolis project and contributive programs (http://www.coriolis.eu.org).</t>
  </si>
  <si>
    <t>0739-0572</t>
  </si>
  <si>
    <t>1520-0426</t>
  </si>
  <si>
    <t>J ATMOS OCEAN TECH</t>
  </si>
  <si>
    <t>J. Atmos. Ocean. Technol.</t>
  </si>
  <si>
    <t>10.1175/JTECH-D-21-0088.1</t>
  </si>
  <si>
    <t>Engineering, Ocean; Meteorology &amp; Atmospheric Sciences</t>
  </si>
  <si>
    <t>Engineering; Meteorology &amp; Atmospheric Sciences</t>
  </si>
  <si>
    <t>6Y3DI</t>
  </si>
  <si>
    <t>Green Submitted, Bronze</t>
  </si>
  <si>
    <t>WOS:000896978300006</t>
  </si>
  <si>
    <t>Hordyniec, P; Norman, R; Le Marshall, J</t>
  </si>
  <si>
    <t>Hordyniec, Pawel; Norman, Robert; Le Marshall, John</t>
  </si>
  <si>
    <t>Vertical Atmospheric Structures Associated with Positive Biases in COSMIC-2 Refractivity Retrievals</t>
  </si>
  <si>
    <t>Atmosphere; Subtropics; Tropics; Troposphere; Occultation; Radiosonde/rawinsonde observations; Remote sensing; Satellite observations</t>
  </si>
  <si>
    <t>GPS RADIO OCCULTATION; UNCERTAINTY; PROFILES</t>
  </si>
  <si>
    <t>Representation of complex vertical structures observed in the troposphere can vary depending on data sources. The radio occultation (RO) technique offers great advantages for sensing the atmosphere down to its lowermost layers using high-resolution measurements collected by satellites on low-Earth orbit (LEO). The structures are generally smoother in vertical when reproduced from atmospheric models. We evaluate the quality of troposphere retrievals from the COSMIC-2 mission and demonstrate that systematic effects in fractional refractivity deviations with respect to European Centre for Medium-Range Weather Forecasts (ECMWF) background fields are spatially correlated with positive refractivity gradients characterized as subrefraction. The magnitude of refractivity biases observed mostly over the equatorial regions can exceed 1% within altitudes of 3-5 km. Respective zonal means reveal seasonal trends linked with the distribution of atmospheric inversion layers and signal-to-noise ratio values in RO data. The positive biases are vertically collocated with significant refractivity gradients in COSMIC-2 retrievals that are not reflected in the corresponding ECMWF profiles. The analysis of gradients based on COSMIC-2 data, further supported by radiosonde observations, suggests that most of subrefractions is identified in the middle troposphere at around 4 km. While the altitudes of maximum refractivity gradients from COSMIC-2 and ECMWF data are in fairly good agreement, the magnitude of ECMWF gradients is significantly smaller and rarely exceeds positive values.</t>
  </si>
  <si>
    <t>[Hordyniec, Pawel] RMIT Univ, Satellite Positioning Atmosphere Climate &amp; Enviro, Melbourne, Vic, Australia; [Norman, Robert] SERC Ltd, Weston, ACT, Australia; [Le Marshall, John] Bur Meteorol, Melbourne, Vic, Australia; [Hordyniec, Pawel] Wroclaw Univ Environm &amp; Life Sci, Inst Geodesy &amp; Geoinformat, Wroclaw, Poland</t>
  </si>
  <si>
    <t>Melbourne Genomics Health Alliance; Royal Melbourne Institute of Technology (RMIT); Bureau of Meteorology - Australia; Wroclaw University of Environmental &amp; Life Sciences; Institute of Geodesy &amp; Cartography</t>
  </si>
  <si>
    <t>Hordyniec, P (corresponding author), RMIT Univ, Satellite Positioning Atmosphere Climate &amp; Enviro, Melbourne, Vic, Australia.;Hordyniec, P (corresponding author), Wroclaw Univ Environm &amp; Life Sci, Inst Geodesy &amp; Geoinformat, Wroclaw, Poland.</t>
  </si>
  <si>
    <t>pawel.hordyniec@upwr.edu.pl</t>
  </si>
  <si>
    <t>Hordyniec, Pawel/Q-9906-2016</t>
  </si>
  <si>
    <t>Hordyniec, Pawel/0000-0002-2404-3422</t>
  </si>
  <si>
    <t>Australian Antarctic Program [4469]</t>
  </si>
  <si>
    <t>Australian Antarctic Program</t>
  </si>
  <si>
    <t>This work has been supported by the Australian Antarctic Program-Grant 4469. We thank UCAR and NSPO for providing access to FORMOSAT-7/ COSMIC-2 neutral atmosphere provisional data release 1. This study was carried out within the Memorandum of Understanding between Wroclaw University of Environmental and Life Sciences and National Space Organization, National Applied Research Laboratories on Cooperative Research on GNSS Science and Application. The constructive and detailed comments on this manuscript by two anonymous reviewers are greatly acknowledged.</t>
  </si>
  <si>
    <t>10.1175/JTECH-D-21-0026.1</t>
  </si>
  <si>
    <t>WOS:000896978300011</t>
  </si>
  <si>
    <t>Liu, R; Wang, GH; Chapman, C; Chen, CL</t>
  </si>
  <si>
    <t>Liu, Ran; Wang, Guihua; Chapman, Christopher; Chen, Changlin</t>
  </si>
  <si>
    <t>The Attenuation Effect of Jet Filament on the Eastward Mesoscale Eddy Lifetime in the Southern Ocean</t>
  </si>
  <si>
    <t>Southern Ocean; Eddies; Fronts; Mesoscale processes</t>
  </si>
  <si>
    <t>ANTARCTIC CIRCUMPOLAR CURRENT; OVERTURNING CIRCULATION; MEAN FLOW; PART II; TRANSPORT; EDDIES; VARIABILITY; PACIFIC; FRONTS; IDENTIFICATION</t>
  </si>
  <si>
    <t>The interaction between the Antarctic Circumpolar Current (ACC) jets and mesoscale eddies plays a prominent role in the dynamics of the ACC. However, few studies have investigated the influence of the jets on the statistics of the mesoscale turbulence field. This study combines a mesoscale eddy detection algorithm with the jet-detection technique to extract their interaction in the Southern Ocean from 1993 to 2016. It is found that stronger jet filaments can effectively shorten eddy lifetime, thus introducing a negative correlation between eddy lifetime and matched jet filament velocities. It can also be seen along the pathway of the ACC whether the eddy is located upstream or downstream of topography. A series of numerical experiments suggest that the stronger zonal jet plays the role of a waveguide to facilitate the stronger and faster eastward linear Rossby wave field induced by the mesoscale eddy. A stronger eastward Rossby wave phase speed, enabled by the jet-induced Doppler shift, results in a more rapid loss of eddy energy and shortens the eddy lifetime.</t>
  </si>
  <si>
    <t>[Liu, Ran; Wang, Guihua; Chen, Changlin] Fudan Univ, Dept Atmospher &amp; Ocean Sci, Shanghai, Peoples R China; [Liu, Ran; Wang, Guihua; Chen, Changlin] Fudan Univ, Inst Atmospher Sci, Shanghai, Peoples R China; [Chen, Changlin] Southern Lab Ocean Sci &amp; Engn Guangdong Zhuhai, Zhuhai, Peoples R China; [Chapman, Christopher] CSIRO Oceans &amp; Atmosphere, Hobart Marine Labs, Hobart, Tas, Australia; [Chapman, Christopher] Ctr Southern Hemisphere Oceans Res, Hobart, Tas, Australia; [Wang, Guihua] Fudan Univ, CMA FDU Joint Lab Marine Meteorol, Shanghai, Peoples R China</t>
  </si>
  <si>
    <t>Fudan University; Fudan University; Commonwealth Scientific &amp; Industrial Research Organisation (CSIRO); Fudan University</t>
  </si>
  <si>
    <t>Wang, GH (corresponding author), Fudan Univ, Dept Atmospher &amp; Ocean Sci, Shanghai, Peoples R China.;Wang, GH (corresponding author), Fudan Univ, Inst Atmospher Sci, Shanghai, Peoples R China.;Wang, GH (corresponding author), Fudan Univ, CMA FDU Joint Lab Marine Meteorol, Shanghai, Peoples R China.</t>
  </si>
  <si>
    <t>wanggh@fudan.edu.cn</t>
  </si>
  <si>
    <t>Wang, Guihua/B-4458-2010; Chapman, Christopher/AAV-2844-2021; Liu, Ran/GVT-4168-2022</t>
  </si>
  <si>
    <t>Chapman, Christopher/0000-0002-0877-4778;</t>
  </si>
  <si>
    <t>National Natural Science Foundation of China [42030405, 41976003]; National Key Research and Development Program of China [2019YFC1510100]; Research Promotion Program for Distinguished Doctoral Candidates</t>
  </si>
  <si>
    <t>National Natural Science Foundation of China(National Natural Science Foundation of China (NSFC)); National Key Research and Development Program of China; Research Promotion Program for Distinguished Doctoral Candidates</t>
  </si>
  <si>
    <t>This work is supported by the National Natural Science Foundation of China (42030405; 41976003), and the National Key Research and Development Program of China (2019YFC1510100). Comments from three anonymous reviewers, and the editor greatly improved the manuscript. R. Liu also acknowledges support from the Research Promotion Program for Distinguished Doctoral Candidates. The SLA data are from http://marine.copernicus.eu/.The jet filament identification method codes are downloaded from https://github.com/ChrisC28/WHOSE_ Jet_Detection_V2. The automatic eddy identification routine codes are downloaded from https://github.com/jfaghm/OceanEddies.</t>
  </si>
  <si>
    <t>10.1175/JPO-D-21-0030.1</t>
  </si>
  <si>
    <t>5N6CP</t>
  </si>
  <si>
    <t>WOS:000871876600003</t>
  </si>
  <si>
    <t>Montiel, F; Kohout, AL; Roach, LA</t>
  </si>
  <si>
    <t>Montiel, Fabien; Kohout, Alison L.; Roach, Lettie A.</t>
  </si>
  <si>
    <t>Physical Drivers of Ocean Wave Attenuation in the Marginal Ice Zone</t>
  </si>
  <si>
    <t>Sea ice; Waves; oceanic; In situ oceanic observations</t>
  </si>
  <si>
    <t>ANTARCTIC SEA-ICE; GLOBAL TRENDS; WIND-SPEED; PANCAKE; MODEL; SPECTRA; CLIMATE; BREAKUP</t>
  </si>
  <si>
    <t>Despite a recent resurgence of observational studies attempting to quantify the ice-induced attenuation of ocean waves in polar oceans, the physical processes governing this phenomenon are still poorly understood. Most analyses have attempted to relate the spatial rate of wave attenuation to wave frequency, but have not considered how this relationship depends on ice, wave, and atmospheric conditions. An in-depth analysis of the wave-buoy data collected during the 2017 Polynyas, Ice Production, and Seasonal Evolution in the Ross Sea (PIPERS) program in the Ross Sea is conducted. Standard techniques are used to estimate the spatial rate of wave attenuation a, and the influence of a number of potential physical drivers on its dependence on wave period T is investigated. A power law is shown to consistently describe the a(T) relationship, in line with other recent analyses. The two parameters describing this relationship are found to depend significantly on sea ice concentration, mean wave period, and wind direction, however. Looking at cross correlations between these physical drivers, three regimes of ice-induced wave attenuation are identified, which characterize different ice, wave, and wind conditions, and very possibly different processes causing this observed attenuation. This analysis suggests that parameterization of ice-induced wave decay in spectral wave models should be piecewise, so as to include their dependence on local ice, wave, and wind conditions.</t>
  </si>
  <si>
    <t>[Montiel, Fabien] Univ Otago, Dept Math &amp; Stat, Dunedin, New Zealand; [Kohout, Alison L.] Natl Inst Water &amp; Atmospher Res, Christchurch, New Zealand; [Roach, Lettie A.] Univ Washington, Dept Atmospher Sci, Seattle, WA 98195 USA; [Roach, Lettie A.] NASA, Goddard Inst Space Studies, New York, NY 10025 USA; [Roach, Lettie A.] Columbia Univ, Ctr Climate Syst Res, New York, NY USA</t>
  </si>
  <si>
    <t>University of Otago; National Institute of Water &amp; Atmospheric Research (NIWA) - New Zealand; University of Washington; University of Washington Seattle; National Aeronautics &amp; Space Administration (NASA); NASA Goddard Space Flight Center; Goddard Institute for Space Studies; Columbia University</t>
  </si>
  <si>
    <t>Montiel, F (corresponding author), Univ Otago, Dept Math &amp; Stat, Dunedin, New Zealand.</t>
  </si>
  <si>
    <t>fabien.montiel@otago.ac.nz</t>
  </si>
  <si>
    <t>Roach, Lettie/HKV-2511-2023</t>
  </si>
  <si>
    <t>Roach, Lettie/0000-0003-4189-3928</t>
  </si>
  <si>
    <t>New Zealand's Deep South National Science Challenge Targeted Observation and Process-Informed Modelling of Antarctic Sea Ice [C01X1445]; Royal Society Te Aparangi (Marsden Fund) [18UOO-216, 20-UOO-173]; New Zealand's Antarctic Science Platform [4]; New Zealand Ministry of Business, Innovation and Employment under Science Investment [C01X1914]; U.S. National Science Foundation [OPP-1643431]; New Zealand Ministry of Business, Innovation &amp; Employment (MBIE) [C01X1914, C01X1445] Funding Source: New Zealand Ministry of Business, Innovation &amp; Employment (MBIE); Royal Society of New Zealand [20-UOO-173] Funding Source: Royal Society of New Zealand</t>
  </si>
  <si>
    <t>New Zealand's Deep South National Science Challenge Targeted Observation and Process-Informed Modelling of Antarctic Sea Ice; Royal Society Te Aparangi (Marsden Fund); New Zealand's Antarctic Science Platform; New Zealand Ministry of Business, Innovation and Employment under Science Investment; U.S. National Science Foundation(National Science Foundation (NSF)); New Zealand Ministry of Business, Innovation &amp; Employment (MBIE)(New Zealand Ministry of Business, Innovation and Employment (MBIE)); Royal Society of New Zealand(Royal Society of New Zealand)</t>
  </si>
  <si>
    <t>We thank Steve Ackley and the captain and crew of RV Nathaniel B. Palmer for their assistance in deploying the waves-in-ice instruments. The authors acknowledge the preliminary analysis of the PIPERS data conducted by Timo Milne (summer student working with FM). The work was funded through New Zealand's Deep South National Science Challenge Targeted Observation and Process-Informed Modelling of Antarctic Sea Ice (contract C01X1445). FM also acknowledges financial support from Royal Society Te Aparangi (Marsden Fund projects 18UOO-216 and 20-UOO-173) and the New Zealand's Antarctic Science Platform (Project 4). LR was supported by New Zealand Ministry of Business, Innovation and Employment under Science Investment Contract C01X1914 and U.S. National Science Foundation Grant OPP-1643431.</t>
  </si>
  <si>
    <t>10.1175/JPO-D-21-0240.1</t>
  </si>
  <si>
    <t>WOS:000871876600008</t>
  </si>
  <si>
    <t>Aburto, PB; Ruiz, VB; Aguilar, MC; Cárdenas, RA; Gallardo, AA; Núñez-Espinosa, C</t>
  </si>
  <si>
    <t>Barria Aburto, Patricio; Barria Ruiz, Vanessa; Castillo Aguilar, Matias; Aguilar Cardenas, Rolando; Andrade Gallardo, Asterio; Nunez-Espinosa, Cristian</t>
  </si>
  <si>
    <t>Functional characterization of patients with cerebral palsy living in the Magallanes region and the Chilean Antarctic</t>
  </si>
  <si>
    <t>ANDES PEDIATRICA</t>
  </si>
  <si>
    <t>Cerebral Palsy; Rehabilitation; Functional Status; Muscle Spasticity; Neurological Rehabilitation</t>
  </si>
  <si>
    <t>ABILITY CLASSIFICATION-SYSTEM; GROSS MOTOR FUNCTION; MANUAL ABILITY; COMMUNICATION FUNCTION; DRINKING ABILITY; CHILDREN; VALIDITY; PEOPLE; SKILLS; MACS</t>
  </si>
  <si>
    <t>Objective: To functionally characterize patients with Cerebral Palsy (CP) living in the Magallanes Region and the Chilean Antarctic. Patient and Method: Descriptive-retrospective observational study of patients with cerebral palsy, registered in the Outpatient Rehabilitation Program of the Corporacion de Rehabilitacion Club de Leones Cruz del Sur de Punta Arenas between 1986 and 2018. Patients with CP were clinically categorized and then functionally characterized according to gross motor skills (GMFCS), manual ability (MACS), feeding ability (EDACS), and communication function (CFCS). Results: 106 patients were included. Regarding the clinical classification, the most common type of CP was bilateral spastic paralysis, with the highest percentage of functional involvement in each of the evaluated areas, followed by unilateral spastic paralysis, while cases of dystonic CP and other non-classifiable types presented were less frequent. According to the clinical subclassification, spastic diplegia was more frequent, especially affecting manual and communication skills level I compared with hemiplegia, while cases of mixed and unclassifiable quadriplegia were less frequent with greater overall involvement of level I feeding skills. Conclusion: The observed results of CP in the Magallanes Region and the Chilean Antarctic are similar to studies available in the literature. The complete evaluation and classification of patients with CP enable a better understanding of the pathology for future studies.</t>
  </si>
  <si>
    <t>[Barria Aburto, Patricio; Andrade Gallardo, Asterio] Corp Rehabil Cruz Sur, Unidad Invest, Kinesiol, Punta Arenas, Chile; [Barria Aburto, Patricio; Barria Ruiz, Vanessa] Univ Miguel Hernandez Elche, Brain Machine Interface Syst Lab, Elche, Spain; [Castillo Aguilar, Matias] Univ Magallanes, Kinesiol, Punta Arenas, Chile; [Aguilar Cardenas, Rolando] Univ Magallanes, Dept Ingn, Punta Arenas, Chile; [Nunez-Espinosa, Cristian] Univ Magallanes, Escuela Med, Punta Arenas, Chile; [Castillo Aguilar, Matias; Nunez-Espinosa, Cristian] Univ Magallanes, Ctr Asistencial Docente &amp; Invest, Punta Arenas, Chile; [Nunez-Espinosa, Cristian] Interuniv Ctr Hlth Aging, Punta Arenas, Chile</t>
  </si>
  <si>
    <t>Universidad Miguel Hernandez de Elche; Universidad de Magallanes; Universidad de Magallanes; Universidad de Magallanes; Universidad de Magallanes</t>
  </si>
  <si>
    <t>Núñez-Espinosa, C (corresponding author), Univ Magallanes, Escuela Med, Punta Arenas, Chile.;Núñez-Espinosa, C (corresponding author), Univ Magallanes, Ctr Asistencial Docente &amp; Invest, Punta Arenas, Chile.;Núñez-Espinosa, C (corresponding author), Interuniv Ctr Hlth Aging, Punta Arenas, Chile.</t>
  </si>
  <si>
    <t>cristian.nunez@umag.cl</t>
  </si>
  <si>
    <t>Núñez-Espinosa, Cristian A/ADF-6181-2022</t>
  </si>
  <si>
    <t>Núñez-Espinosa, Cristian A/0000-0002-9896-7062</t>
  </si>
  <si>
    <t>SOC CHILENA PEDIATRIA</t>
  </si>
  <si>
    <t>SANTIAGO</t>
  </si>
  <si>
    <t>ALCALDE EDUARDO CASTILLO VELASCO 1838, NUNOA, CASILLA 593-11, SANTIAGO, 00000, CHILE</t>
  </si>
  <si>
    <t>2452-6053</t>
  </si>
  <si>
    <t>Andes. Pediat.</t>
  </si>
  <si>
    <t>10.32641/andespediatr.v93i3.3636</t>
  </si>
  <si>
    <t>Pediatrics</t>
  </si>
  <si>
    <t>5C1GM</t>
  </si>
  <si>
    <t>WOS:000864014500002</t>
  </si>
  <si>
    <t>Kuklin, VV</t>
  </si>
  <si>
    <t>Kuklin, V. V.</t>
  </si>
  <si>
    <t>BIOGEOGRAPHIC ASPECTS OF THE HELMINTHES RECORDED FROMBARENTS SEA BIRDS: SPATIAL DISTRIBUTION AND HOST-RANGE</t>
  </si>
  <si>
    <t>ZOOLOGICHESKY ZHURNAL</t>
  </si>
  <si>
    <t>Russian</t>
  </si>
  <si>
    <t>parasitic worms; seabirds; biodiversity; faunogenesis; Arctic</t>
  </si>
  <si>
    <t>POPULATION GENETIC-STRUCTURE; INTERMEDIATE HOST; LIFE-CYCLES; SP-N; SOMATERIA-MOLLISSIMA; PARASITIC HELMINTHS; LARUS-ARGENTATUS; NORTH PACIFIC; HERRING GULL; GYMNOPHALLID TREMATODES</t>
  </si>
  <si>
    <t>Biogeographic patterns and host-ranges of helminth parasites which circulate in marine ecosystems and have been recorded in birds from the Barents Sea are analyzed. Of all 53 parasitic species revealed, only the tapeworm, Tetrabothrius morschtini is endemic to the Barents Sea, whereas 52 helminth species have been found in the North Atlantic, 48 species in the North Pacific, 6 species each in the South Atlantic and the Australian-New Zealand region, 5 species in the Antarctic, 4 species in the South Pacific, and 3 species in the Indian Ocean basin. These parasites are shown to be characterized by two main types of spatial distribution. Amphiboreal distributions of most parasites seem to have originated in consequence of trans-Arctic dispersals of many intermediate and definitive hosts in the Pliocene after the opening of the Bering Strait and the dispersion of their eggs by seabirds during the warm interglacial periods in the Pleistocene. Bipolar distributions of some parasites might have been caused by transfers by the final hosts after species divergence in the Holarctic and the relocation of new species to the Southern Hemisphere (for example the Kelp Gull, Larus dominicanus) or during seasonal migrations (for example, sandpipers and terns). Some helminth species could have possibly migrated with definitive hosts from the Antarctic region to the Holarctic. The roles played by different factors in the distributions of parasite-host assemblages (such as the mobility of the final hosts, the presence of intermediate hosts, the lifespan of the adult stages of helminthes and host switching) are discussed.</t>
  </si>
  <si>
    <t>[Kuklin, V. V.] Russian Acad Sci, Murmansk Marine Biol Inst, Murmansk 183010, Russia</t>
  </si>
  <si>
    <t>Russian Academy of Sciences</t>
  </si>
  <si>
    <t>Kuklin, VV (corresponding author), Russian Acad Sci, Murmansk Marine Biol Inst, Murmansk 183010, Russia.</t>
  </si>
  <si>
    <t>VV_Kuklin@mail.ru</t>
  </si>
  <si>
    <t>MAIK NAUKA-INTERPERIODICA PUBL</t>
  </si>
  <si>
    <t>MOSCOW</t>
  </si>
  <si>
    <t>GSP-1, MARONOVSKII PER 26, MOSCOW, 119049, RUSSIA</t>
  </si>
  <si>
    <t>0044-5134</t>
  </si>
  <si>
    <t>ZOOL ZH</t>
  </si>
  <si>
    <t>Zool. Zhurnal</t>
  </si>
  <si>
    <t>10.31857/S0044513422030072</t>
  </si>
  <si>
    <t>4J1RA</t>
  </si>
  <si>
    <t>WOS:000851046600002</t>
  </si>
  <si>
    <t>Amenábar, CR; Guerstein, GR; Alperin, MI; Palma, ED; Casadío, S; Belgaburo, A; Raising, MR</t>
  </si>
  <si>
    <t>Amenabar, Cecilia R.; Guerstein, G. Raquel; Alperin, Marta, I; Palma, Elbio D.; Casadio, Silvio; Belgaburo, Alexandra; Rodriguez Raising, Martin</t>
  </si>
  <si>
    <t>Eocene palaeoenvironments and palaeoceanography of areas adjacent to the Drake Passage: insights from dinoflagellate cyst analysis</t>
  </si>
  <si>
    <t>PALAEONTOLOGY</t>
  </si>
  <si>
    <t>dinoflagellate cyst; Eocene; chronostratigraphy; compositional data analysis; surface ocean circulation; Drake Passage</t>
  </si>
  <si>
    <t>TIERRA-DEL-FUEGO; SEYMOUR ISLAND; MIDDLE EOCENE; ANTARCTIC PENINSULA; CARBON-DIOXIDE; SOUTHERN-OCEAN; AUSTRAL BASIN; ICE-SHEET; PALEOGENE; CLIMATE</t>
  </si>
  <si>
    <t>A proper understanding of the palaeoceanographic evolution of the Drake Passage during the Palaeogene is hampered by the lack of precise tools to date and correlate the sedimentary units of areas adjacent to the region. In this work, considering recently published radiometric U-Pb dates, we revised the age of a previous dinoflagellate zones for the middle to upper Eocene units of the Austral-Magallanes Basin. The quantitative analysis of middle to late Eocene dinoflagellate cyst assemblages from different localities close to the Drake Passage allowed us to reconstruct the palaeoenvironmental conditions and the possible surface ocean currents during this time in the area. Assemblages dated between 41.3 and 38.1 Ma represent relatively warm waters in inner shelf settings, while those ranged between 36 and 35 Ma reflect coastal areas with cool, nutrient-rich surface waters. The proposed surface ocean circulation pattern, based on dinoflagellate cysts distribution between 41.3 and 38.1 Ma, agrees with the results of a palaeoclimatic numerical model simulation performed with a Drake Passage shallow opening of 100 m depth. At c. 36 Ma, several Antarctic gonyaulacacean taxa tolerant to relatively warmer waters were replaced by some Antarctic peridinacean species better adapted to colder conditions. This change could be linked to a progressive deepening of the Drake Passage that is estimated to have reached 1000 m depth promoting a cooling in the South Atlantic. Such passage depth would have enabled stronger flows from the Pacific to the Atlantic Ocean, which is reflected by the increase of cosmopolitan species.</t>
  </si>
  <si>
    <t>[Amenabar, Cecilia R.] Univ Buenos Aires FCEN UBA, Consejo Nacl Invest Cient &amp; Tecn IDEAN CONICET, Inst Estudios Andinos Don Pablo Groeber, Dept Ciencias Geol,Fac Ciencias Exactas &amp; Nat, Ciudad Univ,Intendente Guiraldes 2160, RA-1428 Buenos Aires, DF, Argentina; [Amenabar, Cecilia R.] Inst Antartico Argentino, 25 Mayo 1143, San Martin, Buenos Aires, Argentina; [Guerstein, G. Raquel] Univ Nacl Sur, INGEOSUR CONICET UNS, Dept Geol, Avda Alem 1253,Cuerpo B Piso 2, RA-8000 Bahia Blanca, Buenos Aires, Argentina; [Alperin, Marta, I] Univ Nacl La Plata, Fac Ciencias Nat &amp; Museo, Calle 64 S-N E 120 &amp; Diag 113, RA-1900 La Plata, Argentina; [Palma, Elbio D.] Univ Nacl Sur, Dept Fis, Avda Alem 1253, RA-8000 Bahia Blanca, Buenos Aires, Argentina; [Palma, Elbio D.] IADO CONICET, Inst Argentino Oceanog, Avda Alem 1253, RA-8000 Bahia Blanca, Buenos Aires, Argentina; [Casadio, Silvio] Univ Nacl Rio Negro, Inst Invest Paleobiol &amp; Geol, Ave Roca 1242, RA-8332 Roca, Rio Negro, Argentina; [Belgaburo, Alexandra] Geologgia Ltda, Barros Arana 492,Oficina 78, Concepcion, Chile; [Rodriguez Raising, Martin] Tucuman 645, RA-8300 Neuquen, Argentina</t>
  </si>
  <si>
    <t>University of Buenos Aires; Instituto Antartico Argentino; Consejo Nacional de Investigaciones Cientificas y Tecnicas (CONICET); National University of the South; National University of La Plata; Museo La Plata; National University of the South; Consejo Nacional de Investigaciones Cientificas y Tecnicas (CONICET)</t>
  </si>
  <si>
    <t>Amenábar, CR (corresponding author), Univ Buenos Aires FCEN UBA, Consejo Nacl Invest Cient &amp; Tecn IDEAN CONICET, Inst Estudios Andinos Don Pablo Groeber, Dept Ciencias Geol,Fac Ciencias Exactas &amp; Nat, Ciudad Univ,Intendente Guiraldes 2160, RA-1428 Buenos Aires, DF, Argentina.;Amenábar, CR (corresponding author), Inst Antartico Argentino, 25 Mayo 1143, San Martin, Buenos Aires, Argentina.</t>
  </si>
  <si>
    <t>amenabar@gl.fcen.uba.ar</t>
  </si>
  <si>
    <t>Casadio, Silvio/A-5131-2010</t>
  </si>
  <si>
    <t>Guerstein, G. Raquel/0000-0003-1623-1084; AMENABAR, CECILIA R./0000-0003-1280-3903; Casadio, Silvio/0000-0002-8130-641X; Alperin, Marta/0000-0003-2608-4890</t>
  </si>
  <si>
    <t>Universidad Nacional del Sur [PGI 24/F079]; Agencia Nacional de Promocion Cientifica y Tecnologica [PICT 2018-00917]</t>
  </si>
  <si>
    <t>Universidad Nacional del Sur; Agencia Nacional de Promocion Cientifica y Tecnologica(ANPCyTSpanish Government)</t>
  </si>
  <si>
    <t>We thank E.Olivero (CADIC-CONICET, Argentina) who shared the samples of the Leticia Fm collected at Cabo Campo del Medio (Tierra del Fuego) and to O.Cardenas (MACN, Argentina) for the palynological technical assistance of those samples. We would also like to thank A.Toumoulin (College de France, France) for sharing some unpublished simulation figures (100 and 1000m depth) that allowed us to corroborate our palaeoceanographical interpretation. We thank A.Sluijs and P.K.Bijl (Utrecht University, the Netherlands) for the reading of a previous version of the manuscript and whose comments helped to improve it. To C.Clowes (GNS Science, New Zealand), an anonymous reviewer, and the editors of the Palaeontology, H.Coxall and S.Thomas for their constructive comments on the manuscript. We also acknowledge to R.Fensome (GSC, Canada) for the the critical reading and discussion of part of this work. Financial support was provided by the Universidad Nacional del Sur (PGI 24/F079) and the Agencia Nacional de Promocion Cientifica y Tecnologica (PICT 2018-00917). This is a contribution to the Instituto Antartico Argentino (IAA) and the Instituto de Estudios Andinos 'Don Pablo Groeber' (contribution number R-374).</t>
  </si>
  <si>
    <t>0031-0239</t>
  </si>
  <si>
    <t>1475-4983</t>
  </si>
  <si>
    <t>e12601</t>
  </si>
  <si>
    <t>10.1111/pala.12601</t>
  </si>
  <si>
    <t>2A7NM</t>
  </si>
  <si>
    <t>WOS:000809684100001</t>
  </si>
  <si>
    <t>Yu, LJ; Zhong, SY; Sun, B</t>
  </si>
  <si>
    <t>Yu, Lejiang; Zhong, Shiyuan; Sun, Bo</t>
  </si>
  <si>
    <t>Synchronous Variation Patterns of Monthly Sea Ice Anomalies at the Arctic and Antarctic</t>
  </si>
  <si>
    <t>Antarctica; Arctic; Sea ice; Climate change</t>
  </si>
  <si>
    <t>SELF-ORGANIZING MAPS; SURFACE TEMPERATURE; OSCILLATION; VARIABILITY; PERFORMANCE; ATMOSPHERE; CONTEXT; TRENDS; COVER; CYCLE</t>
  </si>
  <si>
    <t>Sea ice variability in the opposite polar regions is examined holistically by applying the self-organizing map (SOM) method to global monthly sea ice concentration data over two periods. The results show that the variability modes of sea ice decrease in the Arctic correspond to an overall sea ice increase in the Antarctic, and vice versa. In particular, the monthly sea ice anomaly patterns are dominated by in-phase variability across the Arctic that is stronger in the marginal seas particularly the Barents Sea than the central Arctic Ocean. The corresponding Antarctic sea ice variability is characterized by a zonal wavenumber-3 structure or a dipole pattern of out-of-phase variability between the Bellingshausen/Amundsen Seas and the rest of the Southern Ocean. The frequency of occurrence of these dominant patterns exhibits pronounced seasonal as well as decadal variability and the latter is closely related to the Pacific decadal oscillation and Atlantic multidecadal oscillation. Other less frequent patterns seem to be associated with the central Pacific El Nino and spatially heterogeneous interannual variability of sea surface temperature (SST) in the Indian and the Atlantic Oceans. The dominant modes explain 57% of the four-decade domain-averaged trends in the annual polar sea ice concentration, with more explained in the eastern than western Arctic Ocean and in the Weddell Sea and the Amundsen Sea in the Antarctic. The spatial patterns of the leading modes can be largely explained by the dynamic (sea ice drift) and thermodynamic (sea ice melt) effects of the anomalous atmospheric circulations associated with SST and sea level pressure anomalies.</t>
  </si>
  <si>
    <t>[Yu, Lejiang; Sun, Bo] Polar Res Inst China, MNR Key Lab Polar Sci, Shanghai, Peoples R China; [Zhong, Shiyuan] Michigan State Univ, Dept Geog Environm &amp; Spatial Sci, E Lansing, MI 48824 USA</t>
  </si>
  <si>
    <t>Polar Research Institute of China; Michigan State University</t>
  </si>
  <si>
    <t>Yu, LJ (corresponding author), Polar Res Inst China, MNR Key Lab Polar Sci, Shanghai, Peoples R China.</t>
  </si>
  <si>
    <t>yulejiang@sina.com.cn</t>
  </si>
  <si>
    <t>sun, bo/JFA-9978-2023</t>
  </si>
  <si>
    <t>National Natural Science Foundation of China [41941009]; National Key R&amp;D Program of China [2018YFA0605701, 2019YFC1509102]</t>
  </si>
  <si>
    <t>National Natural Science Foundation of China(National Natural Science Foundation of China (NSFC)); National Key R&amp;D Program of China</t>
  </si>
  <si>
    <t>This study is financially supported by the National Natural Science Foundation of China (41941009) and the National Key R&amp;D Program of China (2018YFA0605701, 2019YFC1509102).</t>
  </si>
  <si>
    <t>10.1175/JCLI-D-21-0756.1</t>
  </si>
  <si>
    <t>1Z0NI</t>
  </si>
  <si>
    <t>WOS:000808530600011</t>
  </si>
  <si>
    <t>Castro, GG; Hernández, R; Loza, CM; Loureiro, JP; Woudwyk, MA; Scianda, M; Heredia, SR; Traverso, VB; Barbeito, CG; Diessler, ME</t>
  </si>
  <si>
    <t>Gomez Castro, Gimena; Hernandez, Rocio; Loza, Cleopatra M.; Loureiro, Juan P.; Woudwyk, Mariana A.; Scianda, Mariano; Rodriguez Heredia, Sergio; Traverso, Vanesa B.; Barbeito, Claudio G.; Diessler, Monica E.</t>
  </si>
  <si>
    <t>PLACENTA OF AN ANTARCTIC FUR SEAL, ARCTOCEPHALUSGAZELLA (PETERS, 1875) AFTER SPONTANEOUS ABORTION</t>
  </si>
  <si>
    <t>PLACENTA</t>
  </si>
  <si>
    <t>9th Latin American Symposium of the Latin-American-Society-for-Maternal-Fetal-Interaction-and-Placenta on Maternal-Fetal Interaction and Placenta (SLIMP)</t>
  </si>
  <si>
    <t>MAY 04-06, 2022</t>
  </si>
  <si>
    <t>ELECTR NETWORK</t>
  </si>
  <si>
    <t>[Gomez Castro, Gimena; Hernandez, Rocio; Loza, Cleopatra M.; Woudwyk, Mariana A.; Scianda, Mariano; Barbeito, Claudio G.; Diessler, Monica E.] Univ Nacl La Plata, Fac Ciencias Vet, Lab Histol Embriol &amp; Descript, Expt &amp; Comparada LHYEDEC,FCV UNLP, La Plata, Argentina; [Gomez Castro, Gimena; Hernandez, Rocio; Diessler, Monica E.] Consejo Nacl Invest Cient &amp; Tecn CONICET, UNLP, FCV, La Plata, Argentina; [Loza, Cleopatra M.] UNLP, Morphos Lab Morfol Evolut Desarrollo CONICET, Fac Ciencias Nat &amp; Museo, La Plata, Argentina; [Loureiro, Juan P.] UNLP, Catedra Anat Descript, FCV, La Plata, Argentina; [Loureiro, Juan P.; Rodriguez Heredia, Sergio; Traverso, Vanesa B.] Fdn Mundo Marino, San Clemente Tuyu, Buenos Aires, DF, Argentina</t>
  </si>
  <si>
    <t>National University of La Plata; Consejo Nacional de Investigaciones Cientificas y Tecnicas (CONICET); National University of La Plata; National University of La Plata; Museo La Plata; National University of La Plata</t>
  </si>
  <si>
    <t>W B SAUNDERS CO LTD</t>
  </si>
  <si>
    <t>32 JAMESTOWN RD, LONDON NW1 7BY, ENGLAND</t>
  </si>
  <si>
    <t>0143-4004</t>
  </si>
  <si>
    <t>1532-3102</t>
  </si>
  <si>
    <t>Placenta</t>
  </si>
  <si>
    <t>NI.75</t>
  </si>
  <si>
    <t>E102</t>
  </si>
  <si>
    <t>Developmental Biology; Obstetrics &amp; Gynecology; Reproductive Biology</t>
  </si>
  <si>
    <t>Science Citation Index Expanded (SCI-EXPANDED); Conference Proceedings Citation Index - Science (CPCI-S)</t>
  </si>
  <si>
    <t>1Q3CE</t>
  </si>
  <si>
    <t>WOS:000802569200093</t>
  </si>
  <si>
    <t>Zhang, YY; Clancy, J; Jensen, J; McMullin, RT; Wang, LS; Leavitt, SD</t>
  </si>
  <si>
    <t>Zhang, Yanyun; Clancy, Jeffrey; Jensen, Jacob; McMullin, Richard Troy; Wang, Lisong; Leavitt, Steven D.</t>
  </si>
  <si>
    <t>Providing Scale to a Known Taxonomic Unknown-At Least a 70-Fold Increase in Species Diversity in a Cosmopolitan Nominal Taxon of Lichen-Forming Fungi</t>
  </si>
  <si>
    <t>JOURNAL OF FUNGI</t>
  </si>
  <si>
    <t>alpine; arctic; Antarctic; ASAP; cosmopolitan; cryptic species; genome skimming; species delimitation; symbiotic phenotype</t>
  </si>
  <si>
    <t>USNIC ACID; DELIMITATION; LECANORA; IDENTIFICATION; PARMELIACEAE; ASCOMYCOTA; NOMENCLATURE; PHYLOGENIES; ALGORITHM; MARKER</t>
  </si>
  <si>
    <t>Robust species delimitations provide a foundation for investigating speciation, phylogeography, and conservation. Here we attempted to elucidate species boundaries in the cosmopolitan lichen-forming fungal taxon Lecanora polytropa. This nominal taxon is morphologically variable, with distinct populations occurring on all seven continents. To delimit candidate species, we compiled ITS sequence data from populations worldwide. For a subset of the samples, we also generated alignments for 1209 single-copy nuclear genes and an alignment spanning most of the mitochondrial genome to assess concordance among the ITS, nuclear, and mitochondrial inferences. Species partitions were empirically delimited from the ITS alignment using ASAP and bPTP. We also inferred a phylogeny for the L. polytropa clade using a four-marker dataset. ASAP species delimitations revealed up to 103 species in the L. polytropa clade, with 75 corresponding to the nominal taxon L. polytropa. Inferences from phylogenomic alignments generally supported that these represent evolutionarily independent lineages or species. Less than 10% of the candidate species were comprised of specimens from multiple continents. High levels of candidate species were recovered at local scales but generally with limited overlap across regions. Lecanora polytropa likely ranks as one of the largest species complexes of lichen-forming fungi known to date.</t>
  </si>
  <si>
    <t>[Zhang, Yanyun; Wang, Lisong] Chinese Acad Sci, Kunming Inst Bot, Key Lab Plant Divers &amp; Biogeog East Asia, Kunming 650201, Yunnan, Peoples R China; [Zhang, Yanyun] Anhui Normal Univ, Coll Life Sci, Wuhu 241000, Peoples R China; [Clancy, Jeffrey; Jensen, Jacob] Brigham Young Univ, Dept Biol, 4102 Life Sci Bldg, Provo, UT 84602 USA; [McMullin, Richard Troy] Canadian Museum Nat Res &amp; Collect, Ottawa, ON K1P 6P4, Canada; [Leavitt, Steven D.] Brigham Young Univ, Dept Biol, ML Bean Life Sci Museum, 4102 Life Sci Bldg, Provo, UT 84602 USA</t>
  </si>
  <si>
    <t>Chinese Academy of Sciences; Kunming Institute of Botany, CAS; Anhui Normal University; Brigham Young University; Brigham Young University</t>
  </si>
  <si>
    <t>Wang, LS (corresponding author), Chinese Acad Sci, Kunming Inst Bot, Key Lab Plant Divers &amp; Biogeog East Asia, Kunming 650201, Yunnan, Peoples R China.;Leavitt, SD (corresponding author), Brigham Young Univ, Dept Biol, ML Bean Life Sci Museum, 4102 Life Sci Bldg, Provo, UT 84602 USA.</t>
  </si>
  <si>
    <t>2021209@ahnu.edu.cn; jclancy1330@gmail.com; jnjensen88@gmail.com; tmcmullin@nature.ca; wanglisong@mail.kib.ac.cn; leavitt@byu.edu</t>
  </si>
  <si>
    <t>zhang, yan yun/0000-0002-0902-5066; Clancy, Jeffrey/0000-0001-5523-5403; McMullin, Troy/0000-0002-1768-2891; Leavitt, Steven/0000-0002-5034-9724</t>
  </si>
  <si>
    <t>National Natural Science Foundation of China [31970022, 31750001]; Second Tibetan Plateau Scientific Expedition and Research (STEP) program [2019QZKK0503]; M.L. Bean Museum of Life Sciences at Brigham Young University (Provo, UT, USA); Canyonlands Natural History Association (Moab, UT, USA)</t>
  </si>
  <si>
    <t>National Natural Science Foundation of China(National Natural Science Foundation of China (NSFC)); Second Tibetan Plateau Scientific Expedition and Research (STEP) program; M.L. Bean Museum of Life Sciences at Brigham Young University (Provo, UT, USA); Canyonlands Natural History Association (Moab, UT, USA)</t>
  </si>
  <si>
    <t>This research was funded by the National Natural Science Foundation of China (Nos 31970022, 31750001), Canyonlands Natural History Association (Moab, UT, USA), Second Tibetan Plateau Scientific Expedition and Research (STEP) program [No. 2019QZKK0503], and the M.L. Bean Museum of Life Sciences at Brigham Young University (Provo, UT, USA).</t>
  </si>
  <si>
    <t>2309-608X</t>
  </si>
  <si>
    <t>J FUNGI</t>
  </si>
  <si>
    <t>J. Fungi</t>
  </si>
  <si>
    <t>10.3390/jof8050490</t>
  </si>
  <si>
    <t>Microbiology; Mycology</t>
  </si>
  <si>
    <t>1T7IB</t>
  </si>
  <si>
    <t>WOS:000804900800001</t>
  </si>
  <si>
    <t>Zhang, CN; Shulga, V; Milinevsky, G; Danylevsky, V; Yukhymchuk, Y; Kyslyi, V; Syniavsky, I; Sosonkin, M; Goloub, P; Turos, O; Simon, A; Choliy, V; Maremukha, T; Petrosian, A; Pysanko, V; Honcharova, A; Shulga, D; Miatselskaya, N; Morhuleva, V</t>
  </si>
  <si>
    <t>Zhang, Chenning; Shulga, Valery; Milinevsky, Gennadi; Danylevsky, Vassyl; Yukhymchuk, Yuliya; Kyslyi, Volodymyr; Syniavsky, Ivan; Sosonkin, Mikhail; Goloub, Philippe; Turos, Olena; Simon, Andrii; Choliy, Vasyl; Maremukha, Tetiana; Petrosian, Arina; Pysanko, Vladyslav; Honcharova, Anna; Shulga, Dmitry; Miatselskaya, Natallia; Morhuleva, Varvara</t>
  </si>
  <si>
    <t>Spring 2020 Atmospheric Aerosol Contamination over Kyiv City</t>
  </si>
  <si>
    <t>aerosol; PM2.5; forest fires; AERONET; aerosol optical depth; angstrom ngstrom exponent</t>
  </si>
  <si>
    <t>BIOMASS BURNING AEROSOL; OPTICAL-PROPERTIES; RUSSIAN WILDFIRES; PARTICULATE MATTER; EASTERN FINLAND; FINE PARTICLES; GEOS-CHEM; AERONET; UKRAINE; PM2.5</t>
  </si>
  <si>
    <t>Extraordinarily high aerosol contamination was observed in the atmosphere over the city of Kyiv, Ukraine, during the March-April 2020 period. The source of contamination was the large grass and forest fires in the northern part of Ukraine and the Kyiv region. The level of PM2.5 load was investigated using newly established AirVisual sensor mini-networks in five areas of the city. The aerosol data from the Kyiv AERONET sun-photometer site were analyzed for that period. Aerosol optical depth, angstrom ngstrom exponent, and the aerosol particles properties (particle size distribution, single-scattering albedo, and complex refractive index) were analyzed using AERONET sun-photometer observations. The smoke particles observed at Kyiv site during the fires in general correspond to aerosol with optical properties of biomass burning aerosol. The variability of the optical properties and chemical composition indicates that the aerosol particles in the smoke plumes over Kyiv city were produced by different burning materials and phases of vegetation fires at different times. The case of enormous PM2.5 aerosol contamination in the Kyiv city reveals the need to implement strong measures for forest fire control and prevention in the Kyiv region, especially in its northwest part, where radioactive contamination from the Chernobyl disaster is still significant.</t>
  </si>
  <si>
    <t>[Zhang, Chenning; Shulga, Valery; Milinevsky, Gennadi] Jilin Univ, Coll Phys, Int Ctr Future Sci, Changchun 130012, Peoples R China; [Shulga, Valery; Shulga, Dmitry] Natl Acad Sci Ukraine, Inst Radio Astron, Dept Millimeter Radio Astron, UA-01601 Kiev, Ukraine; [Milinevsky, Gennadi; Danylevsky, Vassyl; Yukhymchuk, Yuliya; Syniavsky, Ivan; Sosonkin, Mikhail] Main Astron Observ, Dept Atmospher Opt &amp; Instrumentat, UA-03143 Kiev, Ukraine; [Milinevsky, Gennadi] Natl Antarctic Sci Ctr, Dept Atmosphere Phys &amp; Geospace, UA-01601 Kiev, Ukraine; [Milinevsky, Gennadi; Simon, Andrii; Choliy, Vasyl; Pysanko, Vladyslav] Taras Shevchenko Natl Univ Kyiv, Phys Fac, UA-01601 Kiev, Ukraine; [Milinevsky, Gennadi; Yukhymchuk, Yuliya; Goloub, Philippe] Univ Sci &amp; Technol Lille, Lab Opt Amospher LOA, F-59655 Villeneuve Dascq, France; [Danylevsky, Vassyl] Taras Shevchenko Natl Univ Kyiv, Astron Observ, UA-01601 Kiev, Ukraine; [Kyslyi, Volodymyr] Natl Acad Sci Ukraine, V Lashkaryov Inst Semicond Phys, UA-03028 Kiev, Ukraine; [Turos, Olena; Maremukha, Tetiana; Petrosian, Arina; Morhuleva, Varvara] Natl Acad Med Sci Ukraine, Marzeiev Inst Publ Hlth, Lab Air Qual, UA-02660 Kiev, Ukraine; [Simon, Andrii] Natl Ctr Jr Acad Sci Ukraine, UA-04119 Kiev, Ukraine; [Honcharova, Anna] Kharkov Natl Univ, Educ &amp; Res Inst Ecol, UA-61000 Kharkiv, Ukraine; [Miatselskaya, Natallia] Natl Acad Sci Belarus, Inst Phys, Minsk 220072, BELARUS</t>
  </si>
  <si>
    <t>Jilin University; National Academy of Sciences Ukraine; National Academy of Sciences Ukraine; Main Astronomical Observatory of NASU; Ministry of Education &amp; Science of Ukraine; State Institution National Antarctic Scientific Center; Ministry of Education &amp; Science of Ukraine; Taras Shevchenko National University of Kyiv; Universite de Lille; Ministry of Education &amp; Science of Ukraine; Taras Shevchenko National University of Kyiv; National Academy of Sciences Ukraine; Lashkaryov Institute of Semiconductor Physics; National Academy of Medical Sciences of Ukraine; O. M. Marzeyev Institute for Public Health of the National Academy of Medical Sciences of Ukraine; Ministry of Education &amp; Science of Ukraine; VN Karazin Kharkiv National University; National Academy of Sciences of Belarus (NASB); B.I. Stepanov Institute of Physics of the National Academy of Sciences of Belarus</t>
  </si>
  <si>
    <t>Milinevsky, G (corresponding author), Jilin Univ, Coll Phys, Int Ctr Future Sci, Changchun 130012, Peoples R China.;Milinevsky, G (corresponding author), Main Astron Observ, Dept Atmospher Opt &amp; Instrumentat, UA-03143 Kiev, Ukraine.;Milinevsky, G (corresponding author), Natl Antarctic Sci Ctr, Dept Atmosphere Phys &amp; Geospace, UA-01601 Kiev, Ukraine.;Milinevsky, G (corresponding author), Taras Shevchenko Natl Univ Kyiv, Phys Fac, UA-01601 Kiev, Ukraine.;Milinevsky, G (corresponding author), Univ Sci &amp; Technol Lille, Lab Opt Amospher LOA, F-59655 Villeneuve Dascq, France.</t>
  </si>
  <si>
    <t>zhangcn19@mails.jlu.edu.cn; shulga@rian.kharkov.ua; gmilin@univ.kiev.ua; vdanylevsky@knu.ua; juliyuhim@gmail.com; kyslyij@gmail.com; syn@mao.kiev.ua; sosonkin@mao.kiev.ua; philippe.goloub@univ-lille.fr; eturos@gmail.com; simon@univ.kiev.ua; charlie@mail.univ.kiev.ua; maremuha1980@gmail.com; arinapetrosian@gmail.com; vladislav039@i.ua; honcharova2021.9586834@student.karazin.ua; dshulga@rian.kharkov.ua; n.miatselskaya@dragon.bas-net.by; morvara@gmail.com</t>
  </si>
  <si>
    <t>Turos, Olena/Y-6394-2019; Shulga, Dmitry/P-4451-2014; Simon, Andrew/AAF-7875-2020; Kyslyi, Volodymyr/AAV-9679-2020; Miatselskaya, Natallia/HIR-1885-2022; Milinevsky, Gennadi/AAD-8801-2019; Danylevsky, Vassyl/F-5383-2017</t>
  </si>
  <si>
    <t>Turos, Olena/0000-0002-0128-1647; Shulga, Dmitry/0000-0001-6001-1295; Milinevsky, Gennadi/0000-0002-2342-2615; Miatselskaya, Natallia/0000-0002-3842-6328; Yukhymchuk, Yuliia/0009-0002-3166-737X; Danylevsky, Vassyl/0000-0001-8311-0907; Syniavskyi, Ivan/0000-0002-5285-2358; Simon, Andrew/0000-0003-0404-5559; Goloub, Philippe/0000-0002-2415-4368; Shulga, Valery/0000-0001-6529-5610</t>
  </si>
  <si>
    <t>College of Physics International Center of Future Science, Jilin University, China; Ministry of Education and Science of Ukraine, Kyiv [20BF051-02]; Belarusian Republican Foundation for Fundamental Research [F20UKA-017]; National Academy of Sciences of Ukraine [01-01-20/21]; European Union [77834, 654109]; European Commission 'Horizon 2020 Program'; National Antarctic Scientific Center of Ukraine, Kyiv [20BF051-02]</t>
  </si>
  <si>
    <t>College of Physics International Center of Future Science, Jilin University, China; Ministry of Education and Science of Ukraine, Kyiv; Belarusian Republican Foundation for Fundamental Research; National Academy of Sciences of Ukraine; European Union(European Union (EU)); European Commission 'Horizon 2020 Program'; National Antarctic Scientific Center of Ukraine, Kyiv</t>
  </si>
  <si>
    <t>This work was partly supported by College of Physics International Center of Future Science, Jilin University, China; by the National Antarctic Scientific Center and Ministry of Education and Science of Ukraine, Kyiv, through the projects 20BF051-02; by the Belarusian Republican Foundation for Fundamental Research through the project F20UKA-017 and National Academy of Sciences of Ukraine through the project 01-01-20/21. We acknowledge the use of images modified by authors from the NASAWorldview application (https://worldview.earthdata.nasa.gov, accessed on 15 December 2021), part of the NASA Earth Observing System Data and Information System (EOSDIS). The work was partly supported from the European Union's Horizon 2020 research and innovation program under the Marie Sklodowska-Curie grant agreement No 77834 and research and innovation program under ACTRIS-2 grant agreement No 654109. We thank Brent Holben (NASA/GSFC) for managing the AERONET program and its sites. The high quality of AERONET/PHOTONS data was provided by CIMEL sun-photometer calibration performed at the AERONET-EUROPE calibration center. The authors would like also to acknowledge the European Commission 'Horizon 2020 Program' that funded the ERA-PLANET/SMURBS project.</t>
  </si>
  <si>
    <t>10.3390/atmos13050687</t>
  </si>
  <si>
    <t>1S8YU</t>
  </si>
  <si>
    <t>WOS:000804330700001</t>
  </si>
  <si>
    <t>Shen, WJ; Liang, ZP; Zou, TX; Yang, ZJ; Hou, WS; Zhou, M; Gong, JL</t>
  </si>
  <si>
    <t>Shen, Wenjie; Liang, Zhipeng; Zou, Tianxiang; Yang, Zhijun; Hou, Weisheng; Zhou, Meng; Gong, Jialin</t>
  </si>
  <si>
    <t>A Review of Research on Grove Mountains CM-Type Chondrites</t>
  </si>
  <si>
    <t>MINERALS</t>
  </si>
  <si>
    <t>CM chondrite; Grove Mountains; CAIs; GRV 020025</t>
  </si>
  <si>
    <t>AL-RICH INCLUSIONS; CARBONACEOUS CHONDRITES; CA-RICH; REFRACTORY INCLUSIONS; AQUEOUS ALTERATION; SULFIDES; ORIGIN</t>
  </si>
  <si>
    <t>CM chondrite is the most important carbonaceous chondrite containing abundant Ca, Al-rich inclusions (CAIs) and other interesting objects, which probably experienced early condensation processes in the Solar Nebula environment and later alteration in parent body surroundings. Thus, it is a vital raw material to explore in the formation and evolution of the early Solar System. Grove Mountains (GRV) CM chondrites have been collected from Antarctica by Chinese Antarctic Research Expedition (CARE) for nearly 20 years. In this paper, we review the study of GRV CM chondrites. In total, there are eight CM chondrites named Grove Mountains officially approved by the Meteoritical Society. Petrology and mineral, matrix, CAIs, metal and sulfide in GRV CM chondrites are carefully reviewed. All the meteorites have similar characteristics with a dominant component of matrix. Phyllosilicate minerals generally developed in the matrix. The different altered mineral assemblages, contents and chemical compositions show that these chondrites underwent varying degrees of aqueous alteration, of which GRV 020005 is the most heavily altered CM chondrite. GRV 020025 is the second heaviest of the CM samples with the most extensive studies among these chondrites. It contains abundant CAIs and amoeboid olivine aggregates (AOAs). The modal content is about 1.0 vol% for CAIs. The findings of some new types of CAIs (such as hibonite-rich and spinel-pyroxene inclusions with forsterite-rich accretionary rims), AOAs and a complex, fine-grained P-bearing sulfide phase enrich the study of GRV 020025.</t>
  </si>
  <si>
    <t>[Shen, Wenjie; Liang, Zhipeng; Zou, Tianxiang; Yang, Zhijun; Hou, Weisheng; Zhou, Meng; Gong, Jialin] Sun Yat Sen Univ, Sch Earth Sci &amp; Engn, Zhuhai 519000, Peoples R China; [Shen, Wenjie; Yang, Zhijun; Hou, Weisheng] Guangdong Key Lab Geol Proc &amp; Mineral Resources E, Zhuhai 519000, Peoples R China; [Shen, Wenjie] Guangdong Prov Key Lab Geodynam &amp; Geohazards, Zhuhai 519000, Peoples R China; [Shen, Wenjie] Sun Yat Sen Univ, Earth Resources &amp; Earth Environm Res Ctr, Zhuhai 519000, Peoples R China</t>
  </si>
  <si>
    <t>Sun Yat Sen University; Sun Yat Sen University</t>
  </si>
  <si>
    <t>Shen, WJ (corresponding author), Sun Yat Sen Univ, Sch Earth Sci &amp; Engn, Zhuhai 519000, Peoples R China.;Shen, WJ (corresponding author), Guangdong Key Lab Geol Proc &amp; Mineral Resources E, Zhuhai 519000, Peoples R China.;Shen, WJ (corresponding author), Guangdong Prov Key Lab Geodynam &amp; Geohazards, Zhuhai 519000, Peoples R China.;Shen, WJ (corresponding author), Sun Yat Sen Univ, Earth Resources &amp; Earth Environm Res Ctr, Zhuhai 519000, Peoples R China.</t>
  </si>
  <si>
    <t>shenwjie@mail.sysu.edu.cn; liangzhp9@mail2.sysu.edu.cn; zoutx@mail2.sysu.edu.cn; yangzhj@mail.sysu.edu.cn; houwsh@mail.sysu.edu.cn; zhoum47@mail2.sysu.edu.cn; gongjlin@mail2.sysu.edu.cn</t>
  </si>
  <si>
    <t>liang, zhipeng/GVT-1475-2022</t>
  </si>
  <si>
    <t>Hou, Weisheng/0000-0003-2669-6686</t>
  </si>
  <si>
    <t>Science and Technology Program of Guangzhou [202002030184, 201804010190]; Guangdong Natural Science Foundation [2021A1515011658]; National Natural Science Foundation of China [42072229, U1911202]</t>
  </si>
  <si>
    <t>Science and Technology Program of Guangzhou; Guangdong Natural Science Foundation(National Natural Science Foundation of Guangdong Province); National Natural Science Foundation of China(National Natural Science Foundation of China (NSFC))</t>
  </si>
  <si>
    <t>This research was funded by the Science and Technology Program of Guangzhou, grant numbers 202002030184 and 201804010190, the Guangdong Natural Science Foundation, grant number 2021A1515011658 and the National Natural Science Foundation of China, grant numbers 42072229 and U1911202.</t>
  </si>
  <si>
    <t>2075-163X</t>
  </si>
  <si>
    <t>MINERALS-BASEL</t>
  </si>
  <si>
    <t>Minerals</t>
  </si>
  <si>
    <t>10.3390/min12050619</t>
  </si>
  <si>
    <t>Geochemistry &amp; Geophysics; Mineralogy; Mining &amp; Mineral Processing</t>
  </si>
  <si>
    <t>1T7FL</t>
  </si>
  <si>
    <t>WOS:000804894000001</t>
  </si>
  <si>
    <t>Selway, CA; Armbrecht, L; Thornalley, D</t>
  </si>
  <si>
    <t>Selway, Caitlin A.; Armbrecht, Linda; Thornalley, David</t>
  </si>
  <si>
    <t>An Outlook for the Acquisition of Marine Sedimentary Ancient DNA (sedaDNA) From North Atlantic Ocean Archive Material</t>
  </si>
  <si>
    <t>PALEOCEANOGRAPHY AND PALEOCLIMATOLOGY</t>
  </si>
  <si>
    <t>eukaryotes; diatoms; fungi; coccolithophores; contamination; marine ecosystems</t>
  </si>
  <si>
    <t>CLIMATE-CHANGE; SUBPOLAR GYRE; CIRCULATION</t>
  </si>
  <si>
    <t>Studies incorporating sedimentary ancient DNA (sedaDNA) analyses to investigate paleo-environments have increased considerably over the last few years, and the possibility of utilizing archived sediment cores from previous field campaigns could unlock an immense resource of sampling material for such paleo-investigations. However, sedaDNA research is at a high risk of contamination by modern environmental DNA, as sub-optimal sediment storage conditions may allow for contaminants (e.g., fungi) to grow and become dominant over preserved sedaDNA in the sample. Here, we test the feasibility of sedaDNA analysis applied to archive sediment material from five sites in the North Atlantic, collected between 1994 and 2013. We analyzed two samples (one younger and one older) per site using a metagenomic shotgun approach and were able to recover eukaryotic sedaDNA from all samples. We characterized the authenticity of each sample through sedaDNA fragment size and damage analyses, which allowed us to disentangle sedaDNA and contaminant DNA. Although we determined that contaminant sequences originated mainly from Ascomycota (fungi), most samples were dominated by Emiliania huxleyi, a haptophyte species that commonly blooms in the study region. We attribute the presence of contaminants to non-ideal sampling and sample storage conditions of the investigated samples. Therefore, while we demonstrate that sedaDNA analysis of archival North Atlantic seafloor sediment samples are generally achievable, we stress the importance of best-practice ship-board sampling techniques and storage conditions to minimize contamination. We highly recommend the application of robust bioinformatic tools that help distinguish ancient genetic signals from modern contaminants, especially when working with archive material.</t>
  </si>
  <si>
    <t>[Selway, Caitlin A.; Armbrecht, Linda] Univ Adelaide, Australian Ctr Ancient DNA, Adelaide, SA, Australia; [Armbrecht, Linda] Univ Tasmania, Inst Marine &amp; Antarct Studies IMAS, Hobart, Tas, Australia; [Thornalley, David] UCL, Dept Geog, London, England</t>
  </si>
  <si>
    <t>University of Adelaide; University of Tasmania; University of London; University College London</t>
  </si>
  <si>
    <t>Selway, CA (corresponding author), Univ Adelaide, Australian Ctr Ancient DNA, Adelaide, SA, Australia.;Thornalley, D (corresponding author), UCL, Dept Geog, London, England.</t>
  </si>
  <si>
    <t>selway.caitlinalyssa@gmail.com; d.thornalley@ucl.ac.uk</t>
  </si>
  <si>
    <t>Armbrecht, Linda/GZB-0547-2022; Selway, Caitlin/B-1865-2018</t>
  </si>
  <si>
    <t>Selway, Caitlin/0000-0003-4726-5527; Thornalley, David/0000-0001-5885-5499</t>
  </si>
  <si>
    <t>University of Adelaide (UofA) School of Biological Sciences; University College London Research Agreement Exploring sedaDNA of the North Atlantic - Philip Leverhulme Prize; NERC [NE/S009736/1]; EU iAtlantic grant; European Union [818123]; Australian Research Council (ARC) Discovery Early Career Researcher (DECRA) Fellowship [DE210100929]; Institute of Marine and Antarctic Studies (IMAS), University of Tasmania; Australian New Zealand International Ocean Discovery Program (ANZIC); Philip Leverhulme Prize; Australian Research Council [DE210100929] Funding Source: Australian Research Council; NERC [NE/S009736/1] Funding Source: UKRI</t>
  </si>
  <si>
    <t>University of Adelaide (UofA) School of Biological Sciences; University College London Research Agreement Exploring sedaDNA of the North Atlantic - Philip Leverhulme Prize(Leverhulme Trust); NERC(UK Research &amp; Innovation (UKRI)Natural Environment Research Council (NERC)); EU iAtlantic grant; European Union(European Union (EU)); Australian Research Council (ARC) Discovery Early Career Researcher (DECRA) Fellowship(Australian Research Council); Institute of Marine and Antarctic Studies (IMAS), University of Tasmania; Australian New Zealand International Ocean Discovery Program (ANZIC); Philip Leverhulme Prize(Leverhulme Trust); Australian Research Council(Australian Research Council); NERC(UK Research &amp; Innovation (UKRI)Natural Environment Research Council (NERC))</t>
  </si>
  <si>
    <t>We thank Ellen Roosen (WHOI core repository) and Simon Crowhurst (Godwin Laboratory, Cambridge) for help providing samples, and Nick McCave, David Hodell and Lloyd Keigwin for core information. We thank Holly Heiniger for technical assistance, Raphael Eisenhofer and Vilma Perez Godoy for their assistance with bioinformatics, and Matilda Handsley-Davis and Gina Guzzo for insightful discussions around metagenomics. We thank Alan Cooper for initiating this collaboration, and Chris Turney for help transporting samples to ACAD. CAS was supported by the University of Adelaide (UofA) School of Biological Sciences and the University College London Research Agreement Exploring sedaDNA of the North Atlantic, funded by a Philip Leverhulme Prize to DT. DT was supported by a Philip Leverhulme Prize, NERC grant NE/S009736/1, and the EU iAtlantic grant. This study received funding from the European Union's Horizon 2020 research and innovation programme under grant agreement no. 818123 (iAtlantic). This output reflects only the authors' view and the European Union cannot be held responsible for any use that may be made of the information contained therein. LA was funded by an Australian Research Council (ARC) Discovery Early Career Researcher (DECRA) Fellowship (DE210100929), and supported by the University of Adelaide (UofA) School of Biological Sciences, the Institute of Marine and Antarctic Studies (IMAS), University of Tasmania, and the Australian New Zealand International Ocean Discovery Program (ANZIC).</t>
  </si>
  <si>
    <t>2572-4517</t>
  </si>
  <si>
    <t>2572-4525</t>
  </si>
  <si>
    <t>PALEOCEANOGR PALEOCL</t>
  </si>
  <si>
    <t>Paleoceanogr. Paleoclimatology</t>
  </si>
  <si>
    <t>e2021PA004372</t>
  </si>
  <si>
    <t>10.1029/2021PA004372</t>
  </si>
  <si>
    <t>Geosciences, Multidisciplinary; Oceanography; Paleontology</t>
  </si>
  <si>
    <t>Geology; Oceanography; Paleontology</t>
  </si>
  <si>
    <t>1S6NQ</t>
  </si>
  <si>
    <t>WOS:000804166300001</t>
  </si>
  <si>
    <t>Giordano, D; Verde, C; Corti, P</t>
  </si>
  <si>
    <t>Giordano, Daniela; Verde, Cinzia; Corti, Paola</t>
  </si>
  <si>
    <t>Nitric Oxide Production and Regulation in the Teleost Cardiovascular System</t>
  </si>
  <si>
    <t>ANTIOXIDANTS</t>
  </si>
  <si>
    <t>nitric oxide synthase; Antarctic fish; hemoglobin; myoglobin; neuroglobin; cytoglobin; globin X; nitrite reductase; S-nitrosylation</t>
  </si>
  <si>
    <t>SOLUBLE GUANYLYL CYCLASE; TROUT ONCORHYNCHUS-MYKISS; RED-BLOOD-CELLS; REDUCTASE-ACTIVITY; S-NITROSYLATION; TETRAMERIC HEMOGLOBIN; MYOGLOBIN EXPRESSION; HYPOXIC VASODILATION; CHIONODRACO-HAMATUS; ENDOTHELIAL-CELLS</t>
  </si>
  <si>
    <t>Nitric Oxide (NO) is a free radical with numerous critical signaling roles in vertebrate physiology. Similar to mammals, in the teleost system the generation of sufficient amounts of NO is critical for the physiological function of the cardiovascular system. At the same time, NO amounts are strictly controlled and kept within basal levels to protect cells from NO toxicity. Changes in oxygen tension highly influence NO bioavailability and can modulate the mechanisms involved in maintaining the NO balance. While NO production and signaling appears to have general similarities with mammalian systems, the wide range of environmental adaptations made by fish, particularly with regards to differing oxygen availabilities in aquatic habitats, creates a foundation for a variety of in vivo models characterized by different implications of NO production and signaling. In this review, we present the biology of NO in the teleost cardiovascular system and summarize the mechanisms of NO production and signaling with a special emphasis on the role of globin proteins in NO metabolism.</t>
  </si>
  <si>
    <t>[Giordano, Daniela; Verde, Cinzia] Natl Res Council CNR, Inst Biosci &amp; BioResources IBBR, Via Pietro Castellino 111, I-80131 Naples, Italy; [Giordano, Daniela; Verde, Cinzia] Stn Zool Anton Dohrn SZN, Dept Marine Biotechnol, Villa Comunale, I-80121 Naples, Italy; [Corti, Paola] Univ Pittsburgh, Heart Lung Blood &amp; Vasc Med Inst, Pittsburgh, PA 15213 USA; [Corti, Paola] Univ Pittsburgh, Div Cardiol, Dept Med, Pittsburgh, PA 15213 USA</t>
  </si>
  <si>
    <t>Consiglio Nazionale delle Ricerche (CNR); Istituto di Bioscienze e Biorisorse (IBBR-CNR); Pennsylvania Commonwealth System of Higher Education (PCSHE); University of Pittsburgh; Pennsylvania Commonwealth System of Higher Education (PCSHE); University of Pittsburgh</t>
  </si>
  <si>
    <t>Corti, P (corresponding author), Univ Pittsburgh, Heart Lung Blood &amp; Vasc Med Inst, Pittsburgh, PA 15213 USA.;Corti, P (corresponding author), Univ Pittsburgh, Div Cardiol, Dept Med, Pittsburgh, PA 15213 USA.</t>
  </si>
  <si>
    <t>daniela.giordano@ibbr.cnr.it; cinzia.verde@ibbr.cnr.it; pac47@pitt.edu</t>
  </si>
  <si>
    <t>Giordano, Daniela/AFK-7772-2022</t>
  </si>
  <si>
    <t>Giordano, Daniela/0000-0002-8891-6245; VERDE, Cinzia/0000-0001-6185-282X</t>
  </si>
  <si>
    <t>Italian National Programme for Antarctic Research (PNRA) of the Ministry of University and Research (MUR) [PNRA16_000226]; AHA [18CDA34110344]; Winters Foundation</t>
  </si>
  <si>
    <t>Italian National Programme for Antarctic Research (PNRA) of the Ministry of University and Research (MUR); AHA(American Heart Association); Winters Foundation</t>
  </si>
  <si>
    <t>This study granted support from the Italian National Programme for Antarctic Research (PNRA) of the Ministry of University and Research (MUR) with project PNRA16_000226. This work was supported by AHA Career Development Grant 18CDA34110344 (to P.C.) and Winters Foundation (to P.C.).</t>
  </si>
  <si>
    <t>2076-3921</t>
  </si>
  <si>
    <t>ANTIOXIDANTS-BASEL</t>
  </si>
  <si>
    <t>Antioxidants</t>
  </si>
  <si>
    <t>10.3390/antiox11050957</t>
  </si>
  <si>
    <t>Biochemistry &amp; Molecular Biology; Chemistry, Medicinal; Food Science &amp; Technology</t>
  </si>
  <si>
    <t>Biochemistry &amp; Molecular Biology; Pharmacology &amp; Pharmacy; Food Science &amp; Technology</t>
  </si>
  <si>
    <t>1R6PV</t>
  </si>
  <si>
    <t>WOS:000803490700001</t>
  </si>
  <si>
    <t>Kolennikova, M; Gushchina, D</t>
  </si>
  <si>
    <t>Kolennikova, Maria; Gushchina, Daria</t>
  </si>
  <si>
    <t>Revisiting the Contrasting Response of Polar Stratosphere to the Eastern and Central Pacific El Ninos</t>
  </si>
  <si>
    <t>ENSO; stratosphere circulation; tropics-high latitude teleconnection</t>
  </si>
  <si>
    <t>NORTHERN WINTER STRATOSPHERE; SOUTHERN-OSCILLATION; ARCTIC OSCILLATION; ENSO; CIRCULATION; HEMISPHERE; PROPAGATION; CMIP5; TELECONNECTIONS; NONLINEARITY</t>
  </si>
  <si>
    <t>El Nino Southern Oscillation (ENSO) invokes the release of a large amount of heat and moisture into the tropical atmosphere, inducing circulation anomalies. The circulation response to ENSO propagates both horizontally poleward and vertically into the stratosphere. Here, we investigate the remote response of the polar stratosphere to ENSO using reanalysis data, along with composite and regression analysis. In particular, we focus on inter-event variability resulting from two ENSO types (the Eastern Pacific (EP) and the Central Pacific (CP) El Nino) and the inter-hemispheric difference in the ENSO responses. Consistent with previous results, we show that ENSO is associated with a weakening in the stratospheric polar vortex but emphasize that the polar stratosphere response strongly depends on the ENSO types, differs between the hemispheres, and changes from the lower to middle stratosphere. The main inter-hemispheric asymmetry manifests in response to the EP El Nino, which is not significant in the Southern Hemisphere, while CP events are associated with pronounced weakening in the polar vortex in both hemispheres. The weakening in the stratospheric polar vortex arguably results from the intensification in the wave flux from the troposphere into the stratosphere and is accompanied by increased heat transport. The latter causes stratospheric warming in the Artic and Antarctic and slows zonal currents. The response of the lower stratosphere circulation to ENSO is approximately the opposite to that of the middle stratosphere.</t>
  </si>
  <si>
    <t>[Kolennikova, Maria; Gushchina, Daria] Moscow State Univ MSU, Fac Geog, Moscow 119991, Russia</t>
  </si>
  <si>
    <t>Kolennikova, M; Gushchina, D (corresponding author), Moscow State Univ MSU, Fac Geog, Moscow 119991, Russia.</t>
  </si>
  <si>
    <t>mkolennikova@mail.ru; dasha155@mail.ru</t>
  </si>
  <si>
    <t>Tarasova, Maria/AGM-7923-2022</t>
  </si>
  <si>
    <t>Tarasova, Maria/0000-0003-1507-3088</t>
  </si>
  <si>
    <t>LomonosovMoscow State University [AAAA-A16-116032810086-4]; MSU Interdisciplinary Scientific and Educational School Development Program The Future of the Planet and the Development of the Environment</t>
  </si>
  <si>
    <t>LomonosovMoscow State University; MSU Interdisciplinary Scientific and Educational School Development Program The Future of the Planet and the Development of the Environment</t>
  </si>
  <si>
    <t>The research was funded by LomonosovMoscow State University (AAAA-A16-116032810086-4) and MSU Interdisciplinary Scientific and Educational School Development Program The Future of the Planet and the Development of the Environment.</t>
  </si>
  <si>
    <t>10.3390/atmos13050682</t>
  </si>
  <si>
    <t>1R5EW</t>
  </si>
  <si>
    <t>WOS:000803392600001</t>
  </si>
  <si>
    <t>Grillo, M; Huettmann, F; Guglielmo, L; Schiaparelli, S</t>
  </si>
  <si>
    <t>Grillo, Marco; Huettmann, Falk; Guglielmo, Letterio; Schiaparelli, Stefano</t>
  </si>
  <si>
    <t>Three-Dimensional Quantification of Copepods Predictive Distributions in the Ross Sea: First Data Based on a Machine Learning Model Approach and Open Access (FAIR) Data</t>
  </si>
  <si>
    <t>machine learning; Antarctic copepods; species distribution models (SDMs); Ross Sea; open source; FAIR data</t>
  </si>
  <si>
    <t>CLIMATE-CHANGE; ANTARCTIC COPEPODS; MARINE; FOOD; HETERORHABDIDAE; POPULATION; ECOLOGY; IMPACT; REGION; FISH</t>
  </si>
  <si>
    <t>Zooplankton is a fundamental group in aquatic ecosystems representing the base of the food chain. It forms a link between the lower trophic levels with secondary consumers and shows marked fluctuations in populations with environmental change, especially reacting to heating and water acidification. Marine copepods account for approx. 70% of the abundance of zooplankton and are a target of monitoring activities in key areas such as the Southern Ocean. In this study, we have used FAIR-inspired legacy data (dating back to the 1980s) collected in the Ross Sea by the Italian National Antarctic Program at GBIF.org. Together with other open-access GIS data sources and tools, it allows one to generate, for the first time, three-dimensional predictive distribution maps for twenty-six copepod species. These predictive maps were obtained by applying machine learning techniques to grey literature data, which were visualized in open-source GIS platforms. In a Species Distribution Modeling (SDM) framework, we used machine learning with three types of algorithms (TreeNet, RandomForest, and Ensemble) to analyze the presence and absence of copepods in different areas and depth classes as a function of environmental descriptors obtained from the Polar Macroscope Layers present in Quantartica. The models allow, for the first time, to map-predict the food chain per depth class in quantitative terms, showing the relative index of occurrence (RIO) in 3Dimensions and identifying the presence of each copepod species analyzed in the Ross Sea, a globally-relevant wilderness area of conservation concern. Our results show marked geographical preferences that vary with species and trophic strategy. This study demonstrates that machine learning is a successful method in accurately predicting the Antarctic copepod presence, also providing useful data to orient future sampling and the management of wildlife and conservation.</t>
  </si>
  <si>
    <t>[Grillo, Marco] Univ Siena, Dept Phys Sci Earth &amp; Environm DSFTA, I-53100 Siena, Italy; [Grillo, Marco; Schiaparelli, Stefano] Univ Genoa, Sect Genoa, Italian Natl Antarctic Museum MNA, Viale Benedetto XV 5, I-16132 Genoa, Italy; [Huettmann, Falk] Univ Alaska Fairbanks, EWHALE Lab Inst Arctic Biol, Biol &amp; Wildlife Dept, Fairbanks, AK 99775 USA; [Guglielmo, Letterio] Stn Zool Anton Dohrn, Integrat Marine Ecol Dept, I-80055 Naples, Italy; [Schiaparelli, Stefano] Univ Genoa, Dept Earth Environm &amp; Life Sci DISTAV, Corso Europa 26, I-16132 Genoa, Italy</t>
  </si>
  <si>
    <t>University of Siena; University of Genoa; University of Alaska System; University of Alaska Fairbanks; Stazione Zoologica Anton Dohrn di Napoli; University of Genoa</t>
  </si>
  <si>
    <t>Grillo, M (corresponding author), Univ Siena, Dept Phys Sci Earth &amp; Environm DSFTA, I-53100 Siena, Italy.;Grillo, M (corresponding author), Univ Genoa, Sect Genoa, Italian Natl Antarctic Museum MNA, Viale Benedetto XV 5, I-16132 Genoa, Italy.</t>
  </si>
  <si>
    <t>m.grillo@student.unisi.it; thuettmann@alaska.edu; guglielm@unime.it; stefano.schiaparelli@unige.it</t>
  </si>
  <si>
    <t>Schiaparelli, Stefano/0000-0002-0137-3605; Grillo, Marco/0000-0002-3188-9012</t>
  </si>
  <si>
    <t>Italian National Antarctic Museum (MNA)</t>
  </si>
  <si>
    <t>Sampling was performed in the frame work of PNRA expeditions carried out from 1988 to 1995 under the research projects 2.1.4.2 (PI Letterio Guglielmo) (1987/1988, III PNRA Expedition and 1989/1990, V PNRA Expedition) and 6.9 (PI Riccardo Cattaneo-Vietti) (1994-1995; X PNRA Expedition). The authors are grateful to the Italian National Antarctic Scientific Commission (CSNA) and the Italian National Antarctic program (PNRA) for the endorsement of this initiative and to the Italian National Antarctic Museum (MNA) for the financial support.</t>
  </si>
  <si>
    <t>10.3390/d14050355</t>
  </si>
  <si>
    <t>1R8RX</t>
  </si>
  <si>
    <t>WOS:000803632200001</t>
  </si>
  <si>
    <t>Stoyanova, K; Gerginova, M; Dincheva, I; Peneva, N; Alexieva, Z</t>
  </si>
  <si>
    <t>Stoyanova, Katya; Gerginova, Maria; Dincheva, Ivayla; Peneva, Nadejda; Alexieva, Zlatka</t>
  </si>
  <si>
    <t>Biodegradation of Naphthalene and Anthracene by Aspergillus glaucus Strain Isolated from Antarctic Soil</t>
  </si>
  <si>
    <t>PROCESSES</t>
  </si>
  <si>
    <t>biodegradation; PAH; Aspergillus glaucus; phenol 2-monooxygenase; catechol 1,2-dioxygenase</t>
  </si>
  <si>
    <t>POLYCYCLIC AROMATIC-HYDROCARBONS; HIGH-MOLECULAR-WEIGHT; FUNGAL METABOLISM; PAH-DEGRADATION; RING FISSION; PHENOL; BIOTRANSFORMATION; BIOREMEDIATION; IDENTIFICATION; PHENANTHRENE</t>
  </si>
  <si>
    <t>Biotechnologies based on microbial species capable of destroying harmful pollutants are a successful way to solve some of the most important problems associated with a clean environment. The subject of investigation is the Antarctic fungal strain Aspergillus glaucus AL1. The culturing of the examined strain was performed with 70 mg of wet mycelium being inoculated in a Czapek Dox liquid medium containing naphthalene, anthracene, or phenanthrene (0.3 g/L) as the sole carbon source. Progressively decreasing naphthalene and anthracene concentrations were monitored in the culture medium until the 15th day of the cultivation of A. glaucus AL1. The degradation was determined through gas chromatography-mass spectrometry. Both decreased by 66% and 44%, respectively, for this period. The GC-MS analyses were applied to identify salicylic acid, catechol, and ketoadipic acid as intermediates in the naphthalene degradation. The intermediates identified in anthracene catabolism are 2-hydroxy-1-naphthoic acid, o-phthalic acid, and protocatechuic acid. The enzyme activities for phenol 2-monooxygenase (1.14.13.7) and catechol 1,2-dioxygenase (1.13.11.1) were established. A gene encoding an enzyme with catechol 1,2-dioxygenase activity was identified and sequenced (GeneBank Ac. No KM360483). The recent study provides original data on the potential of an ascomycete's fungal strain A. glaucus strain AL 1 to degrade naphthalene and anthracene.</t>
  </si>
  <si>
    <t>[Stoyanova, Katya; Gerginova, Maria; Peneva, Nadejda; Alexieva, Zlatka] Bulgarian Acad Sci, Inst Microbiol, Dept Gen Microbiol, 26 Georgi Bonchev Str, Sofia 1113, Bulgaria; [Dincheva, Ivayla] Bulgarian Agr Acad, AgroBioInst, 8 Dragan Tsankov Blvd, Sofia 1164, Bulgaria</t>
  </si>
  <si>
    <t>Bulgarian Academy of Sciences; Medical University Sofia; Agricultural Academy - Bulgaria</t>
  </si>
  <si>
    <t>Alexieva, Z (corresponding author), Bulgarian Acad Sci, Inst Microbiol, Dept Gen Microbiol, 26 Georgi Bonchev Str, Sofia 1113, Bulgaria.</t>
  </si>
  <si>
    <t>katya_litova@abv.bg; maria_gg@yahoo.com; ivadincheva@yahoo.com; peneva_nad@yahoo.com; zlatkama@yahoo.com</t>
  </si>
  <si>
    <t>Gerginova, Maria Gerginova/K-7815-2016; Dincheva, Ivayla/K-8250-2013</t>
  </si>
  <si>
    <t>Dincheva, Ivayla/0000-0003-0276-4170</t>
  </si>
  <si>
    <t>Operational programme Science and Education for Smart Growth [BG05M2OP001-1.002-0019]; European Union through the European structural and investment funds</t>
  </si>
  <si>
    <t>Operational programme Science and Education for Smart Growth; European Union through the European structural and investment funds</t>
  </si>
  <si>
    <t>Project BG05M2OP001-1.002-0019: Clean technologies for sustainable environment-water, waste, energy for circular economy (Clean&amp;Circle), for development of a Centre of Competence, is financed by the Operational programme Science and Education for Smart Growth 2014-2020, co-funded by the European Union through the European structural and investment funds.</t>
  </si>
  <si>
    <t>2227-9717</t>
  </si>
  <si>
    <t>Processes</t>
  </si>
  <si>
    <t>10.3390/pr10050873</t>
  </si>
  <si>
    <t>Engineering, Chemical</t>
  </si>
  <si>
    <t>1R5CS</t>
  </si>
  <si>
    <t>WOS:000803387000001</t>
  </si>
  <si>
    <t>Noli, NF; Brandt, A; Di Franco, D; Schiaparelli, S</t>
  </si>
  <si>
    <t>Noli, Nicholas Francesco; Brandt, Angelika; Di Franco, Davide; Schiaparelli, Stefano</t>
  </si>
  <si>
    <t>Chaetarcturus cervicornis sp. n., a New Ross Sea Isopod of the Genus Chaetarcturus Brandt, 1990 (Crustacea, Malacostraca)</t>
  </si>
  <si>
    <t>Ross Sea; Mawson Bank; morphology; distribution</t>
  </si>
  <si>
    <t>In the framework of the PNRA (Italian National Antarctic Research Program) project CARBONANT focusing on biogenic carbonates and held in January-February 2002, several Ross Sea banks were sampled to obtain samples of biogenic carbonates. In the Mawson Bank, species belonging to the isopod genus Chaetarcturus Brandt, 1990 were recorded, including a specimen that did not match any described species. In this paper we describe Chaetarcturus cervicornis sp. n., which is characterized by supraocular spines and two pairs of tubercle-like protrusions on the cephalothorax. The new species is very similar to C. bovinus (Brandt &amp; Wagele, 1988) and C. adareanus (Hodgson, 1902), but has a clearly different spine pattern. The study of the species of the genus Chaetarcturus in the Ross Sea contributes to increase our knowledge on the diversity of the Antarcturidae in the Southern Ocean. Ross Sea banks seem to hold an interesting and not-well-known fauna, deserving attention in future research.</t>
  </si>
  <si>
    <t>[Noli, Nicholas Francesco] Univ Siena, Dept Phys Sci Earth &amp; Environm DSFTA, I-53100 Siena, Italy; [Brandt, Angelika] Senckenberg Res Inst, D-60325 Frankfurt, Germany; [Brandt, Angelika] Nat Hist Museum, D-60325 Frankfurt, Germany; [Brandt, Angelika; Di Franco, Davide] Goethe Univ Frankfurt, Inst Ecol Div &amp; Evolut, D-60325 Frankfurt, Germany; [Schiaparelli, Stefano] Univ Genoa, MNA, Italian Natl Antarctic Museum, Sect Genoa, Viale Benedetto XV 5, I-16132 Genoa, Italy</t>
  </si>
  <si>
    <t>University of Siena; Senckenberg Gesellschaft fur Naturforschung (SGN); Goethe University Frankfurt; University of Genoa</t>
  </si>
  <si>
    <t>Noli, NF (corresponding author), Univ Siena, Dept Phys Sci Earth &amp; Environm DSFTA, I-53100 Siena, Italy.</t>
  </si>
  <si>
    <t>n.noli@student.unisi.it; angelika.brandt@senckenberg.de; davide.di-franco@senckenberg.de; stefano.schiaparelli@unige.it</t>
  </si>
  <si>
    <t>Brandt, Angelika/0000-0002-5807-1632; Noli, Nicholas/0000-0001-8452-2882</t>
  </si>
  <si>
    <t>Italian National Antarctic Research Program (PNRA); Italian National AntarcticMuseum (MNA)</t>
  </si>
  <si>
    <t>Italian National Antarctic Research Program (PNRA)(Ministry of Education, Universities and Research (MIUR)); Italian National AntarcticMuseum (MNA)</t>
  </si>
  <si>
    <t>The specimens were collected during different Antarctic expeditions funded by the Italian National Antarctic Research Program (PNRA), in particular the project CARBONANT (Processi genetici e significato paleoclimatico e paleoceanografico dei CARBONati marini biogenici in ANTartide), XVII expedition (2001/2002) (P.I. Marco Taviani). Authors are grateful to the Italian National Antarctic Scientific Commission (CSNA) and the Italian National Antarctic program (PNRA) for the endorsement of the Special Issue initiative and to the Italian National AntarcticMuseum (MNA) for the financial support.</t>
  </si>
  <si>
    <t>10.3390/d14050386</t>
  </si>
  <si>
    <t>1R2EH</t>
  </si>
  <si>
    <t>WOS:000803188100001</t>
  </si>
  <si>
    <t>Zhang, CN; Evtushevsky, O; Milinevsky, G; Klekociuk, A; Andrienko, Y; Shulga, V; Han, W; Shi, Y</t>
  </si>
  <si>
    <t>Zhang, Chenning; Evtushevsky, Oleksandr; Milinevsky, Gennadi; Klekociuk, Andrew; Andrienko, Yulia; Shulga, Valery; Han, Wei; Shi, Yu</t>
  </si>
  <si>
    <t>The Annual Cycle in Mid-Latitude Stratospheric and Mesospheric Ozone Associated with Quasi-Stationary Wave Structure by the MLS Data 2011-2020</t>
  </si>
  <si>
    <t>quasi-stationary wave; stratosphere; mesosphere; westward phase tilt; geopotential height; ozone; annual and semi-annual oscillation</t>
  </si>
  <si>
    <t>PLANETARY-WAVES; LONGITUDE DEPENDENCE; MICROWAVE RADIOMETER; LOWER THERMOSPHERE; ZONAL ASYMMETRIES; CLIMATOLOGY; TRENDS; CIRCULATION; VARIABILITY; OSCILLATIONS</t>
  </si>
  <si>
    <t>The purpose of this work is to study quasi-stationary wave structure in the mid-latitude stratosphere and mesosphere (40-50 degrees N) and its role in the formation of the annual ozone cycle. Geopotential height and ozone from Aura MLS data are used and winter climatology for January-February 2011-2020 is considered. The 10-degree longitude segment centered on Longfengshan Brewer station (44.73 degrees N, 127.60 degrees E), China, is examined in detail. The station is located in the region of the Aleutian Low associated with the quasi-stationary zonal maximum of total ozone. Annual and semi-annual oscillations in ozone using units of ozone volume mixing ratio and concentration, as well as changes in ozone peak altitude and in time series of ozone at individual pressure levels between 316 hPa (9 km) and 0.001 hPa (96 km) were compared. The ozone maximum in the vertical profile is higher in volume mixing ratio (VMR) values than in concentration by about 15 km (5 km) in the stratosphere (mesosphere), consistent with some previous studies. We found that the properties of the annual cycle are better resolved in the altitude range of the main ozone maximum: middle-upper stratosphere in VMR and lower stratosphere in concentration. Both approaches reveal annual and semi-annual changes in the ozone peak altitudes in a range of 4-6 km during the year. In the lower-stratospheric ozone of the Longfengshan domain, an earlier development of the annual cycle takes place with a maximum in February and a minimum in August compared to spring and autumn, respectively, in zonal means. This is presumably due to the higher rate of dynamical ozone accumulation in the region of the quasi-stationary zonal ozone maximum. The no-annual-cycle transition layers are found in the stratosphere and mesosphere. These layers with undisturbed ozone volume mixing ratio are of interest for more detailed future study.</t>
  </si>
  <si>
    <t>[Zhang, Chenning; Milinevsky, Gennadi; Shulga, Valery; Han, Wei; Shi, Yu] Jilin Univ, Coll Phys, Int Ctr Future Sci, Changchun 130012, Peoples R China; [Evtushevsky, Oleksandr; Milinevsky, Gennadi; Andrienko, Yulia] Taras Shevchenko Natl Univ Kyiv, Phys Fac, UA-01601 Kiev, Ukraine; [Milinevsky, Gennadi] Natl Antarctic Sci Ctr, Dept Atmosphere Phys &amp; Geospace, UA-01601 Kiev, Ukraine; [Milinevsky, Gennadi] Univ Lille, Dept Phys, Lab Opt Atmospher, F-59655 Villeneuve Dascq, France; [Klekociuk, Andrew] Australian Antarctic Div, Antarctic Climate Program, Kingston, Tas 7050, Australia; [Klekociuk, Andrew] Univ Adelaide, Dept Phys, Adelaide, SA 5005, Australia; [Shulga, Valery] Natl Acad Sci Ukraine, Inst Radio Astron, Dept Millimeter Radio Astron, UA-61002 Kharkiv, Ukraine</t>
  </si>
  <si>
    <t>Jilin University; Ministry of Education &amp; Science of Ukraine; Taras Shevchenko National University of Kyiv; Ministry of Education &amp; Science of Ukraine; State Institution National Antarctic Scientific Center; Universite de Lille; Australian Antarctic Division; University of Adelaide; National Academy of Sciences Ukraine; Institute of Radio Astronomy of the National Academy of Sciences of Ukraine</t>
  </si>
  <si>
    <t>Milinevsky, G (corresponding author), Jilin Univ, Coll Phys, Int Ctr Future Sci, Changchun 130012, Peoples R China.;Milinevsky, G (corresponding author), Taras Shevchenko Natl Univ Kyiv, Phys Fac, UA-01601 Kiev, Ukraine.;Milinevsky, G (corresponding author), Natl Antarctic Sci Ctr, Dept Atmosphere Phys &amp; Geospace, UA-01601 Kiev, Ukraine.;Milinevsky, G (corresponding author), Univ Lille, Dept Phys, Lab Opt Atmospher, F-59655 Villeneuve Dascq, France.</t>
  </si>
  <si>
    <t>zhangcn19@mails.jlu.edu.cn; evtush@univ.kiev.ua; gmilin@univ.kiev.ua; andrew.klekociuk@awe.gov.au; andrienko.yu@univ.kiev.ua; shulga@rian.kharkov.ua; whan@jlu.edu.cn; shiyu18@mails.jlu.edu.cn</t>
  </si>
  <si>
    <t>Milinevsky, Gennadi/AAD-8801-2019; Han, Wei/N-7151-2018; Evtushevsky, Oleksandr O.M./F-2065-2017; Andrienko, Yulia/ACF-6867-2022; Klekociuk, Andrew/A-4498-2015</t>
  </si>
  <si>
    <t>Milinevsky, Gennadi/0000-0002-2342-2615; Han, Wei/0000-0002-4830-3487; Evtushevsky, Oleksandr O.M./0000-0003-0582-559X; Andrienko, Yulia/0000-0002-4735-467X; Klekociuk, Andrew/0000-0003-3335-0034; Shulga, Valery/0000-0001-6529-5610</t>
  </si>
  <si>
    <t>College of Physics, International Center of Future Science, Jilin University, China; Ministry of Education and Science of Ukraine [BN-06, 20BF051-02]; Australian Antarctic Program [4293]</t>
  </si>
  <si>
    <t>College of Physics, International Center of Future Science, Jilin University, China; Ministry of Education and Science of Ukraine; Australian Antarctic Program</t>
  </si>
  <si>
    <t>This work was partially supported by the College of Physics, International Center of Future Science, Jilin University, China, and by the Ministry of Education and Science of Ukraine with the grant BN-06 for prospective development of a scientific direction Mathematical sciences and natural sciences and the project 20BF051-02 at Taras Shevchenko National University of Kyiv. This work contributed to Project 4293 of the Australian Antarctic Program, and to the National Antarctic Scientific Center of Ukraine research objectives. We thank observers at the Longfengshan Brewer station and the WOUDC for total ozone data. The Aura Microwave Limb Sounder (MLS) data were obtained from the Goddard Earth Sciences Data and Information Services Center.</t>
  </si>
  <si>
    <t>10.3390/rs14102309</t>
  </si>
  <si>
    <t>1R3GT</t>
  </si>
  <si>
    <t>WOS:000803262100001</t>
  </si>
  <si>
    <t>Acuña-Rodríguez, IS; Ballesteros, GI; Atala, C; Gundel, PE; Molina-Montenegro, MA</t>
  </si>
  <si>
    <t>Acuna-Rodriguez, Ian S.; Ballesteros, Gabriel, I; Atala, Cristian; Gundel, Pedro E.; Molina-Montenegro, Marco A.</t>
  </si>
  <si>
    <t>Hardening Blueberry Plants to Face Drought and Cold Events by the Application of Fungal Endophytes</t>
  </si>
  <si>
    <t>AGRONOMY-BASEL</t>
  </si>
  <si>
    <t>plant-microorganisms interaction; water deficit; cold-stress; functional symbiosis</t>
  </si>
  <si>
    <t>PHYSIOLOGICAL-PARAMETERS; STRESS TOLERANCE; FRUIT-QUALITY; RESPONSES; CHALLENGES; PROLINE; DEFICIT; FUTURE; YIELD</t>
  </si>
  <si>
    <t>Harsh environmental conditions derived from current climate change trends are among the main challenges for agricultural production worldwide. In the Mediterranean climatic region of central Chile, sudden occurrence of spring cold temperatures in combination with water shortage for irrigation (drought) constitutes a major limitation to highbush blueberry (Vaccinium corymbosum) plantations, as flowering and fruiting stages are highly sensitive. Hardening crops may be achievable by boosting beneficial interactions of plants with microorganisms. Inoculation with symbiotic fungi isolated from plants adapted to extreme environments could be a good strategy, if they are able to maintain functional roles with non-original hosts. Here, we evaluated the effect of two Antarctic fungal endophytes (AFE), Penicillium rubens and P. bialowienzense, on the tolerance of V. corymbosum plants to cold events in combination with drought under controlled conditions. Inoculated and uninoculated plants were exposed for a month to one event of a cold temperature (2 degrees C/8 h) per week with or without drought and were evaluated in physiological, biochemical, and molecular variables. A complementary set of plants was kept under the same environmental conditions for two additional months to evaluate survival as well as fruit weight and size. There was an overall positive effect of AFE on plant performance in both environmental conditions. Endophyte-inoculated plants exhibited higher gene expression of the Late Embryogenesis Abundant protein (LEA1), higher photochemical efficiency (Fv/Fm), and low oxidative stress (TBARS) than uninoculated counterparts. On the other hand, plant survival was positively affected by the presence of fungal endophytes. Similarly, fruit diameter and fruit fresh weight were improved by fungal inoculation, being this difference higher under well-watered condition. Inoculating plants with fungal endophytes isolated from extreme environments represents a promising alternative for hardening crops. This is especially relevant nowadays since agriculture is confronting great environmental uncertainties and difficulties which could became worse in the near future due to climate change.</t>
  </si>
  <si>
    <t>[Acuna-Rodriguez, Ian S.; Ballesteros, Gabriel, I; Gundel, Pedro E.; Molina-Montenegro, Marco A.] Univ Talca, Ctr Ecol Integrat, Inst Ciencias Biol, Campus Talca,Avda Lircay S-N, Talca 3460000, Chile; [Acuna-Rodriguez, Ian S.; Ballesteros, Gabriel, I] Univ Talca, Inst Invest Interdisciplinaria I3, Campus Talca,Avda Lircay S-N, Talca 3460000, Chile; [Atala, Cristian] Pontificia Univ Catolica Valparaiso, Fac Ciencias, Inst Biol, Campus Curauma,Ave Univ 330, Valparaiso 2340000, Chile; [Gundel, Pedro E.] Univ Buenos Aires, Fac Agron, IFEVA, CONICET, RA-1426 Buenos Aires, DF, Argentina; [Molina-Montenegro, Marco A.] Univ Catolica Norte, Fac Ciencias Mar, Ctr Estudios Avanzados Zonas Aridas CEAZA, Coquimbo 1780000, Chile; [Molina-Montenegro, Marco A.] Univ Catolica Maule, Ctr Invest Estudios Avanzados Maule CIEAM, Talca 3460000, Chile</t>
  </si>
  <si>
    <t>Universidad de Talca; Universidad de Talca; Pontificia Universidad Catolica de Valparaiso; Consejo Nacional de Investigaciones Cientificas y Tecnicas (CONICET); University of Buenos Aires; Universidad Catolica del Norte; Universidad Catolica del Maule</t>
  </si>
  <si>
    <t>Molina-Montenegro, MA (corresponding author), Univ Talca, Ctr Ecol Integrat, Inst Ciencias Biol, Campus Talca,Avda Lircay S-N, Talca 3460000, Chile.;Molina-Montenegro, MA (corresponding author), Univ Catolica Norte, Fac Ciencias Mar, Ctr Estudios Avanzados Zonas Aridas CEAZA, Coquimbo 1780000, Chile.;Molina-Montenegro, MA (corresponding author), Univ Catolica Maule, Ctr Invest Estudios Avanzados Maule CIEAM, Talca 3460000, Chile.</t>
  </si>
  <si>
    <t>iacuna@utalca.cl; gballesteros@utalca.cl; cristian.atala@pucv.cl; pedro.gundel@utalca.cl; marco.molina@utalca.cl</t>
  </si>
  <si>
    <t>Ballesteros, Gabriel/IAN-7082-2023; Ballesteros, Gabriel/AAW-7032-2021; Gundel, Pedro Emilio/A-5314-2013</t>
  </si>
  <si>
    <t>Ballesteros, Gabriel/0000-0002-3179-3168; Gundel, Pedro Emilio/0000-0003-3246-0282; Atala, Cristian/0000-0003-1337-9534</t>
  </si>
  <si>
    <t>FONDECYT [1181034]; ANID-PIA-Anillo INACH [ACT192057]; NSFC [190013]</t>
  </si>
  <si>
    <t>FONDECYT(Comision Nacional de Investigacion Cientifica y Tecnologica (CONICYT)CONICYT FONDECYT); ANID-PIA-Anillo INACH; NSFC(National Natural Science Foundation of China (NSFC))</t>
  </si>
  <si>
    <t>This study was funded by FONDECYT 1181034, ANID-PIA-Anillo INACH ACT192057 and NSFC190013.</t>
  </si>
  <si>
    <t>2073-4395</t>
  </si>
  <si>
    <t>Agronomy-Basel</t>
  </si>
  <si>
    <t>10.3390/agronomy12051000</t>
  </si>
  <si>
    <t>Agronomy; Plant Sciences</t>
  </si>
  <si>
    <t>Agriculture; Plant Sciences</t>
  </si>
  <si>
    <t>1Q0FX</t>
  </si>
  <si>
    <t>WOS:000802376100001</t>
  </si>
  <si>
    <t>Trentin, R; Negrisolo, E; Moschin, E; Veronese, D; Cecchetto, M; Moro, I</t>
  </si>
  <si>
    <t>Trentin, Riccardo; Negrisolo, Enrico; Moschin, Emanuela; Veronese, Davide; Cecchetto, Matteo; Moro, Isabella</t>
  </si>
  <si>
    <t>Microglena antarctica sp. nov. a New Antarctic Green Alga from Inexpressible Island (Terra Nova Bay, Ross Sea) Revealed through an Integrative Approach</t>
  </si>
  <si>
    <t>Antarctica; biodiversity; Chlorophyceae; Microglena; molecular phylogeny; Monadina clade; Ross Sea; 18S rDNA; ITS-2 DNA barcode</t>
  </si>
  <si>
    <t>PHYLOGENETIC POSITION; SPECIES DELIMITATION; EUKARYOTIC DIVERSITY; CHLOROPHYCEAE; VOLVOCALES; ALIGNMENT; TREE; MORPHOLOGY; INFERENCE; ACCURATE</t>
  </si>
  <si>
    <t>One of the aims of the XXXIV Italian Antarctic Expedition is the study of the photosynthetic biodiversity of the Ross Sea. To achieve this goal, sea-ice samples were collected from Inexpressible Island and a strain of a green microalga (IMA076A) was isolated for morphological and molecular investigations. Combining: (1) phylogenetic analyses of the small subunit rDNA (18S rDNA) and of the internal transcribed spacer 2 (ITS-2) sequences; (2) species delimitation methods; (3) comparative analyses of the secondary structures of ITS-2 and compensatory base changes; (4) morphological, ultrastructural and ecological features, we described the strain IMA076A and its relatives as the new species Microglena antarctica sp. nov. The discovery of a new species of Chlorophyceae highlights that the biological diversity of Antarctic microalgae is more extensive than previously thought and that molecular phylogeny together with compensatory base changes (CBCs) approach are pivotal in the identification of cryptic microalgae.</t>
  </si>
  <si>
    <t>[Trentin, Riccardo; Moschin, Emanuela] Univ Padua, Dept Biol, Via U Bassi 58-B, I-35121 Padua, Italy; [Negrisolo, Enrico; Moro, Isabella] Univ Padua, Dept Comparat Biomed &amp; Food Sci, Viale Univ 16, I-35020 Legnaro, Italy; [Veronese, Davide] Univ Padua, Dept Pharmaceut &amp; Pharmacol Sci, Via Marzolo 5, I-35121 Padua, Italy; [Cecchetto, Matteo] Univ Genoa, Dept Earth Environm &amp; Life Sci, DISTAV, Corso Europa 26, I-16132 Genoa, Italy; [Cecchetto, Matteo] Univ Genoa, Sect Genova, Italian Natl Antarctic Museum MNA, Corso Europa 26, I-16132 Genoa, Italy</t>
  </si>
  <si>
    <t>University of Padua; University of Padua; University of Padua; University of Genoa; University of Genoa</t>
  </si>
  <si>
    <t>Moro, I (corresponding author), Univ Padua, Dept Comparat Biomed &amp; Food Sci, Viale Univ 16, I-35020 Legnaro, Italy.</t>
  </si>
  <si>
    <t>riccardo.trentin.2@studenti.unipd.it; enrico.negrisolo@unipd.it; emanuela.moschin@unipd.it; davide.veronese.4@studenti.unipd.it; matteocecchetto@gmail.com; isabella.moro@unipd.it</t>
  </si>
  <si>
    <t>Cecchetto, Matteo/KGL-8310-2024; Negrisolo, Enrico/K-8124-2015</t>
  </si>
  <si>
    <t>Cecchetto, Matteo/0000-0002-4505-4104; Negrisolo, Enrico/0000-0002-6244-805X; MORO, ISABELLA/0000-0002-7850-6031</t>
  </si>
  <si>
    <t>PNRA project [PNRA 16 00120-TNB]; Italian National Antarctic Museum (MNA)</t>
  </si>
  <si>
    <t>PNRA project; Italian National Antarctic Museum (MNA)</t>
  </si>
  <si>
    <t>We wish to thank the Electron Microscopy Facility of the Department of Biology at the University of Padova. This research was funded by the PNRA project PNRA 16 00120-TNB-code: 'Terra Nova Bay barcoding and metabarcoding of Antarctic organisms from marine and limno-terrestrial environments' (PI: S. Schiaparelli). Authors are grateful to the Italian National Antarctic Scientific Commission (CSNA) and the Italian National Antarctic program (PNRA) for the endorsement of the Special Issue initiative and to the Italian National Antarctic Museum (MNA) for the financial support.</t>
  </si>
  <si>
    <t>10.3390/d14050337</t>
  </si>
  <si>
    <t>1Q0HF</t>
  </si>
  <si>
    <t>WOS:000802379500001</t>
  </si>
  <si>
    <t>Zeng, YX; Li, HR; Luo, W</t>
  </si>
  <si>
    <t>Zeng, Yin-Xin; Li, Hui-Rong; Luo, Wei</t>
  </si>
  <si>
    <t>Gene Transfer Agent g5 Gene Reveals Bipolar and Endemic Distribution of Roseobacter Clade Members in Polar Coastal Seawater</t>
  </si>
  <si>
    <t>gene transfer agent; Roseobacter; diversity; distribution; Kongsfjorden; Maxwell Bay</t>
  </si>
  <si>
    <t>SP NOV.; BACTERIOPLANKTON COMMUNITY; DIVERSITY; BACTERIA; SEA; SEQUENCES; GENOMICS</t>
  </si>
  <si>
    <t>The Roseobacter clade represents one of the most abundant groups of marine bacteria and plays important biogeochemical roles in marine environments. Roseobacter genomes commonly contain a conserved gene transfer agent (GTA) gene cluster. A major capsid protein-encoding GTA (g5) has been used as a genetic marker to estimate the diversity of marine roseobacters. Here, the diversity of roseobacters in the coastal seawater of Arctic Kongsfjorden and Antarctic Maxwell Bay was investigated based on g5 gene clone library analysis. Four g5 gene clone libraries were constructed from microbial assemblages representing Arctic and Antarctic regions. The genus Phaeobacter was exclusively detected in Arctic seawater, whereas the genera Jannaschia, Litoreibacter and Pacificibacter were only observed in Antarctic seawater. More diverse genera within the Roseobacter clade were observed in Antarctic clones than in Arctic clones. The genera Sulfitobacter, Loktanella and Yoonia were dominant (higher than 10% of total clones) in both Arctic and Antarctic samples, implying their roles in polar marine environments. The results not only indicated a bipolar or even global distribution of roseobacters in marine environments but also showed their endemic distribution either in the Arctic or Antarctic. Endemic phylotypes were more frequently observed in polar regions than cosmopolitan phylotypes. In addition, endemic phylotypes were more abundant in Arctic samples (84.8% of Arctic sequences) than in Antarctic samples (54.3% of Antarctic sequences).</t>
  </si>
  <si>
    <t>[Zeng, Yin-Xin; Li, Hui-Rong; Luo, Wei] Minist Nat Resources, Key Lab Polar Sci, Polar Res Inst China, Shanghai 200136, Peoples R China; [Zeng, Yin-Xin] Shanghai Jiao Tong Univ, Sch Oceanog, Shanghai 200030, Peoples R China; [Zeng, Yin-Xin] Polar Res Inst China, Antarctic Great Wall Ecol Natl Observat &amp; Res Stn, Shanghai 201209, Peoples R China</t>
  </si>
  <si>
    <t>Zeng, YX (corresponding author), Minist Nat Resources, Key Lab Polar Sci, Polar Res Inst China, Shanghai 200136, Peoples R China.;Zeng, YX (corresponding author), Shanghai Jiao Tong Univ, Sch Oceanog, Shanghai 200030, Peoples R China.;Zeng, YX (corresponding author), Polar Res Inst China, Antarctic Great Wall Ecol Natl Observat &amp; Res Stn, Shanghai 201209, Peoples R China.</t>
  </si>
  <si>
    <t>zengyinxin@pric.org.cn; lihuirong@pric.org.cn; luowei@pric.org.cn</t>
  </si>
  <si>
    <t>National Key Research and Development Program of China [2018YFC1406903]; National Natural Science Foundation of China [91851201, 41476171]</t>
  </si>
  <si>
    <t>This work was supported by the National Key Research and Development Program of China (Grant No. 2018YFC1406903) and the National Natural Science Foundation of China (Grant Nos 91851201 and 41476171).</t>
  </si>
  <si>
    <t>10.3390/d14050392</t>
  </si>
  <si>
    <t>1R5QJ</t>
  </si>
  <si>
    <t>WOS:000803423500001</t>
  </si>
  <si>
    <t>Soto-Rogel, P; Aravena, JC; Villalba, R; Bringas, C; Meier, WJH; Gonzalez-Reyes, A; Griessinger, J</t>
  </si>
  <si>
    <t>Soto-Rogel, Pamela; Carlos Aravena, Juan; Villalba, Ricardo; Bringas, Christian; Meier, Wolfgang Jens-Henrik; Gonzalez-Reyes, Alvaro; Griessinger, Jussi</t>
  </si>
  <si>
    <t>Two Nothofagus Species in Southernmost South America Are Recording Divergent Climate Signals</t>
  </si>
  <si>
    <t>FORESTS</t>
  </si>
  <si>
    <t>ring-width index; climate; Antarctic Oscillation (AAO); Nothofagus betuloides; Nothofagus pumilio</t>
  </si>
  <si>
    <t>INDUCED TREE MORTALITY; TIERRA-DEL-FUEGO; GROWTH-PATTERNS; RADIAL GROWTH; DROUGHT; PATAGONIA; FORESTS; PUMILIO; DENDROCLIMATOLOGY; VARIABILITY</t>
  </si>
  <si>
    <t>Recent climatic trends, such as warming temperatures, decrease in rainfall, and extreme weather events (e.g., heatwaves), are negatively affecting the performance of forests. In northern Patagonia, such conditions have caused tree growth reduction, crown dieback, and massive die-back events. However, studies looking at these consequences in the southernmost temperate forest (Nothofagus betuloides and Nothofagus pumilio) are much scarcer, especially in southernmost South America (SSA). These forests are also under the influence of the positive phase of Antarctic Oscillation (AAO, also known as Southern Annular Mode, SAM) that has been associated with increasing trends in temperature, drought, and extreme events in the last decades. This study evaluated the growth patterns and the climatic response of eight new tree-ring chronologies from Nothofagus species located at the upper treeline along different environmental gradients in three study areas: Punta Arenas, Yendegaia National Park, and Navarino Island in SSA. The main modes of the ring-width index (RWI) variation were studied using principal component analysis (PCA). We found that PC1 has the higher loadings for sites with precipitation values over 600 mm/yr, PC2 with N. betuloides sites, and PC3 with higher loadings for sites with precipitation values below 600 mm/yr. Our best growth-climate relationships are between N. betuloides and AAO and the most northeastern site of N. pumilio with relative humidity (which coincides with heatwaves and extreme drought). The climatic signals imprinted in the southernmost forests are sensitive to climatic variability, the climate forcing AAO, and the effects of climate change in the last decades.</t>
  </si>
  <si>
    <t>[Soto-Rogel, Pamela; Meier, Wolfgang Jens-Henrik; Griessinger, Jussi] Friedrich Alexander Univ Erlangen Nurnberg, Inst Geog, D-91058 Erlangen, Germany; [Soto-Rogel, Pamela; Carlos Aravena, Juan; Bringas, Christian] Univ Magallanes UMAG, Ctr Invest GAIA Antartica, Punta Arenas 6200000, Chile; [Soto-Rogel, Pamela; Carlos Aravena, Juan] Cape Horn Int Ctr CHIC, Puerto Williams 6350000, Chile; [Villalba, Ricardo] Inst Argentino Nivol Glaciol &amp; Ciencias Ambiental, RA-5500 Mendoza, Argentina; [Gonzalez-Reyes, Alvaro] Univ Mayor, Fac Ciencias, Hemera Ctr Observac Tierra, Escuela Ingn Forestal, Huechuraba 8580745, Chile; [Gonzalez-Reyes, Alvaro] Ctr FONDAP Invest Dinam Ecosistemas Marinos Altas, Valdivia 5090000, Chile</t>
  </si>
  <si>
    <t>University of Erlangen Nuremberg; Universidad Mayor</t>
  </si>
  <si>
    <t>Soto-Rogel, P (corresponding author), Friedrich Alexander Univ Erlangen Nurnberg, Inst Geog, D-91058 Erlangen, Germany.;Soto-Rogel, P (corresponding author), Univ Magallanes UMAG, Ctr Invest GAIA Antartica, Punta Arenas 6200000, Chile.;Soto-Rogel, P (corresponding author), Cape Horn Int Ctr CHIC, Puerto Williams 6350000, Chile.</t>
  </si>
  <si>
    <t>pamela.soto.rogel@fau.de; juan.aravenadonaire@gmail.com; ricardo@mendoza-conicet.gob.ar; chbr.skt@gmail.com; wolfgang.jh.meier@fau.de; gonzalezreyesalvaro@gmail.com; jussi.griessinger@fau.de</t>
  </si>
  <si>
    <t>Griessinger, Jussi/D-6318-2013</t>
  </si>
  <si>
    <t>Griessinger, Jussi/0000-0001-6103-2071; Soto-Rogel, Pamela/0000-0002-6488-9115; Villalba, Ricardo/0000-0001-8183-0310; Meier, Wolfgang/0000-0002-3167-7570</t>
  </si>
  <si>
    <t>ANID-Chilean scholarship [72190234]; ANID-BMBF project AVOID [180005, FKZ 01DN19036]; Fondecyt [1180717]; ANID/BASAL [FB210018]</t>
  </si>
  <si>
    <t>ANID-Chilean scholarship; ANID-BMBF project AVOID; Fondecyt(Comision Nacional de Investigacion Cientifica y Tecnologica (CONICYT)CONICYT FONDECYT); ANID/BASAL</t>
  </si>
  <si>
    <t>This work was supported by the ANID-Chilean scholarship (grant 72190234) and by the ANID-BMBF project AVOID (grant no. 180005 and FKZ 01DN19036). J.C.A. acknowledges Fondecyt (grant 1180717) and ANID/BASAL FB210018.</t>
  </si>
  <si>
    <t>1999-4907</t>
  </si>
  <si>
    <t>Forests</t>
  </si>
  <si>
    <t>10.3390/f13050794</t>
  </si>
  <si>
    <t>Forestry</t>
  </si>
  <si>
    <t>1Q1YC</t>
  </si>
  <si>
    <t>WOS:000802491000001</t>
  </si>
  <si>
    <t>Feng, L; Liu, CY; Köhl, A; Wang, F</t>
  </si>
  <si>
    <t>Feng, Ling; Liu, Chuanyu; Koehl, Armin; Wang, Fan</t>
  </si>
  <si>
    <t>Seasonality of Four Types of Baroclinic Instability in the Global Oceans</t>
  </si>
  <si>
    <t>seasonal variability; baroclinic instability types; baroclinic energy conversion rate; mesoscale eddies</t>
  </si>
  <si>
    <t>NORTHWESTERN PACIFIC-OCEAN; SUBTHERMOCLINE EDDIES; DISPERSION-RELATION; EDDY VARIABILITY; PLANETARY-WAVES; MEAN FLOW; MESOSCALE; STABILITY; GENERATION; ENERGY</t>
  </si>
  <si>
    <t>Distinct geographical distributions of four types of mesoscale baroclinic instabilities (BCIs) exist in the global oceans, implying preferences of surface or subsurface mesoscale eddies to specific regions. This study explores seasonal variations of global BCI types and their dependence on varying background ocean states with a focus on three representative regions. First, the regions of the Kuroshio Extension and Gulf Stream are representative for distinctive seasonal transition of BCI types: the Charney surface BCIs prevail in winter, while the Phillips BCIs prevail in summer, which is controlled by weak (strong) upper-layer stratification in winter (summer) but is less impacted by the seasonal changes in the mean flow-induced shear. Second, the region covering both the tropics and subtropics of the North Pacific (10 degrees N-35 degrees N) is representative for seasonal meridional migration of the border between the domains of the Phillips and the Charney surface BCIs; their border migrates equatorward (poleward) in spring and summer (autumn and winter), which is primarily caused by the equatorward (poleward) shift of both the North Equatorial Current and the Subtropical Countercurrent in spring and summer (autumn and winter), and is secondarily modulated by the variation in the upper-layer stratification. Third, the Antarctic Circumpolar Current region is chosen to represent a weak seasonal variation of BCIs. Those seasonal variations in BCI types are further demonstrated as being associated with seasonal variations of baroclinic conversion rate, implying possible generation of corresponding eddies.</t>
  </si>
  <si>
    <t>[Feng, Ling; Liu, Chuanyu; Wang, Fan] Chinese Acad Sci IOCAS, Inst Oceanol, CAS Key Lab Ocean Circulat &amp; Waves, Qingdao, Peoples R China; [Feng, Ling; Liu, Chuanyu; Wang, Fan] Chinese Acad Sci, Ctr Ocean Mega Sci, Qingdao, Peoples R China; [Liu, Chuanyu; Wang, Fan] Univ Chinese Acad Sci UCAS, Coll Earth &amp; Planetary Sci, Beijing, Peoples R China; [Liu, Chuanyu; Wang, Fan] Pilot Natl Lab Marine Sci &amp; Technol Qingdao QNLM, Marine Dynam Proc &amp; Climate Funct Lab, Qingdao, Peoples R China; [Koehl, Armin] Univ Hamburg, Inst Oceanog IFM, Ctr Earth Syst Res &amp; Sustainabil CEN, Hamburg, Germany</t>
  </si>
  <si>
    <t>Chinese Academy of Sciences; Institute of Oceanology, CAS; Chinese Academy of Sciences; Laoshan Laboratory; University of Hamburg</t>
  </si>
  <si>
    <t>Liu, CY; Wang, F (corresponding author), Chinese Acad Sci IOCAS, Inst Oceanol, CAS Key Lab Ocean Circulat &amp; Waves, Qingdao, Peoples R China.;Liu, CY; Wang, F (corresponding author), Chinese Acad Sci, Ctr Ocean Mega Sci, Qingdao, Peoples R China.;Liu, CY; Wang, F (corresponding author), Univ Chinese Acad Sci UCAS, Coll Earth &amp; Planetary Sci, Beijing, Peoples R China.;Liu, CY; Wang, F (corresponding author), Pilot Natl Lab Marine Sci &amp; Technol Qingdao QNLM, Marine Dynam Proc &amp; Climate Funct Lab, Qingdao, Peoples R China.</t>
  </si>
  <si>
    <t>chuanyu.liu@qdio.ac.cn; fwang@qdio.ac.cn</t>
  </si>
  <si>
    <t>Kohl, Armin/I-9378-2014; Wang, Fan/J-5119-2012</t>
  </si>
  <si>
    <t>Kohl, Armin/0000-0002-9777-674X; Wang, Fan/0000-0001-5932-7567</t>
  </si>
  <si>
    <t>Strategic Priority Research Program, CAS [XDA22050203]; National Natural Science Foundation of China (NSFC) [41976012, 41606026, 41730534, Y72143101B]</t>
  </si>
  <si>
    <t>Strategic Priority Research Program, CAS; National Natural Science Foundation of China (NSFC)(National Natural Science Foundation of China (NSFC))</t>
  </si>
  <si>
    <t>This study is supported by the Strategic Priority Research Program, CAS (XDA22050203), and the National Natural Science Foundation of China (NSFC) (41976012, 41606026, 41730534, and Y72143101B).</t>
  </si>
  <si>
    <t>e2022JC018572</t>
  </si>
  <si>
    <t>10.1029/2022JC018572</t>
  </si>
  <si>
    <t>1Q6KW</t>
  </si>
  <si>
    <t>WOS:000802794700001</t>
  </si>
  <si>
    <t>Goldberg, DN; Holland, PR</t>
  </si>
  <si>
    <t>Goldberg, D. N.; Holland, P. R.</t>
  </si>
  <si>
    <t>The Relative Impacts of Initialization and Climate Forcing in Coupled Ice Sheet-Ocean Modeling: Application to Pope, Smith, and Kohler Glaciers</t>
  </si>
  <si>
    <t>ice ocean interaction; ice ocean coupling; data assimilation</t>
  </si>
  <si>
    <t>AMUNDSEN SEA EMBAYMENT; GROUNDING LINE RETREAT; WEST ANTARCTICA; PINE ISLAND; OCEANOGRAPHIC CONTROLS; THWAITES GLACIER; MELT RATES; PART 1; FLOW; CIRCULATION</t>
  </si>
  <si>
    <t>Coupled ice sheet-ocean models are beginning to be used to study the response of ice sheets to ocean warming. Initializing an ice-ocean model is challenging and can introduce nonphysical transients, and the extent to which such transients can affect model projections is unclear. We use a synchronously-coupled ice-ocean model to investigate evolution of Pope, Smith and Kohler Glaciers, West Antarctica, over the next half-century. Two methods of initialization are used: In one, the ice-sheet model is constrained with observed velocities in its initial state; in another, the model is constrained with both velocities and grounded thinning rates over a 4-year period. Each method is applied to two basal sliding laws. For each resulting initialization, two climate scenarios are considered: one where ocean conditions during the initialization period persist indefinitely, and one where the ocean is in a permanent warm state. At first, model runs initialized with thinning data exhibit volume loss rates much closer to observed values than those initialized with velocity only, but after 1-2 decades, the forcing primarily determines rates of volume loss and grounding line retreat. Such behavior is seen for both basal sliding laws, although volume loss rates differ quantitatively. Under the warm scenario, a grounding line retreat of similar to 30 km is simulated for Smith and Kohler, although variation in total retreat due to initialization is nearly as large as that due to forcing. Furthermore it is questionable whether retreat will continue due to narrowing of submarine troughs and limiting of heat transport by bathymetric obstacles.</t>
  </si>
  <si>
    <t>[Goldberg, D. N.] Univ Edinburgh, Sch Geosci, Edinburgh, Midlothian, Scotland; [Holland, P. R.] British Antarctic Survey, Cambridge, England</t>
  </si>
  <si>
    <t>University of Edinburgh; UK Research &amp; Innovation (UKRI); Natural Environment Research Council (NERC); NERC British Antarctic Survey</t>
  </si>
  <si>
    <t>Goldberg, DN (corresponding author), Univ Edinburgh, Sch Geosci, Edinburgh, Midlothian, Scotland.</t>
  </si>
  <si>
    <t>dan.goldberg@ed.ac.uk</t>
  </si>
  <si>
    <t>NERC [NE/T001607/1]; NSF ITGC Grant PROPHET; NERC Standard grant [NE/S010475/1]; NERC [NE/T001607/1, NE/S010475/1] Funding Source: UKRI</t>
  </si>
  <si>
    <t>NERC(UK Research &amp; Innovation (UKRI)Natural Environment Research Council (NERC)); NSF ITGC Grant PROPHET; NERC Standard grant(UK Research &amp; Innovation (UKRI)Natural Environment Research Council (NERC)); NERC(UK Research &amp; Innovation (UKRI)Natural Environment Research Council (NERC))</t>
  </si>
  <si>
    <t>D.N.G acknowledges NERC Standard Grant NE/T001607/1 and NSF ITGC Grant PROPHET. P.R.H. acknowledges support from NERC Standard grant NE/S010475/1. We thank the Editor Olga V. Sergienko as well as the Associate Editor for their assistance and management of the review process and for helpful comments on the manuscript, and we thank Ralph Timmermann and two anonymous reviewers for their incredibly insightful reviews.</t>
  </si>
  <si>
    <t>e2021JF006570</t>
  </si>
  <si>
    <t>10.1029/2021JF006570</t>
  </si>
  <si>
    <t>1P3CG</t>
  </si>
  <si>
    <t>WOS:000801890400001</t>
  </si>
  <si>
    <t>Kang, JY; Lu, Y; Li, Y; Zhang, ZZ; Shi, HL</t>
  </si>
  <si>
    <t>Kang, Jingyu; Lu, Yang; Li, Yan; Zhang, Zizhan; Shi, Hongling</t>
  </si>
  <si>
    <t>Antarctic Basal Water Storage Variation Inferred from Multi-Source Satellite Observation and Relevant Models</t>
  </si>
  <si>
    <t>Antarctica; basal water variation; multi-source satellite; gravity inversion</t>
  </si>
  <si>
    <t>GLACIAL ISOSTATIC-ADJUSTMENT; ICE-SHEET; SUBGLACIAL WATER; EAST ANTARCTICA; MASS-BALANCE; BENEATH; GRACE; ALTIMETER; NETWORKS; GRAVITY</t>
  </si>
  <si>
    <t>Antarctic basal water storage variation (BWSV) refers to mass changes of basal water beneath the Antarctic ice sheet (AIS). Identifying these variations is critical for understanding Antarctic basal hydrology variations and basal heat conduction, yet they are rarely accessible due to a lack of direct observation. This paper proposes a layered gravity density forward/inversion iteration method to investigate Antarctic BWSV based on multi-source satellite observations and relevant models. During 2003-2009, BWSV increased at an average rate of 43 +/- 23 Gt/yr, which accounts for 29% of the previously documented total mass loss rate (-76 +/- 20 Gt/yr) of AIS. Major uncertainty arises from satellite gravimetry, satellite altimetry, the glacial isostatic adjustment (GIA) model, and the modelled basal melting rate. We find that increases in basal water mainly occurred in regions with widespread active subglacial lakes, such as the Rockefeller Plateau, Siple Coast, Institute Ice Stream regions, and marginal regions of East Antarctic Ice Sheet (EAIS), which indicates the increased water storage in these active subglacial lakes, despite the frequent water drainage events. The Amundsen Sea coast experienced a significant loss during the same period, which is attributed to the basal meltwater discharging into the Amundsen Sea through basal channels.</t>
  </si>
  <si>
    <t>[Kang, Jingyu; Lu, Yang; Li, Yan; Zhang, Zizhan; Shi, Hongling] Innovat Acad Precis Measurement Sci &amp; Technol, State Key Lab Geodesy &amp; Earths Dynam, Wuhan 430071, Peoples R China; [Kang, Jingyu; Lu, Yang; Li, Yan; Zhang, Zizhan; Shi, Hongling] Univ Chinese Acad Sci, Beijing 100049, Peoples R China</t>
  </si>
  <si>
    <t>Chinese Academy of Sciences; Innovation Academy for Precision Measurement Science &amp; Technology, CAS; Chinese Academy of Sciences; University of Chinese Academy of Sciences, CAS</t>
  </si>
  <si>
    <t>Shi, HL (corresponding author), Innovat Acad Precis Measurement Sci &amp; Technol, State Key Lab Geodesy &amp; Earths Dynam, Wuhan 430071, Peoples R China.;Shi, HL (corresponding author), Univ Chinese Acad Sci, Beijing 100049, Peoples R China.</t>
  </si>
  <si>
    <t>kangjingyul7@mails.ucas.ac.cn; luyang@asch.whigg.ac.cn; liyan@asch.whigg.ac.cn; zzhang@asch.whigg.ac.cn; hlshi@asch.whigg.ac.cn</t>
  </si>
  <si>
    <t>SHI, HL/HHC-5506-2022; li, zhang/JHV-1750-2023; zhao, yujie/JLL-1283-2023; ?, ??/F-5705-2016</t>
  </si>
  <si>
    <t>SHI, HL/0000-0003-2045-7115; Kang, Jingyu/0000-0002-7485-9622; ?, ??/0000-0002-6815-2006</t>
  </si>
  <si>
    <t>National Natural Science Foundation of China [41674085, 41874093, 42074094]; Independent project of State Key Laboratory of Geodesy and Earth's Dynamics [S21L6401]</t>
  </si>
  <si>
    <t>National Natural Science Foundation of China(National Natural Science Foundation of China (NSFC)); Independent project of State Key Laboratory of Geodesy and Earth's Dynamics</t>
  </si>
  <si>
    <t>This research was jointly funded by the National Natural Science Foundation of China (Grant No. 41674085, 41874093, and 42074094), Independent project of State Key Laboratory of Geodesy and Earth's Dynamics (S21L6401).</t>
  </si>
  <si>
    <t>10.3390/rs14102337</t>
  </si>
  <si>
    <t>1O4PU</t>
  </si>
  <si>
    <t>WOS:000801317200001</t>
  </si>
  <si>
    <t>Nocito, ES; Sullivan-Stack, J; Pike, EP; Gjerde, KM; Brooks, CM</t>
  </si>
  <si>
    <t>Nocito, Emily S.; Sullivan-Stack, Jenna; Pike, Elizabeth P.; Gjerde, Kristina M.; Brooks, Cassandra M.</t>
  </si>
  <si>
    <t>Applying Marine Protected Area Frameworks to Areas beyond National Jurisdiction</t>
  </si>
  <si>
    <t>SUSTAINABILITY</t>
  </si>
  <si>
    <t>marine protected areas; areas beyond national jurisdiction; BBNJ; CCAMLR; Antarctica; level of protection</t>
  </si>
  <si>
    <t>GENETIC-RESOURCES; MANAGEMENT; BIODIVERSITY; CONVENTION; GOVERNANCE; RESERVES; FUTURE; MPAS; SEA</t>
  </si>
  <si>
    <t>Marine protected areas (MPAs) can provide a range of ecological benefits. Frameworks-including the IUCN protected area categories and The MPA Guide-offer tools towards evaluating an MPA's objectives, types, Level of Protection, and potential effectiveness. However, the majority of MPAs exist in national waters, raising the question of how these frameworks apply in areas beyond national jurisdiction (ABNJ). We evaluated the existing ABNJ MPAs in the Antarctic designated through the Commission for the Conservation of Antarctic Marine Living Resources (CCAMLR) using the two above mentioned frameworks. The newly released The MPA Guide, which complements guidance from the IUCN protected area categories, provides perhaps the most exhaustive framework as it seeks to evaluate implementation, enabling conditions, and outcomes. The CCAMLR MPAs ranged from Category 1A (for IUCN)/Highly Protected (for The MPA Guide) to Category IV (for IUCN)/Lightly Protected (for The MPA Guide) due to differences in management objectives and activities occurring within the zones of the MPAs. Given ongoing negotiations for a new international, legally binding treaty for high seas biodiversity, evaluating an MPA using these existing frameworks will prove useful to allow for a full comprehensive picture of an MPA and what it can expect to achieve.</t>
  </si>
  <si>
    <t>[Nocito, Emily S.; Brooks, Cassandra M.] Univ Colorado, Dept Environm Studies, Boulder, CO 80309 USA; [Sullivan-Stack, Jenna] Oregon State Univ, Dept Integrat Biol, Corvallis, OR 97331 USA; [Pike, Elizabeth P.] Marine Conservat Inst, Marine Protect Atlas MPAtlas, Seattle, WA 98103 USA; [Gjerde, Kristina M.] IUCN World Commiss Protected Areas, IUCN Global Marine &amp; Polar Programme, Cambridge, MA 02138 USA; [Gjerde, Kristina M.] Middlebury Inst Int Studies Monterey, Monterey, CA 93940 USA</t>
  </si>
  <si>
    <t>University of Colorado System; University of Colorado Boulder; Oregon State University</t>
  </si>
  <si>
    <t>Nocito, ES (corresponding author), Univ Colorado, Dept Environm Studies, Boulder, CO 80309 USA.</t>
  </si>
  <si>
    <t>emily.nocito@colorado.edu; jenna.sullivan-stack@oregonstate.edu; beth.pike@marine-conservation.org; kristina.gjerde@eip.com.pl; cassandra.brooks@colorado.edu</t>
  </si>
  <si>
    <t>Pike, Elizabeth/GRS-0517-2022</t>
  </si>
  <si>
    <t>Pike, Elizabeth/0000-0001-8578-0605; Brooks, Cassandra/0000-0002-1397-0394; Nocito, Emily/0000-0003-3123-6326; Sullivan-Stack, Jenna/0000-0003-0114-1019</t>
  </si>
  <si>
    <t>2071-1050</t>
  </si>
  <si>
    <t>SUSTAINABILITY-BASEL</t>
  </si>
  <si>
    <t>Sustainability</t>
  </si>
  <si>
    <t>10.3390/su14105971</t>
  </si>
  <si>
    <t>Green &amp; Sustainable Science &amp; Technology; Environmental Sciences; Environmental Studies</t>
  </si>
  <si>
    <t>Science &amp; Technology - Other Topics; Environmental Sciences &amp; Ecology</t>
  </si>
  <si>
    <t>1P2FQ</t>
  </si>
  <si>
    <t>WOS:000801831600001</t>
  </si>
  <si>
    <t>La Mesa, M; Canese, S; Montagna, P; Schiaparelli, S</t>
  </si>
  <si>
    <t>La Mesa, Mario; Canese, Simonepietro; Montagna, Paolo; Schiaparelli, Stefano</t>
  </si>
  <si>
    <t>Underwater Photographic Survey of Coastal Fish Community of Terra Nova Bay, Ross Sea</t>
  </si>
  <si>
    <t>Antarctica; Ross Sea; remotely operated vehicle; fishes; Notothenioidei</t>
  </si>
  <si>
    <t>NOTOTHENIOID FISH; DEMERSAL FISH; ECOLOGY; REGION; PISCES; FOOD</t>
  </si>
  <si>
    <t>Although the extent of near-shore and coastal habitats around the Antarctic Continent is limited, they host an abundant and diversified fish fauna dominated by notothenioids. Nevertheless, the spatial distribution of fishes at small scales and their relationships with the surrounding habitat are still poorly known. The purpose of this study is to provide new insights on the inshore fish community of Terra Nova Bay, Ross Sea, which is now part of the largest marine protected area established so far in the Southern Ocean. As a low-impact and effective methodology of investigation, an underwater photographic survey was conducted through two remotely operated vehicle (ROV) transects set down to 300 m depth. The faunistic inventory consisted of twelve species of notothenioids, which complements previous data obtained by conventional samplings. The most abundant species exhibited wide depth distribution ranges, and they were generally associated with areas with a rich benthic macrofauna composed of alcyonaceans, sponges, bryozoans, polychaetes, and echinoderms. Nesting behavior was documented in two species, Trematomus bernacchii and Pagetopsis macropterus. The present data provide further evidence of the importance of inshore waters for the local fish community, representing a proper habitat for settling, foraging, and spawning activities.</t>
  </si>
  <si>
    <t>[La Mesa, Mario; Montagna, Paolo] Natl Res Council CNR ISP, Inst Polar Sci, Via Gobetti 101, I-40129 Bologna, Italy; [Canese, Simonepietro] Stn Zool Anton Dohrn, I-80121 Naples, Italy; [Schiaparelli, Stefano] Univ Genoa, Dept Earth Environm &amp; Life Sci DISTAV, Corso Europa 26, I-16132 Genoa, Italy; [Schiaparelli, Stefano] Univ Genoa, Sect Genoa, Italian Natl Antarctic Museum MNA, Viale Benedetto XV 5, I-16132 Genoa, Italy</t>
  </si>
  <si>
    <t>Consiglio Nazionale delle Ricerche (CNR); Istituto di Scienze Polari (ISP-CNR); Stazione Zoologica Anton Dohrn di Napoli; University of Genoa; University of Genoa</t>
  </si>
  <si>
    <t>La Mesa, M (corresponding author), Natl Res Council CNR ISP, Inst Polar Sci, Via Gobetti 101, I-40129 Bologna, Italy.</t>
  </si>
  <si>
    <t>mario.lamesa@cnr.it; simonepietro.canese@szn.it; paolo.montagna@cnr.it; stefano.schiaparelli@unige.it</t>
  </si>
  <si>
    <t>; Montagna, Paolo/H-9632-2015</t>
  </si>
  <si>
    <t>Schiaparelli, Stefano/0000-0002-0137-3605; Canese, Simonepietro/0000-0001-6049-4506; LAMESA, MARIO/0000-0002-3716-0054; Montagna, Paolo/0000-0001-5598-2214</t>
  </si>
  <si>
    <t>Italian National Antarctic Research Program [PNRA2013/AZ2.06, PNRA16_00069]; Italian National Antarctic Museum (MNA)</t>
  </si>
  <si>
    <t>Italian National Antarctic Research Program; Italian National Antarctic Museum (MNA)</t>
  </si>
  <si>
    <t>This researchwas supported by theGEOSMART (grantNo. PNRA2013/AZ2.06, 29May 201429 May 2017) and GRACEFUL (grant No. PNRA16_00069, 11 October 2017-10 October 2020) projects and funded by the Italian National Antarctic Research Program. Authors are grateful to the Italian National Antarctic Scientific Commission (CSNA) and the Italian National Antarctic program (PNRA) for the endorsement of the Special Issue initiative and to the Italian National Antarctic Museum (MNA) for the financial support.</t>
  </si>
  <si>
    <t>10.3390/d14050315</t>
  </si>
  <si>
    <t>1O8EA</t>
  </si>
  <si>
    <t>WOS:000801557000001</t>
  </si>
  <si>
    <t>Arrieche, D; Carrasco, H; Olea, AF; Espinoza, L; San-Martín, A; Taborga, L</t>
  </si>
  <si>
    <t>Arrieche, Dioni; Carrasco, Hector; Olea, Andres F.; Espinoza, Luis; San-Martin, Aurelio; Taborga, Lautaro</t>
  </si>
  <si>
    <t>Secondary Metabolites Isolated from Chilean Marine Algae: A Review</t>
  </si>
  <si>
    <t>MARINE DRUGS</t>
  </si>
  <si>
    <t>marine natural products; secondary metabolites; Chilean algae; biological activities; biosynthesis; structure elucidation</t>
  </si>
  <si>
    <t>VICINAL VINYL DIHALIDES; PLOCAMIUM-CARTILAGINEUM; STYPOPODIUM-FLABELLIFORME; HALOGENATED MONOTERPENES; ABSOLUTE-CONFIGURATION; NATURAL-PRODUCTS; POLYHALOGENATED ACETOGENINS; INSECTICIDAL ACTIVITY; A-C; DITERPENES</t>
  </si>
  <si>
    <t>Chile is in the extreme southwestern part of America, and it has an extreme length, of approximately 4300 km that increases to 8000 km considering the Chilean Antarctic Territory. Despite the large extent of its coastal territory and the diversity of geographic environments and climates associated with Chilean coasts, the research on marine resources in Chile has been rather scarce. From marine organisms found in Chilean coastal waters, algae have been the most studied, since they contain a wide range of interesting secondary metabolites that have some structural traits that make them unique and uncharacteristic. Thus, a wide structural variety of natural products including terpenoids (monoterpenes, sesquiterpenes, diterpenes, and meroterpenoids), furanones, and C-15-acetogenins have been isolated and identified. This review describes the existing literature on bioprospecting and exploration of secondary metabolites from Chilean coasts.</t>
  </si>
  <si>
    <t>[Arrieche, Dioni; Espinoza, Luis; Taborga, Lautaro] Univ Tecn Federico Santa Maria, Dept Quim, Lab Prod Nat, Ave Espana 1680, Valparaiso 2340000, Chile; [Carrasco, Hector; Olea, Andres F.] Univ Autonoma Chile, Fac Ingn, Inst Ciencias Quim Aplicadas, Grp QBAB, Llano Subercaseaux 2801, Santiago 8900000, Chile; [San-Martin, Aurelio] Univ Magallanes, Fac Ciencias Nat, Dept Ciencias &amp; Recursos Nat, Ave Bulnes 01855, Punta Arenas 6200112, Chile</t>
  </si>
  <si>
    <t>Universidad Tecnica Federico Santa Maria; Universidad Autonoma de Chile; Universidad de Magallanes</t>
  </si>
  <si>
    <t>Taborga, L (corresponding author), Univ Tecn Federico Santa Maria, Dept Quim, Lab Prod Nat, Ave Espana 1680, Valparaiso 2340000, Chile.;San-Martín, A (corresponding author), Univ Magallanes, Fac Ciencias Nat, Dept Ciencias &amp; Recursos Nat, Ave Bulnes 01855, Punta Arenas 6200112, Chile.</t>
  </si>
  <si>
    <t>dioniarrieche@gmail.com; hector.carrasco@uatotonoma.cl; andres.olea@uautonoma.cl; luis.espinozac@usm.cl; aurelio.sanmartin@umag.cl; lautaro.taborga@usm.cl</t>
  </si>
  <si>
    <t>Olea, Andres F/AAF-6955-2019</t>
  </si>
  <si>
    <t>Olea, Andres F/0000-0001-8007-6264; Espinoza, Luis/0000-0002-4054-7487; Carrasco, Hector/0000-0002-2594-1697</t>
  </si>
  <si>
    <t>1660-3397</t>
  </si>
  <si>
    <t>MAR DRUGS</t>
  </si>
  <si>
    <t>Mar. Drugs</t>
  </si>
  <si>
    <t>10.3390/md20050337</t>
  </si>
  <si>
    <t>Chemistry, Medicinal; Pharmacology &amp; Pharmacy</t>
  </si>
  <si>
    <t>Pharmacology &amp; Pharmacy</t>
  </si>
  <si>
    <t>1O6SR</t>
  </si>
  <si>
    <t>WOS:000801459900001</t>
  </si>
  <si>
    <t>Choi, HY; Ahn, JH; Kwon, H; Yim, JH; Lee, D; Choi, JH</t>
  </si>
  <si>
    <t>Choi, He Yun; Ahn, Ji-Hye; Kwon, Haeun; Yim, Joung Han; Lee, Dongho; Choi, Jung-Hye</t>
  </si>
  <si>
    <t>Citromycin Isolated from the Antarctic Marine-Derived Fungi, Sporothrix sp., Inhibits Ovarian Cancer Cell Invasion via Suppression of ERK Signaling</t>
  </si>
  <si>
    <t>citromycin; Sporothrix sp; ovarian cancer; invasion; MMP2 and MMP9; ERK1; 2 pathway</t>
  </si>
  <si>
    <t>E-CADHERIN; SECONDARY METABOLITES; EXPRESSION; MMP-9; METALLOPROTEINASES; POLYKETIDES; METASTASIS; ANTICANCER; TRANSITION; MIGRATION</t>
  </si>
  <si>
    <t>Recently, microorganisms and their metabolites in the Antarctic marine environment have attracted attention as useful sources for novel therapeutics, including anticancer drugs. Here, we investigated the effects of citromycin, isolated from the Antarctic marine-derived fungus, Sporothrix sp., on human ovarian cancer cells. Citromycin inhibited the migration and invasion of human ovarian cancer SKOV3 and A2780 cells, but had no cytotoxic activity against them. Additionally, it inhibited the expression of epithelial-mesenchymal transition (EMT) markers and the activation of matrix metalloproteinase (MMP)-2 and MMP9. Moreover, extracellular signal-regulated kinase (ERK)-1/2 signaling was inhibited after citromycin treatment, and the ectopic expression of ERK negated the anti-invasive activity of citromycin. Our findings suggest that citromycin inhibits the migration and invasion of human ovarian cancer cells by downregulating the expression levels of EMT markers and MMP-2/9 via inhibition of the ERK1/2 pathway.</t>
  </si>
  <si>
    <t>[Choi, He Yun; Choi, Jung-Hye] Kyung Hee Univ, Dept Biomed &amp; Pharmaceut Sci, Seoul 02447, South Korea; [Ahn, Ji-Hye] Woosuk Univ, Dept Oriental Pharm, Jeonju 55338, South Korea; [Kwon, Haeun; Lee, Dongho] Korea Univ, Coll Life Sci &amp; Biotechnol, Dept Plant Biotechnol, Seoul 02841, South Korea; [Yim, Joung Han] Korea Ocean Res &amp; Dev Inst, Korea Polar Res Inst, Incheon 21990, South Korea; [Choi, Jung-Hye] Kyung Hee Univ, Coll Pharm, Seoul 02447, South Korea</t>
  </si>
  <si>
    <t>Kyung Hee University; Woosuk University; Korea University; Korea Polar Research Institute (KOPRI); Korea Institute of Ocean Science &amp; Technology (KIOST); Kyung Hee University</t>
  </si>
  <si>
    <t>Choi, JH (corresponding author), Kyung Hee Univ, Dept Biomed &amp; Pharmaceut Sci, Seoul 02447, South Korea.;Choi, JH (corresponding author), Kyung Hee Univ, Coll Pharm, Seoul 02447, South Korea.</t>
  </si>
  <si>
    <t>choiheyun@khu.ac.kr; jihyeahn20@woosuk.ac.kr; haeun9906@hanmail.net; jhyim@kopri.re.kr; dongholee@korea.ac.kr; jchoi@khu.ac.kr</t>
  </si>
  <si>
    <t>Choi, Jung-Hye/AAI-9922-2020</t>
  </si>
  <si>
    <t>Choi, Jung-Hye/0000-0001-5178-6814; Ahn, Ji-Hye/0000-0002-0750-5648</t>
  </si>
  <si>
    <t>Basic Science Research Program through the National Research Foundation of Korea (NRF) [NRF-2019R1A2C2011213, NRF-2017R1A5A2014768]</t>
  </si>
  <si>
    <t>Basic Science Research Program through the National Research Foundation of Korea (NRF)(National Research Foundation of Korea)</t>
  </si>
  <si>
    <t>This research was supported by the Basic Science Research Program through the National Research Foundation of Korea (NRF) (NRF-2019R1A2C2011213 and NRF-2017R1A5A2014768).</t>
  </si>
  <si>
    <t>10.3390/md20050275</t>
  </si>
  <si>
    <t>1R3CA</t>
  </si>
  <si>
    <t>WOS:000803249800001</t>
  </si>
  <si>
    <t>Shi, T; Li, XQ; Wang, ZM; Zheng, L; Yu, YY; Dai, JJ; Shi, DY</t>
  </si>
  <si>
    <t>Shi, Ting; Li, Xiang-Qian; Wang, Ze-Min; Zheng, Li; Yu, Yan-Yan; Dai, Jia-Jia; Shi, Da-Yong</t>
  </si>
  <si>
    <t>Bioactivity-Guided Screening of Antimicrobial Secondary Metabolites from Antarctic Cultivable Fungus Acrostalagmus luteoalbus CH-6 Combined with Molecular Networking</t>
  </si>
  <si>
    <t>Antarctic fungi; bioactivity-guided screening; molecular networking; antimicrobial activities; secondary metabolites; Acrostalagmus luteoalbus; indole diketopiperazines; alpha-pyrones</t>
  </si>
  <si>
    <t>ALPHA-PYRONE DERIVATIVES; NATURAL-PRODUCTS; EPIPOLYTHIODIOXOPIPERAZINES; MELINACIDINS; CHETRACIN</t>
  </si>
  <si>
    <t>With the increasingly serious antimicrobial resistance, discovering novel antibiotics has grown impendency. The Antarctic abundant microbial resources, especially fungi, can produce unique bioactive compounds for adapting to the hostile environment. In this study, three Antarctic fungi, Chrysosporium sp. HSXSD-11-1, Cladosporium sp. HSXSD-12 and Acrostalagmus luteoalbus CH-6, were found to have the potential to produce antimicrobial compounds. Furthermore, the crude extracts of CH-6 displayed the strongest antimicrobial activities with 72.3-84.8% growth inhibition against C. albicans and Aeromonas salmonicida. The secondary metabolites of CH-6 were researched by bioactivity tracking combined with molecular networking and led to the isolation of two new alpha-pyrones, acrostalapyrones A (1) and B (2), along with one known analog (3), and three known indole diketopiperazines (4-6). The absolute configurations of 1 and 2 were identified through modified Mosher's method. Compounds 4 and 6 showed strong antimicrobial activities. Remarkably, the antibacterial activity of 6 against A. salmonicida displayed two times higher than that of the positive drug Ciprofloxacin. This is the first report to discover alpha-pyrones from the genus Acrostalagmus, and the significant antimicrobial activities of 4 and 6 against C. albicans and A. salmonicida. This study further demonstrates the great potential of Antarctic fungi in the development of new compounds and antibiotics.</t>
  </si>
  <si>
    <t>[Shi, Ting] Shandong Univ Sci &amp; Technol, Coll Chem &amp; Biol Engn, Qingdao 266590, Peoples R China; [Shi, Ting; Li, Xiang-Qian; Wang, Ze-Min; Yu, Yan-Yan; Dai, Jia-Jia; Shi, Da-Yong] Shandong Univ, Inst Microbial Technol, State Key Lab Microbial Technol, Qingdao 266200, Peoples R China; [Li, Xiang-Qian; Shi, Da-Yong] Qingdao Natl Lab Marine Sci &amp; Technol, Lab Marine Drugs &amp; Bioprod, Qingdao 266071, Peoples R China; [Zheng, Li] Minist Nat Resources, Key Lab Marine Ecoenvironm Sci &amp; Technol, Inst Oceanog 1, Qingdao 266061, Peoples R China; [Zheng, Li] Qingdao Pilot Natl Lab Marine Sci &amp; Technol, Lab Marine Ecol &amp; Environm Sci, Qingdao 266071, Peoples R China</t>
  </si>
  <si>
    <t>Shandong University of Science &amp; Technology; Shandong University; Laoshan Laboratory; First Institute of Oceanography, Ministry of Natural Resources; Ministry of Natural Resources of the People's Republic of China; Laoshan Laboratory</t>
  </si>
  <si>
    <t>Shi, DY (corresponding author), Shandong Univ, Inst Microbial Technol, State Key Lab Microbial Technol, Qingdao 266200, Peoples R China.;Shi, DY (corresponding author), Qingdao Natl Lab Marine Sci &amp; Technol, Lab Marine Drugs &amp; Bioprod, Qingdao 266071, Peoples R China.</t>
  </si>
  <si>
    <t>shiting_jia@126.com; lixiangqian@sdu.edu.cn; zemin3210@163.com; zhengli@fio.org.cn; yuyanyan@sdu.edu.cn; daijiajia@sdu.edu.cn; shidayong@sdu.edu.cn</t>
  </si>
  <si>
    <t>Yu, Yan/GYV-4514-2022; Shi, Ting/AIC-4674-2022</t>
  </si>
  <si>
    <t>Shi, Ting/0000-0003-1394-3000; Li, Xiangqian/0000-0002-5807-5633</t>
  </si>
  <si>
    <t>National Natural Science Foundation of China [82104029, 82003787]; Shandong Provincial Natural Science Foundation [ZR2020QD111, ZR2020QH364]; Top-notch Young Professionals; Fund of Taishan Scholar Project; Qingdao Science and Technology Benefit People Demonstration Guide Special Project [20-3-4-20-nsh]; Fundamental Research Funds of Shandong University [2020GN033]</t>
  </si>
  <si>
    <t>National Natural Science Foundation of China(National Natural Science Foundation of China (NSFC)); Shandong Provincial Natural Science Foundation(Natural Science Foundation of Shandong Province); Top-notch Young Professionals; Fund of Taishan Scholar Project; Qingdao Science and Technology Benefit People Demonstration Guide Special Project; Fundamental Research Funds of Shandong University</t>
  </si>
  <si>
    <t>This work was supported by the National Natural Science Foundation of China (No. 82104029; 82003787); the Shandong Provincial Natural Science Foundation (No. ZR2020QD111; ZR2020QH364); the Top-notch Young Professionals; the Fund of Taishan Scholar Project; the Qingdao Science and Technology Benefit People Demonstration Guide Special Project (20-3-4-20-nsh) and the Fundamental Research Funds of Shandong University (2020GN033).</t>
  </si>
  <si>
    <t>10.3390/md20050334</t>
  </si>
  <si>
    <t>1Q1NX</t>
  </si>
  <si>
    <t>WOS:000802464500001</t>
  </si>
  <si>
    <t>Lu, ZC; Zhao, TB; Zhou, WC; Zhao, HK</t>
  </si>
  <si>
    <t>Lu, Zhichao; Zhao, Tianbao; Zhou, Weican; Zhao, Haikun</t>
  </si>
  <si>
    <t>Interdecadal Variation of the Antarctic Circumpolar Wave Based on the 20CRV3 Dataset</t>
  </si>
  <si>
    <t>Antarctic Circumpolar Wave; interdecadal variation; Southern Annular Mode; Pacific-South American pattern; ENSO</t>
  </si>
  <si>
    <t>ZONAL WAVE-NUMBER-3 PATTERN; HIGH-LATITUDE VARIABILITY; SOUTHERN MID-LATITUDE; OCEAN; TEMPERATURE; CIRCULATION; PRESSURE; SIGNALS; MODES</t>
  </si>
  <si>
    <t>As a large-scale ocean-atmosphere coupling system in the Southern Hemisphere, the Antarctic Circumpolar Wave (ACW) greatly impacts the global climate. However, the interdecadal variation of the ACW has rarely been studied due to the lack of long-term data. In this research, the latest 20th Century Reanalysis Version 3 dataset is used to analyze the interdecadal variations of sea level pressure (SLP) and sea surface temperature (SST) signals in the ACW during 1836-2015. The results indicate that the ACW has not always been present in the recent 180 years, and it has remarkable interdecadal variations. Specifically, the ACW was hard to distinguish before the 1870s. The SLP anomalies propagated eastwards over the South Pacific and South Atlantic during part of the 1880s-1940s. The SST anomalies also have an eastward propagation in the 1880s-1960s. The most active period of the SLP signal is in the 1950s-1990s, while that of the SST signal is in the 1980s-1990s. The ACW has not been significant since the 21st century. The interdecadal variation of the SLP may be related to the variations of the long-term Southern Annular Mode and Pacific-South American pattern, while the interdecadal variation of the SST is more associated with the ENSO.</t>
  </si>
  <si>
    <t>[Lu, Zhichao; Zhou, Weican; Zhao, Haikun] Nanjing Univ Informat Sci &amp; Technol, Collaborat Innovat Ctr Forecast &amp; Evaluat Meteoro, Key Lab Meteorol Disaster, Minist Educ,Joint Int Res Lab Climate &amp; Environm, Nanjing 210044, Peoples R China; [Lu, Zhichao; Zhao, Tianbao] Chinese Acad Sci, Inst Atmospher Phys, Key Lab Reg Climate Environm Res Temperate East A, Beijing 100029, Peoples R China</t>
  </si>
  <si>
    <t>Nanjing University of Information Science &amp; Technology; Chinese Academy of Sciences; Institute of Atmospheric Physics, CAS</t>
  </si>
  <si>
    <t>Zhao, TB (corresponding author), Chinese Acad Sci, Inst Atmospher Phys, Key Lab Reg Climate Environm Res Temperate East A, Beijing 100029, Peoples R China.</t>
  </si>
  <si>
    <t>luzc@tea.ac.cn; zhaotb@tea.ac.cn; zhwnim@nuist.edu.cn; haikunzhao@nuist.edu.cn</t>
  </si>
  <si>
    <t>Zhao, Tianbao/I-4890-2015; Zhao, Haikun/ITT-1030-2023</t>
  </si>
  <si>
    <t>Zhao, Tianbao/0000-0002-8295-6537; Zhao, Haikun/0000-0002-1771-1461</t>
  </si>
  <si>
    <t>Strategic Priority Research Program of the Chinese Academy of Sciences [XDA20020201]; National Natural Science Foundation of China [41675072, 41975115, 41922033]</t>
  </si>
  <si>
    <t>Strategic Priority Research Program of the Chinese Academy of Sciences(Chinese Academy of Sciences); National Natural Science Foundation of China(National Natural Science Foundation of China (NSFC))</t>
  </si>
  <si>
    <t>This research was supported by the Strategic Priority Research Program of the Chinese Academy of Sciences (XDA20020201) and the National Natural Science Foundation of China (41675072, 41975115, 41922033).</t>
  </si>
  <si>
    <t>10.3390/atmos13050736</t>
  </si>
  <si>
    <t>1P1BS</t>
  </si>
  <si>
    <t>WOS:000801753800001</t>
  </si>
  <si>
    <t>Sterrer, W; Sorensen, MV; Cecchetto, M; Martínez, A; Sabatino, R; Eckert, EM; Fontaneto, D; Schiaparelli, S</t>
  </si>
  <si>
    <t>Sterrer, Wolfgang; Sorensen, Martin, V; Cecchetto, Matteo; Martinez, Alejandro; Sabatino, Raffaella; Eckert, Ester M.; Fontaneto, Diego; Schiaparelli, Stefano</t>
  </si>
  <si>
    <t>First Record of the Phylum Gnathostomulida in the Southern Ocean</t>
  </si>
  <si>
    <t>Antarctica; Gnathostomulida; Ross Sea; Ross Sea Region Marine Protected Area; species distribution</t>
  </si>
  <si>
    <t>We report for the first time the occurrence of at least two species of the phylum Gnathostomulida in the Southern Ocean, along the shores of the Ross Sea in Antarctica. At least one species for each of the orders of the phylum (Filospermoidea and Bursovaginoidea) was found using both morphological inspection and DNA metabarcoding of the shallow marine sediments collected with a Van Veen grab or by scuba diving in the area facing the Italian research station Mario Zucchelli.</t>
  </si>
  <si>
    <t>[Sterrer, Wolfgang] Bermuda Nat Hist Museum, 40 North Shore Rd,FL04, Hamilton, Bermuda; [Sorensen, Martin, V] Univ Copenhagen, Nat Hist Museum Denmark, Univ Pk 15, DK-2100 Copenhagen, Denmark; [Cecchetto, Matteo; Schiaparelli, Stefano] Univ Genoa, Dept Earth Environm &amp; Life Sci DISTAV, Corso Europa 26, I-16132 Genoa, Italy; [Cecchetto, Matteo; Schiaparelli, Stefano] Univ Genoa, Sect Genoa, Italian Natl Antarctic Museum MNA, Viale Benedetto XV 5, I-16132 Genoa, Italy; [Martinez, Alejandro; Sabatino, Raffaella; Eckert, Ester M.; Fontaneto, Diego] Natl Res Council Italy CNR, Water Res Inst IRSA, Mol Ecol Grp MEG, Largo Tonolli 50, I-28922 Verbania, Italy</t>
  </si>
  <si>
    <t>University of Copenhagen; University of Genoa; University of Genoa; Consiglio Nazionale delle Ricerche (CNR); Istituto di Ricerca sulle Acque (IRSA-CNR)</t>
  </si>
  <si>
    <t>Cecchetto, M (corresponding author), Univ Genoa, Dept Earth Environm &amp; Life Sci DISTAV, Corso Europa 26, I-16132 Genoa, Italy.;Cecchetto, M (corresponding author), Univ Genoa, Sect Genoa, Italian Natl Antarctic Museum MNA, Viale Benedetto XV 5, I-16132 Genoa, Italy.</t>
  </si>
  <si>
    <t>westerrer@gov.bm; mvsorensen@snm.ku.dk; matteocecchetto@gmail.com; alejandro.martinezgarcia@cnr.it; raffaella.sabatino@irsa.cnr.it; estermaria.eckert@cnr.it; diego.fontaneto@cnr.it; stefano.schiaparelli@unige.it</t>
  </si>
  <si>
    <t>Cecchetto, Matteo/KGL-8310-2024; Sørensen, Martin V/A-8852-2013; Eckert, Ester M/J-5989-2014; Fontaneto, Diego/B-9710-2008; García, Alejandro Martínez/H-7190-2019</t>
  </si>
  <si>
    <t>Cecchetto, Matteo/0000-0002-4505-4104; Fontaneto, Diego/0000-0002-5770-0353; García, Alejandro Martínez/0000-0003-0073-3688; Schiaparelli, Stefano/0000-0002-0137-3605</t>
  </si>
  <si>
    <t>Italian National Antarctic Scientific Commission (CSNA); Italian National Antarctic program (PNRA); Italian National Antarctic Museum (MNA)</t>
  </si>
  <si>
    <t>Sampling activities were performed within the PNRA project TNB-CODE (Terra Nova Bay barCODing and mEtabarcoding of Antarctic organisms from marine and limno-terrestrial environments) (PNRA 16_00120, PI: Stefano Schiaparelli). Authors are grateful to the Italian National Antarctic Scientific Commission (CSNA) and the Italian National Antarctic program (PNRA) for the endorsement of the Special Issue initiative and to the Italian National Antarctic Museum (MNA) for the financial support.</t>
  </si>
  <si>
    <t>10.3390/d14050382</t>
  </si>
  <si>
    <t>1O6ZA</t>
  </si>
  <si>
    <t>WOS:000801476400001</t>
  </si>
  <si>
    <t>Morales-Quintana, L; Tapia-Valdebenito, D; Castro, RI; Rabert, C; Larama, G; Gutiérrez, A; Ramos, P</t>
  </si>
  <si>
    <t>Morales-Quintana, Luis; Tapia-Valdebenito, Daisy; Castro, Ricardo, I; Rabert, Claudia; Larama, Giovanni; Gutierrez, Ana; Ramos, Patricio</t>
  </si>
  <si>
    <t>Characterization of the Cell Wall Component through Thermogravimetric Analysis and Its Relationship with an Expansin-like Protein in Deschampsia antarctica</t>
  </si>
  <si>
    <t>INTERNATIONAL JOURNAL OF MOLECULAR SCIENCES</t>
  </si>
  <si>
    <t>cell wall; thermogravimetry analyses; molecular dynamic simulation; molecular modeling; expansin protein; antarctic plant</t>
  </si>
  <si>
    <t>3-DIMENSIONAL STRUCTURES; PLANT EXPANSINS; SALT TOLERANCE; RECOGNITION; DEGRADATION; DISRUPTION; CELLULOSE; KINETICS; ERRORS; GENES</t>
  </si>
  <si>
    <t>Deschampsia antarctica Desv. (Poaceae) is one of the two vascular plants that have colonized the Antarctic Peninsula, which is usually exposed to extreme environmental conditions. To support these conditions, the plant carries out modifications in its morphology and metabolism, such as modifications to the cell wall. Thus, we performed a comparative study of the changes in the physiological properties of the cell-wall-associated polysaccharide contents of aerial and root tissues of the D. antarctica via thermogravimetric analysis (TGA) combined with a computational approach. The result showed that the thermal stability was lower in aerial tissues with respect to the root samples, while the DTG curve describes four maximum peaks of degradation, which occurred between 282 and 358 degrees C. The carbohydrate polymers present in the cell wall have been depolymerized showing mainly cellulose and hemicellulose fragments. Additionally, a differentially expressed sequence encoding for an expansin-like (DaEXLA2), which is characterized by possessing cell wall remodeling function, was found in D. antarctica. To gain deep insight into a probable mechanism of action of the expansin protein identified, a comparative model of the structure was carried out. DaEXLA2 protein model displayed two domains with an open groove in the center. Finally, using a cell wall polymer component as a ligand, the protein-ligand interaction was evaluated by molecular dynamic (MD) simulation. The MD simulations showed that DaEXLA2 could interact with cellulose and XXXGXXXG polymers. Finally, the cell wall component description provides the basis for a model for understanding the changes in the cell wall polymers in response to extreme environmental conditions.</t>
  </si>
  <si>
    <t>[Morales-Quintana, Luis] Univ Autonoma Chile, Fac Ciencias Salud, Inst Ciencias Biomed, Multidisciplinary Agroind Res Lab, Talca 3467987, Chile; [Tapia-Valdebenito, Daisy; Rabert, Claudia] Univ Autonoma Chile, Fac Ciencias Salud, Inst Ciencias Biomed, Temuco 4810101, Chile; [Castro, Ricardo, I] Univ Autonoma Chile, Inst Ciencias Quim Aplicadas, Multidisciplinary Agroind Res Lab, Carrera Ingn Construcc, 5 Poniente 1670, Talca 3467987, Chile; [Larama, Giovanni] Agriaquaculture Nutr Genom Ctr, Las Heras 350, Temuco 4781158, Chile; [Gutierrez, Ana] Univ Autonoma Chile, Fac Ciencias Salud, Inst Ciencias Biomed, Santiago 8320000, Chile; [Ramos, Patricio] Univ Catolica Maule, Fac Ciencias Agr &amp; Forestales, Ctr Biotecnol Recursos Nat CenBio, Talca 3480112, Chile; [Ramos, Patricio] Univ Catolica Maule, Fac Ciencias Agr &amp; Forestales, Ctr Secano, Plant Microorganism Interact Lab, Talca 3480112, Chile; [Ramos, Patricio] Univ Catolica Maule, Ctr Invest Estudios Avanzados Maule CIEAM, Invest &amp; Postgrad, Talca 3480112, Chile</t>
  </si>
  <si>
    <t>Universidad Autonoma de Chile; Universidad Autonoma de Chile; Universidad Autonoma de Chile; Universidad Autonoma de Chile; Universidad Catolica del Maule; Universidad Catolica del Maule; Universidad Catolica del Maule</t>
  </si>
  <si>
    <t>Gutiérrez, A (corresponding author), Univ Autonoma Chile, Fac Ciencias Salud, Inst Ciencias Biomed, Santiago 8320000, Chile.;Ramos, P (corresponding author), Univ Catolica Maule, Fac Ciencias Agr &amp; Forestales, Ctr Biotecnol Recursos Nat CenBio, Talca 3480112, Chile.;Ramos, P (corresponding author), Univ Catolica Maule, Fac Ciencias Agr &amp; Forestales, Ctr Secano, Plant Microorganism Interact Lab, Talca 3480112, Chile.;Ramos, P (corresponding author), Univ Catolica Maule, Ctr Invest Estudios Avanzados Maule CIEAM, Invest &amp; Postgrad, Talca 3480112, Chile.</t>
  </si>
  <si>
    <t>luis.morales@uautonoma.cl; daisy.tapia@uautonoma.cl; ricardo.castro@uautonoma.cl; claudia.rabert@uautonoma.cl; giovanni.larama@cgna.cl; ana.gutierrez@uautonoma.cl; pramos@ucm.cl</t>
  </si>
  <si>
    <t>Larama, Giovanni/O-2745-2019; Larama, Giovanni/IAN-1822-2023; Morales-Quintana, Luis/I-4299-2018; Ramos, Patricio/B-6665-2017</t>
  </si>
  <si>
    <t>Morales-Quintana, Luis/0000-0002-7194-1989; Tapia, Daisy/0000-0002-8678-3995; Ramos, Patricio/0000-0001-8341-314X; Rabert, Claudia/0000-0001-8179-9245; Larama, Giovanni/0000-0002-9658-7752</t>
  </si>
  <si>
    <t>Agencia Nacional de Investigacion y Desarrollo (ANID, Chile) [190093, 190078, 1211057, 1220782]</t>
  </si>
  <si>
    <t>Agencia Nacional de Investigacion y Desarrollo (ANID, Chile)</t>
  </si>
  <si>
    <t>The Agencia Nacional de Investigacion y Desarrollo (ANID, Chile) (grants REDES #190093 to L.M.-Q.; REDES #190078 to P.R.; FONDECYT #1211057 to P.R.; FONDECYT #1220782 to L.M.-Q.) supported the work. The funders had no role in the study design, data collection and analysis, decision to publish, or preparation of the manuscript.</t>
  </si>
  <si>
    <t>1422-0067</t>
  </si>
  <si>
    <t>INT J MOL SCI</t>
  </si>
  <si>
    <t>Int. J. Mol. Sci.</t>
  </si>
  <si>
    <t>10.3390/ijms23105741</t>
  </si>
  <si>
    <t>Biochemistry &amp; Molecular Biology; Chemistry, Multidisciplinary</t>
  </si>
  <si>
    <t>Biochemistry &amp; Molecular Biology; Chemistry</t>
  </si>
  <si>
    <t>1O6WM</t>
  </si>
  <si>
    <t>WOS:000801469800001</t>
  </si>
  <si>
    <t>Lamont, T; Toolsee, T</t>
  </si>
  <si>
    <t>Lamont, Tarron; Toolsee, Tesha</t>
  </si>
  <si>
    <t>Spatial and Seasonal Variations of the Island Mass Effect at the Sub-Antarctic Prince Edward Islands Archipelago</t>
  </si>
  <si>
    <t>Prince Edward Islands; island mass effect; satellite ocean colour; chlorophyll a; mixed layer depth; geostrophic currents</t>
  </si>
  <si>
    <t>NATURAL IRON FERTILIZATION; SOUTHERN-OCEAN; PHYTOPLANKTON BIOMASS; TEMPORAL VARIABILITY; KERGUELEN PLATEAU; CROZET PLATEAU; CHLOROPHYLL-A; POLAR FRONT; BLOOM; ENVIRONMENT</t>
  </si>
  <si>
    <t>At the sub-Antarctic Prince Edward Islands (PEIs) in the Southern Ocean, the Island Mass Effect (IME) plays an important role in maintaining an ecosystem able to support diverse biological communities; however, limited in situ sampling has severely constrained our understanding of it. As such, our study used satellite chlorophyll a (chla) to provide the first detailed characterisation of the spatial extent and seasonal variability of the IME at the PEIs. Seasonal surface chla variations were remarkable, with localised increases observed from mid-austral spring to the end of autumn (October to May). In contrast, during June to September, there were no distinguishable differences between chla at the PEIs and that further afield. Seasonal chla changes were significantly correlated with higher light levels, warmer waters, and shallow upper mixed layer depths reflecting enhanced water column stability during summer and autumn, with the opposite pattern in winter and spring. The IME extended northeast of the islands and remained spatially distinct from elevated chla around the northern branch of the sub-Antarctic Front and the southern branch of the Antarctic Polar Front. From December to February, the IME was spatially connected to the island shelf. In contrast, during March-May and in October, higher chla was observed only to the northeast, some distance away from the islands, suggesting a delayed IME, which has not previously been observed at the PEIs. The clear association of this higher chla with the weak mean geostrophic circulation northeast of the islands suggested retention and accumulation of nutrients and phytoplankton biomass, which was likely aided by wind-driven northeastward transport of water from the shelf. Climatological mean chla to the northeast was generally higher than that on the PEI shelf, and further research is required to determine the importance of this region to ecosystem functioning at the islands.</t>
  </si>
  <si>
    <t>[Lamont, Tarron] Dept Forestry Fisheries &amp; Environm, Oceans &amp; Coasts Res, POB 52126, ZA-8000 Cape Town, South Africa; [Lamont, Tarron] Bayworld Ctr Res &amp; Educ, 5 Riesling Rd, ZA-7806 Cape Town, South Africa; [Lamont, Tarron; Toolsee, Tesha] Univ Cape Town, Oceanog Dept, Private Bag X3, ZA-7701 Rondebosch, South Africa; [Lamont, Tarron; Toolsee, Tesha] Univ Cape Town, Marine Res Inst, Private Bag X3, ZA-7701 Rondebosch, South Africa</t>
  </si>
  <si>
    <t>University of Cape Town; University of Cape Town</t>
  </si>
  <si>
    <t>Lamont, T (corresponding author), Dept Forestry Fisheries &amp; Environm, Oceans &amp; Coasts Res, POB 52126, ZA-8000 Cape Town, South Africa.;Lamont, T (corresponding author), Bayworld Ctr Res &amp; Educ, 5 Riesling Rd, ZA-7806 Cape Town, South Africa.;Lamont, T (corresponding author), Univ Cape Town, Oceanog Dept, Private Bag X3, ZA-7701 Rondebosch, South Africa.;Lamont, T (corresponding author), Univ Cape Town, Marine Res Inst, Private Bag X3, ZA-7701 Rondebosch, South Africa.</t>
  </si>
  <si>
    <t>tarron.lamont@gmail.com; tlstes001@myuct.ac.za</t>
  </si>
  <si>
    <t>Lamont, Tarron/0000-0001-8464-891X</t>
  </si>
  <si>
    <t>Oceans &amp; Coasts Research Branch of the South African Department of Forestry, Fisheries, and the Environment (DFFE); Bayworld Centre for Research and Education (BCRE); South African National Research Foundation (NRF) [129229]</t>
  </si>
  <si>
    <t>Oceans &amp; Coasts Research Branch of the South African Department of Forestry, Fisheries, and the Environment (DFFE); Bayworld Centre for Research and Education (BCRE); South African National Research Foundation (NRF)(National Research Foundation - South Africa)</t>
  </si>
  <si>
    <t>This research was funded by the Oceans &amp; Coasts Research Branch of the South African Department of Forestry, Fisheries, and the Environment (DFFE), the Bayworld Centre for Research and Education (BCRE), and the South African National Research Foundation (NRF grant: 129229).</t>
  </si>
  <si>
    <t>10.3390/rs14092140</t>
  </si>
  <si>
    <t>1N5VF</t>
  </si>
  <si>
    <t>WOS:000800722500001</t>
  </si>
  <si>
    <t>Yue, M; Gao, JY; Li, CF; Zhu, C; Fan, XZ; Wu, GC; Shen, ZY; Shi, H; Cai, XX; Guo, YD</t>
  </si>
  <si>
    <t>Yue, Mei; Gao, JinYao; Li, Chun-Feng; Zhu, Chao; Fan, XinZhi; Wu, GuoChao; Shen, ZhongYan; Shi, Han; Cai, XiaoXian; Guo, YiDong</t>
  </si>
  <si>
    <t>Neogene faulting and volcanism in the Victoria Land Basin of the Ross Sea, Antarctica</t>
  </si>
  <si>
    <t>EARTH AND PLANETARY PHYSICS</t>
  </si>
  <si>
    <t>Victoria Land Basin; Terror Rift; seismic stratigraphy; gravity and magnetic modeling; faulting; Neogene volcanic intrusion</t>
  </si>
  <si>
    <t>GRAVITY; REGION; SYSTEM; MODEL</t>
  </si>
  <si>
    <t>The Neogene Terror Rift in the Antarctic Victoria Land Basin (VLB) of the Ross Sea, Antarctica, is composed of the Discovery Graben and the Lee Arch. Many Neogene volcanoes are aligned in the north-south direction in the southern VLB, belonging to the McMurdo Volcanic Group. However, due to multiple glaciations and limited seismic data, the volcanic processes are still unclear in the northern VLB, especially in the Terror Rift. Multichannel seismic profiles were collected at the VLB from the 32nd Chinese National Antarctic Research Expedition (CHINARE). We utilized four seismic profiles from the CHINARE and additional historical profiles, along with gravity and magnetic anomalies, to analyze faults and stratigraphic characteristics in the northern Terror Rift and volcanism in the VLB. Negative flower structures found in the northern Terror Rift suggest that the Terror Rift was affected by dextral strike-slip faults extending from the northern Victoria Land (NVL). After the initial orthogonal tension, the rift transited into an oblique extension, forming a set of downward concaving normal faults and accommodation zones in the Terror Rift. On the Lee Arch, several imbricated normal faults formed and converged into a detachment fault. Under gravitational forces, the strata bent upward and formed a rollover anticline. Many deep faults and thin strata subjected to erosion facilitated volcanic activity. A brittle volcanic region in the VLB was affected by dextral strike-slip movements and east-west extension, resulting in two Neogene volcanic chains that connect three igneous provinces in the VLB: the Hallett, Melbourne, and Erebus Provinces. These two chains contain mud volcanoes with magnetic nuclei, volcanic intrusions, and late-stage volcanic eruptions. Volcanisms have brought about opposite polarities of magnetic anomalies in Antarctica, indicating the occurrence of multiple volcanic activities.</t>
  </si>
  <si>
    <t>[Yue, Mei; Gao, JinYao; Li, Chun-Feng; Zhu, Chao] Zhejiang Univ, Ocean Coll, Zhoushan 316021, Peoples R China; [Yue, Mei; Gao, JinYao; Zhu, Chao; Fan, XinZhi; Wu, GuoChao; Shen, ZhongYan; Shi, Han; Cai, XiaoXian; Guo, YiDong] MNR, Inst Oceanog 2, Key Lab Submarine Sci, Hangzhou 310012, Peoples R China; [Gao, JinYao] MNR, Key Lab Environm Survey Technol &amp; Applicat, Guangzhou 528200, Peoples R China; [Li, Chun-Feng] Zhejiang Univ, Sanya Inst, Sanya 572000, Peoples R China; [Li, Chun-Feng] Qingdao Natl Lab Marine Sci &amp; Technol, Lab Marine Mineral Resources, Qingdao 266061, Peoples R China</t>
  </si>
  <si>
    <t>Zhejiang University; Zhejiang University; Laoshan Laboratory</t>
  </si>
  <si>
    <t>Gao, JY (corresponding author), Zhejiang Univ, Ocean Coll, Zhoushan 316021, Peoples R China.;Gao, JY (corresponding author), MNR, Inst Oceanog 2, Key Lab Submarine Sci, Hangzhou 310012, Peoples R China.;Gao, JY (corresponding author), MNR, Key Lab Environm Survey Technol &amp; Applicat, Guangzhou 528200, Peoples R China.</t>
  </si>
  <si>
    <t>gaojy@sio.org.cn</t>
  </si>
  <si>
    <t>Yue, mei/KEE-9471-2024; GAO, Jinyao/HHN-6642-2022</t>
  </si>
  <si>
    <t>Impact and Response of Ant-arctic Seas to Climate Change Project [IRASCC01-03-01]; Hainan Naturtal Science Foundation Inovative Research Team Project [421CXTD441]; National Natural Science Foundation of China [42176067, 41576069, 42176055, 41776189, 41906197]</t>
  </si>
  <si>
    <t>Impact and Response of Ant-arctic Seas to Climate Change Project; Hainan Naturtal Science Foundation Inovative Research Team Project; National Natural Science Foundation of China(National Natural Science Foundation of China (NSFC))</t>
  </si>
  <si>
    <t>This research was supported by the Impact and Response of Ant-arctic Seas to Climate Change Project (IRASCC01-03-01), Hainan Naturtal Science Foundation Inovative Research Team Project (421CXTD441), and the National Natural Science Foundation of China (Nos. 42176067, 41576069, 42176055, 41776189 and 41906197). We thank the 32nd CHINARE and the Antarctic Seismic Data Library System of SCAR (SDLS; http://sdlsold.ogs.trieste.it) for the MCS data available. We thank two anonymous reviewers whose comments and suggestions helped improve this manuscript.</t>
  </si>
  <si>
    <t>SCIENCE PRESS</t>
  </si>
  <si>
    <t>16 DONGHUANGCHENGGEN NORTH ST, BEIJING 100717, PEOPLES R CHINA</t>
  </si>
  <si>
    <t>2096-3955</t>
  </si>
  <si>
    <t>EARTH PLANET PHYS</t>
  </si>
  <si>
    <t>Earth Planet. Phys.</t>
  </si>
  <si>
    <t>10.26464/epp2022023</t>
  </si>
  <si>
    <t>1G5MP</t>
  </si>
  <si>
    <t>WOS:000795892200004</t>
  </si>
  <si>
    <t>Olesen, JM</t>
  </si>
  <si>
    <t>Olesen, Jens M.</t>
  </si>
  <si>
    <t>Ego network analysis of the trophic structure of an island land bird through 300 years of climate change and invaders</t>
  </si>
  <si>
    <t>ECOLOGY AND EVOLUTION</t>
  </si>
  <si>
    <t>PRINCE EDWARD ISLANDS; SHEATHBILLS CHIONIS-MINOR; LESSER SHEATHBILLS; MARION ISLAND; POPULATION-DYNAMICS; FORAGING BEHAVIOR; HOUSE MICE; IMPACT; FOOD; INVERTEBRATES</t>
  </si>
  <si>
    <t>Ego net analysis is a well-known practice in social sciences, where an ego net (EN) consists of a focal node, the ego, and its links to other nodes, called alters, and alter-alter links may also be included. An EN describes how a focal node is embedded in its interaction context. Here, I introduce EN analysis to ecology in a study of the trophic network of a sub-Antarctic land bird, Lesser Sheathbill (Chionis minor). Data originate from the sheathbill population on Marion Island in the Southern Ocean. The bird is ego and its enemies and food are alters. The EN is organized along three dimensions: habitat, interaction type, and time (from before human arrival in 1803 and until a future year 2100). Ten EN descriptors are defined, estimated, and used to track the 300 years of change in sheathbill EN structure. Since 1803, the EN has passed two major, but reversible shifts-seal exploitation in the 19th century and presence of cats from 1949 to 1991. These shifts can be read as structural changes in the sheathbill EN. In the future, a third, perhaps irreversible change is predicted, driven by climate change and a surprising, recent shift to seabird predation by House Mouse, the most detrimental of all extant invaders on Marion. In a warmer and drier future, the mouse will proliferate, and if this forces seabirds to abandon the island, their accumulation of detritus runs dry, starving a rich invertebrate detritivore fauna, which also is a key food source to sheathbills. These detritivores together with plants have also constituted the main food sources of mice. The EN descriptors quantify that story. In the future, these events may lead to a collapse of the island ecosystem, including extinction of the sheathbill-unless plans for mouse eradication are implemented.</t>
  </si>
  <si>
    <t>[Olesen, Jens M.] Aarhus Univ, Dept Biol, Ny Munkegade 114, DK-8000 Aarhus C, Denmark</t>
  </si>
  <si>
    <t>Aarhus University</t>
  </si>
  <si>
    <t>Olesen, JM (corresponding author), Aarhus Univ, Dept Biol, Ny Munkegade 114, DK-8000 Aarhus C, Denmark.</t>
  </si>
  <si>
    <t>jens.olesen@bio.au.dk</t>
  </si>
  <si>
    <t>Olesen, Jens/A-3011-2009</t>
  </si>
  <si>
    <t>Olesen, Jens/0000-0003-1998-1083</t>
  </si>
  <si>
    <t>Aage V. Jensen Foundation</t>
  </si>
  <si>
    <t>I thank the Aage V. Jensen Foundation for support, Yoko L. Dupont and Ruben H. Heleno for critique, and acknowledge the many Marion field ecologists without whose research my analysis, obviously, would have been impossible.</t>
  </si>
  <si>
    <t>2045-7758</t>
  </si>
  <si>
    <t>ECOL EVOL</t>
  </si>
  <si>
    <t>Ecol. Evol.</t>
  </si>
  <si>
    <t>e8916</t>
  </si>
  <si>
    <t>10.1002/ece3.8916</t>
  </si>
  <si>
    <t>1J3JX</t>
  </si>
  <si>
    <t>WOS:000797817200001</t>
  </si>
  <si>
    <t>Müller, G; Börker, J; Sluijs, A; Middelburg, JJ</t>
  </si>
  <si>
    <t>Mueller, Gerrit; Boerker, Janine; Sluijs, Appy; Middelburg, Jack J.</t>
  </si>
  <si>
    <t>Detrital Carbonate Minerals in Earth's Element Cycles</t>
  </si>
  <si>
    <t>detrital carbonate; particulate inorganic carbon; alkalinity; calcium; biogeochemical cycling; river sediment</t>
  </si>
  <si>
    <t>DISSOLVED INORGANIC CARBON; SOIL ORGANIC-MATTER; LOIRE RIVER-BASIN; DISSOLUTION KINETICS; SULFIDE OXIDATION; CO2 UPTAKE; AUTHIGENIC CARBONATE; CHEMICAL-COMPOSITION; SUSPENDED SEDIMENTS; GEOCHEMICAL CYCLE</t>
  </si>
  <si>
    <t>We investigate if the commonly neglected riverine detrital carbonate fluxes might reconciliate several chemical mass balances of the global ocean. Particulate inorganic carbon (PIC) concentrations in riverine suspended sediments, that is, carbon contained by these detrital carbonate minerals, were quantified at the basin and global scale. Our approach is based on globally representative data sets of riverine suspended sediment composition, catchment properties, and a two-step regression procedure. The present-day global riverine PIC flux is estimated at 3.1 +/- 0.3 Tmol C/y (13% of total inorganic carbon export and 4% of total carbon export) with a flux-weighted mean concentration of 0.26 +/- 0.03 wt%. The flux prior to damming was 4.1 +/- 0.5 Tmol C/y. PIC fluxes are concentrated in limestone-rich, rather dry and mountainous catchments of large rivers near Arabia, South East Asia, and Europe with 2.2 Tmol C/y (67.6%) discharged between 15 degrees N and 45 degrees N. Greenlandic and Antarctic meltwater discharge and ice-rafting additionally contribute 0.8 +/- 0.3 Tmol C/y. This amount of detrital carbonate minerals annually discharged into the ocean implies a significant contribution of calcium (similar to 4.75 Tmol Ca/y) and alkalinity fluxes (similar to 10 Tmol (eq)/y) to marine mass balances and moderate inputs of strontium (similar to 5 Gmol Sr/y) based on undisturbed riverine and cryospheric inputs and a dolomite/calcite ratio of 0.1. Magnesium fluxes (similar to 0.25 Tmol Mg/y), mostly hosted by less-soluble dolomite, are rather negligible. These unaccounted fluxes help in elucidating respective marine mass balances and potentially alter conclusions based on these budgets.</t>
  </si>
  <si>
    <t>[Mueller, Gerrit; Sluijs, Appy; Middelburg, Jack J.] Univ Utrecht, Dept Earth Sci, Utrecht, Netherlands; [Boerker, Janine] Univ Hamburg, Inst Geol, CEN Ctr Earth Syst Res &amp; Sustainabil, Hamburg, Germany</t>
  </si>
  <si>
    <t>Utrecht University; University of Hamburg</t>
  </si>
  <si>
    <t>Müller, G (corresponding author), Univ Utrecht, Dept Earth Sci, Utrecht, Netherlands.</t>
  </si>
  <si>
    <t>g.muller@uu.nl</t>
  </si>
  <si>
    <t>Sluijs, Appy/B-3726-2009; Middelburg, Jack/B-4951-2011</t>
  </si>
  <si>
    <t>Middelburg, Jack/0000-0003-3601-9072; Borker, Janine/0000-0002-3077-4598; Muller, Gerrit/0000-0002-5615-2834</t>
  </si>
  <si>
    <t>European Union's Horizon 2020 research and innovation program under the Marie Skodowska-Curie [847504]; BMBF-project PALMOD through the German Federal Ministry of Education and Research (BMBF) [01LP1506C]; European Research Council [771497]; Marie Curie Actions (MSCA) [847504] Funding Source: Marie Curie Actions (MSCA); European Research Council (ERC) [771497] Funding Source: European Research Council (ERC)</t>
  </si>
  <si>
    <t>European Union's Horizon 2020 research and innovation program under the Marie Skodowska-Curie(European Union (EU)); BMBF-project PALMOD through the German Federal Ministry of Education and Research (BMBF)(Federal Ministry of Education &amp; Research (BMBF)); European Research Council(European Research Council (ERC)); Marie Curie Actions (MSCA)(Marie Curie Actions); European Research Council (ERC)(European Research Council (ERC)Spanish Government)</t>
  </si>
  <si>
    <t>We thank Olivier Sulpis, Jens Hartmann, Gibran Romero-Mujalli, Stefan Kempe, and Jaap Nienhuis for discussion and advice. Robert Hilton and an anonymous reviewer are thanked for their valuable inputs, significantly improving this work. This work was carried out under the umbrella of the Netherlands Earth System Science Center (NESSC). This project has received funding from the European Union's Horizon 2020 research and innovation program under the Marie Skodowska-Curie, grant agreement No. 847504. Funding was also provided by BMBF-project PALMOD (Ref 01LP1506C) through the German Federal Ministry of Education and Research (BMBF) as Research for Sustainability initiative (FONA). AS thanks the European Research Council for Consolidator Grant 771497.</t>
  </si>
  <si>
    <t>e2021GB007231</t>
  </si>
  <si>
    <t>10.1029/2021GB007231</t>
  </si>
  <si>
    <t>1L1KS</t>
  </si>
  <si>
    <t>WOS:000799052200001</t>
  </si>
  <si>
    <t>Cael, BB; Demeaux, CB; Henson, S; Stock, CA; Taboada, FG; John, JG; Barton, AD</t>
  </si>
  <si>
    <t>Cael, B. B.; Demeaux, Charlotte Begouen; Henson, Stephanie; Stock, Charles A.; Taboada, Fernando Gonzalez; John, Jasmin G.; Barton, Andrew D.</t>
  </si>
  <si>
    <t>Marine Ecosystem Changepoints Spread Under Ocean Warming in an Earth System Model</t>
  </si>
  <si>
    <t>JOURNAL OF GEOPHYSICAL RESEARCH-BIOGEOSCIENCES</t>
  </si>
  <si>
    <t>plankton; ocean ecosystems; climate change; changepoint; tipping point; change point</t>
  </si>
  <si>
    <t>ANTARCTIC CIRCUMPOLAR CURRENT; TROPHIC AMPLIFICATION; CLIMATE-CHANGE; REGIME SHIFTS; PHYTOPLANKTON; ZOOPLANKTON; PLANKTON; GROWTH; FORMULATION; FUTURE</t>
  </si>
  <si>
    <t>Sudden shifts in marine plankton communities in response to environmental changes are of special concern because of their low predictability and high potential impacts on ocean ecosystems. We explored how anthropogenic climate change influences the spatial extent and frequency of changepoints in plankton populations by comparing the behavior of a plankton community in a coupled Earth system model under pre-industrial, historical 20th century, and projected 21st century forcing. The ocean areas where surface ocean temperature, nutrient concentrations, and different plankton types exhibited changepoints expanded over time. In contrast, regional hotspots where changepoints occur frequently largely disappeared. Heterotrophy and larger organism sizes were associated with more changepoints. In the pre-industrial and 20th century, plankton changepoints were associated with shifts in physical fronts, and more often with changepoints for iron and silicate than for nitrate and phosphate. In the 21st century, climate change disrupts these interannual-variability-driven changepoint patterns. Together, our results suggest anthropogenic climate change may drive less frequent but more widespread changepoints simultaneously affecting several components of pelagic food webs.</t>
  </si>
  <si>
    <t>[Cael, B. B.; Demeaux, Charlotte Begouen; Henson, Stephanie] Natl Oceanog Ctr, Southampton, Hants, England; [Stock, Charles A.; Taboada, Fernando Gonzalez; John, Jasmin G.; Barton, Andrew D.] NOAA, OAR, Geophys Fluid Dynam Lab, Princeton, NJ USA; [Taboada, Fernando Gonzalez] Princeton Univ, Atmospher &amp; Ocean Sci Program, Princeton, NJ 08544 USA; [Taboada, Fernando Gonzalez] AZTI Marine Res, Basque Res &amp; Technol Alliance BRTA, Sukarrieta, Spain; [John, Jasmin G.] NOAA, OAR, Atlantic Oceanog &amp; Meteorol Lab, Miami, FL 33149 USA; [Barton, Andrew D.] Univ Calif San Diego, Scripps Inst Oceanog, Dept Ecol Behav &amp; Evolut, La Jolla, CA 92093 USA</t>
  </si>
  <si>
    <t>NERC National Oceanography Centre; National Oceanic Atmospheric Admin (NOAA) - USA; National Oceanic Atmospheric Admin (NOAA) - USA; Princeton University; AZTI; National Oceanic Atmospheric Admin (NOAA) - USA; Atlantic Oceanographic &amp; Meteorological Laboratory (AOML); University of California System; University of California San Diego; Scripps Institution of Oceanography</t>
  </si>
  <si>
    <t>Cael, BB (corresponding author), Natl Oceanog Ctr, Southampton, Hants, England.</t>
  </si>
  <si>
    <t>cael@noc.ac.uk</t>
  </si>
  <si>
    <t>González Taboada, Fernando/L-2783-2015; John, Jasmin G./F-8194-2012</t>
  </si>
  <si>
    <t>González Taboada, Fernando/0000-0001-7634-887X; Begouen Demeaux, Charlotte/0000-0003-0471-5022; Stock, Charles/0000-0001-9549-8013; Barton, Andrew/0000-0002-6480-4433; John, Jasmin G./0000-0003-2696-277X; Cael, B. B./0000-0003-1317-5718</t>
  </si>
  <si>
    <t>National Environmental Research Council [NE/R015953/1]; European Union [820989]</t>
  </si>
  <si>
    <t>National Environmental Research Council(UK Research &amp; Innovation (UKRI)Natural Environment Research Council (NERC)); European Union(European Union (EU))</t>
  </si>
  <si>
    <t>The authors thank John Dunne for providing an internal GFDL review of a previous version of this manuscript, four anonymous reviewers for helpful comments on a previous version of this manuscript, and Claudie Beaulieu for helpful advice on the correction application of the EnvCpt R package. BBC and SH acknowledge support from the National Environmental Research Council (NE/R015953/1). BBC and SH have also received funding from the European Union's Horizon 2020 Research and Innovation Programme under grant agreement No. 820989 (project COMFORT, our common future ocean in the Earth system-quantifying coupled cycles of carbon, oxygen, and nutrients for determining and achieving safe operating spaces with respect to tipping points). The work reflects only the authors' view; the European Commission and their executive agency are not responsible for any use that may be made of the information the work contains.</t>
  </si>
  <si>
    <t>2169-8953</t>
  </si>
  <si>
    <t>2169-8961</t>
  </si>
  <si>
    <t>J GEOPHYS RES-BIOGEO</t>
  </si>
  <si>
    <t>J. Geophys. Res.-Biogeosci.</t>
  </si>
  <si>
    <t>e2021JG006571</t>
  </si>
  <si>
    <t>10.1029/2021JG006571</t>
  </si>
  <si>
    <t>1K4SD</t>
  </si>
  <si>
    <t>Green Accepted, Green Submitted, Green Published</t>
  </si>
  <si>
    <t>WOS:000798591700001</t>
  </si>
  <si>
    <t>Valencia-Gasti, JA; Camacho-Ibar, VF; Herguera, JC</t>
  </si>
  <si>
    <t>Valencia-Gasti, J. A.; Camacho-Ibar, V. F.; Herguera, J. C.</t>
  </si>
  <si>
    <t>Water Mass Structure and Mixing Fractions in the Deepwater Region of the Gulf of Mexico</t>
  </si>
  <si>
    <t>Gulf of Mexico; optimum multiparameter analysis; water mass fraction; water type; nitrate; mesoscale eddies</t>
  </si>
  <si>
    <t>UPPER-LAYER CIRCULATION; NITROGEN-FIXATION; CARIBBEAN SEA; STOICHIOMETRIC RATIOS; TEMPORAL VARIATION; BOTTOM WATERS; OCEAN; VENTILATION; PHOSPHATE; TRICHODESMIUM</t>
  </si>
  <si>
    <t>Here, we estimate water mass fractions in the deepwater region of the southern Gulf of Mexico from samples collected during June 2016. Past water mass characterizations have relied mainly on temperature, salinity, and dissolved oxygen concentrations, although the degree of mixing and the effects on the distribution of nutrients and other dissolved constituents remain uncertain. Based on nine water types defined in the eastern Caribbean Sea and North Atlantic and excluding surface waters, five dominant water masses with contributions between 50% and 93% in their cores were identified. North Atlantic Subtropical Underwater contributed 42% +/- 9% between 49 and 105 m. Modal water with origins in the northern subtropical gyre (Eighteen Degree Water) were ubiquitous in the gulf, with average contributions of 62% +/- 25% between 110 and 153 m and 51% +/- 12% between 248 and 306 m, while the core of Tropical Atlantic Central Water (TACW; 70% +/- 5%) dominated between 355 and 510 m. Water at the nitrate maximum consisted of TACW (48% +/- 13%) and Antarctic Intermediate Water (AAIW; 32 +/- 14%), with the local remineralization of organic matter adding similar to 10% to the nitrate pool. Below similar to 800 m, water transitioned from AAIW to a domain of two components of Labrador Seawater. Mesoscale eddies controlled the observed depth variability of the water masses from the surface down to similar to 1,000 m. This study provides a quantitative approximation to evaluate the addition of nutrients to the different water masses by biogeochemical processes driven by an epipelagic ecosystem generally considered to be oligotrophic.</t>
  </si>
  <si>
    <t>[Valencia-Gasti, J. A.; Camacho-Ibar, V. F.] Univ Autonoma Baja California, Inst Invest Oceanol, Ensenada, Baja California, Mexico; [Herguera, J. C.] Ctr Invest Cient &amp; Educ Super Ensenada, Ensenada, Baja California, Mexico</t>
  </si>
  <si>
    <t>Universidad Autonoma de Baja California; CICESE - Centro de Investigacion Cientifica y de Educacion Superior de Ensenada</t>
  </si>
  <si>
    <t>Camacho-Ibar, VF (corresponding author), Univ Autonoma Baja California, Inst Invest Oceanol, Ensenada, Baja California, Mexico.</t>
  </si>
  <si>
    <t>vcamacho@uabc.edu.mx</t>
  </si>
  <si>
    <t>; Herguera, Juan Carlos/B-7812-2016</t>
  </si>
  <si>
    <t>Camacho-Ibar, Victor/0000-0003-2424-1979; Herguera, Juan Carlos/0000-0001-8335-2607; Valencia Gasti, Jose Augusto/0000-0001-9996-3445</t>
  </si>
  <si>
    <t>Mexican National Council for Science and Technology - Mexican Ministry of Energy - Hydrocarbon Fund [201441]; PEMEX's specific request to the Hydrocarbon Fund; British Oceanographic Data Centre - Natural Environment Research Council of the UK; National Science Foundation of the USA; National Oceanic and Atmospheric Administration (NOAA); Centre National d'Etudes Spatiales (CNES); CNES; Environment Monitoring Service (CMEMS)</t>
  </si>
  <si>
    <t>Mexican National Council for Science and Technology - Mexican Ministry of Energy - Hydrocarbon Fund; PEMEX's specific request to the Hydrocarbon Fund; British Oceanographic Data Centre - Natural Environment Research Council of the UK; National Science Foundation of the USA(National Science Foundation (NSF)); National Oceanic and Atmospheric Administration (NOAA)(National Oceanic Atmospheric Admin (NOAA) - USA); Centre National d'Etudes Spatiales (CNES)(Centre National D'etudes Spatiales); CNES(Centre National D'etudes Spatiales); Environment Monitoring Service (CMEMS)</t>
  </si>
  <si>
    <t>This research was funded by the Mexican National Council for Science and Technology - Mexican Ministry of Energy - Hydrocarbon Fund (project 201441). This is a contribution of the Gulf of Mexico Research Consortium (CIGoM). We acknowledge PEMEX's specific request to the Hydrocarbon Fund to address the environmental effects of oil spills in the Gulf of Mexico. A postdoctoral grant to Valencia-Gasti was provided by CIGoM. We thank Mauricio Munoz-Anderson and Maria del Carmen avila-Lopez for dissolved inorganic nutrient analyses. This study uses data from RAPID, provided by the British Oceanographic Data Centre and funded by the Natural Environment Research Council of the UK, the National Science Foundation of the USA, and the National Oceanic and Atmospheric Administration (NOAA). We thank the crew and scientists of the research vessels involved in sampling and processing. MDT_CNES-CLS18 data were produced by Collecte Localisation Satellites (CLS) Space Oceanography Division and distributed by the Archiving, Validation, and Interpretation of Satellite Oceanographic Data (Aviso+), with support from the Centre National d'Etudes Spatiales (CNES; ). Satellite altimeter data were provided by Ssalto/Duacs with the support of CNES and distributed by the Copernicus Marine and Environment Monitoring Service (CMEMS). We thank the two anonymous reviewers for the positive comments and careful reviews, which helped to improve the manuscript.</t>
  </si>
  <si>
    <t>e2021JC017705</t>
  </si>
  <si>
    <t>10.1029/2021JC017705</t>
  </si>
  <si>
    <t>1K3OL</t>
  </si>
  <si>
    <t>WOS:000798514400001</t>
  </si>
  <si>
    <t>Zhou, L; Yang, YD; Hao, WF; Li, F; Yan, P</t>
  </si>
  <si>
    <t>Zhou Lei; Yang YuanDe; Hao WeiFeng; Li Fei; Yan Peng</t>
  </si>
  <si>
    <t>Gravity anomaly characteristics of sedimentary basin of Weddell Sea in Antarctica</t>
  </si>
  <si>
    <t>CHINESE JOURNAL OF GEOPHYSICS-CHINESE EDITION</t>
  </si>
  <si>
    <t>Chinese</t>
  </si>
  <si>
    <t>Parker method; Bouguer gravity anomaly; Sedimentary basin; Weddell Sea</t>
  </si>
  <si>
    <t>CRUSTAL STRUCTURE; EMBAYMENT; FIELD</t>
  </si>
  <si>
    <t>The latest gravity data calculated from satellite altimetry are tested and verified by the marine gravity data collected in Antarctic Weddell Sea, and the Parker forward method is used to obtain the Bouguer gravity anomaly in the Weddell Sea sedimentary basin. In order to explore the relationship between gravity anomalies and wavelength in the Weddell Sea sedimentary basin, a sedimentary basin model is established to calculate the ratio of the gravity effects of the Moho compensation to sedimentary process. Further, Airy-Hesikanen isostatic model is used to calculate the isostatic anomaly and explore the isostatic state of the boundary. The results show: (1) The Bouguer gravity anomaly in the Weddell Sea sedimentary basin has different characteristics with wavelength changes: the Bouguer gravity anomaly with a wavelength of 200 similar to 600 km (corresponding to a sedimentary basin with a width of 100 similar to 300 km) is mainly positive, while the wavelength is 80 similar to 200 km (corresponding to a sedimentary basin with a width of 40 similar to 100 km), the Bouguer gravity anomaly is negative. (2) Further analysis based on the gravity anomaly model of sedimentary basins with varying flexural rigidities shows that the positive gravity anomaly in Weddell Sea may be not formed by the long-term underplating in the crust, but the interaction between sedimentation and rifting. (3) The isostatic gravity anomalies of the sea-land boundary in this region presents high negative values, reflecting that the sedimentary process of the Weddell Sea Basin is related to the ice shelf displacement system.</t>
  </si>
  <si>
    <t>[Zhou Lei; Yang YuanDe; Hao WeiFeng; Li Fei; Yan Peng] Wuhan Univ, Chinese Antarctic Ctr Surveying &amp; Mapping, Wuhan 430079, Peoples R China; [Zhou Lei] Hubei Normal Univ, Fac Sci &amp; Engn, Coll Arts &amp; Sci, Huangshi 435002, Hubei, Peoples R China</t>
  </si>
  <si>
    <t>Wuhan University; Hubei Normal University</t>
  </si>
  <si>
    <t>Hao, WF (corresponding author), Wuhan Univ, Chinese Antarctic Ctr Surveying &amp; Mapping, Wuhan 430079, Peoples R China.</t>
  </si>
  <si>
    <t>zhouleo1986824@163.com; haowf@whu.edu.cn</t>
  </si>
  <si>
    <t>0001-5733</t>
  </si>
  <si>
    <t>CHINESE J GEOPHYS-CH</t>
  </si>
  <si>
    <t>Chinese J. Geophys.-Chinese Ed.</t>
  </si>
  <si>
    <t>10.6038/cjg2022N0160</t>
  </si>
  <si>
    <t>1H7UU</t>
  </si>
  <si>
    <t>WOS:000796746600014</t>
  </si>
  <si>
    <t>Oosthuizen, WC; Pistorius, PA; Korczak-Abshire, M; Hinke, JT; Santos, M; Lowther, AD</t>
  </si>
  <si>
    <t>Oosthuizen, W. Chris; Pistorius, Pierre A.; Korczak-Abshire, Malgorzata; Hinke, Jefferson T.; Santos, Mercedes; Lowther, Andrew D.</t>
  </si>
  <si>
    <t>The foraging behavior of nonbreeding Adelie penguins in the western Antarctic Peninsula during the breeding season</t>
  </si>
  <si>
    <t>central-place foraging; marine predator; move persistence; nonbreeding; penguin; Pygoscelis adeliae; seabird; tracking data; utilization distribution</t>
  </si>
  <si>
    <t>DIVING BEHAVIOR; TRACKING DATA; ECOSYSTEM; KRILL; VARIABILITY; PATTERNS; SEABIRDS; REVEALS; ISLANDS; WATERS</t>
  </si>
  <si>
    <t>Information on marine predator at-sea distributions is key to understanding ecosystem and community dynamics and an important component of spatial management frameworks that aim to identify regions important for conservation. Tracking data from seabirds are widely used to define priority areas for conservation, but such data are often restricted to the breeding population. This also applies to penguins in Antarctica, where identification of important habitat for nonbreeders has received limited attention. Nonbreeding penguins are expected to have larger foraging distributions than breeding conspecifics, which may alter their interactions with physical environmental factors, conspecifics, other marine predators, and threats. We studied the movement behavior of nonbreeding Adelie penguins tracked during the 2016/2017 breeding season at King George Island in the South Shetland Islands, Antarctica. We quantify how nonbreeding penguins' horizontal moment behavior varies in relation to environmental conditions and assess the extent of spatial overlap in the foraging ranges of nonbreeders and breeders, which were tracked over several years. Nonbreeders increased their prey search and area-restricted foraging behavior as sea surface temperature and bottom depths decreased, and in response to increasing sea ice concentration. Nonbreeders tended to transit (high directional movement) over the relatively deep Central Basin of the Bransfield Strait. The majority of foraging behavior occurred within the colder, Weddell Sea-sourced water of the Antarctic Coastal Current (incubation) and in the Weddell Sea (creche). The utilization distributions of breeders and nonbreeders overlapped in the central Bransfield Strait. Spatial segregation was greater during the creche stage of breeding compared to incubation and brood, because chick provisioning still constrained the foraging range of breeders to a scale of a few tens of kilometers, while nonbreeders commenced with premolt foraging trips into the Weddell Sea. Our results show that breeding and nonbreeding penguins may not be impacted similarly by local environmental variability, given that their spatial and temporal scales of foraging differ during some part of the austral summer. Our study highlights the need to account for different life history stages when characterizing foraging behavior of marine predator populations. This is particularly important for sentinel species monitored as part of marine conservation and ecosystem-based management programs.</t>
  </si>
  <si>
    <t>[Oosthuizen, W. Chris; Pistorius, Pierre A.] Nelson Mandela Univ, Inst Coastal &amp; Marine Res, Marine Apex Predator Res Unit, Port Elizabeth, South Africa; [Oosthuizen, W. Chris; Pistorius, Pierre A.] Nelson Mandela Univ, Dept Zool, Port Elizabeth, South Africa; [Oosthuizen, W. Chris] Univ Cape Town, Ctr Stat Ecol Environm &amp; Conservat, Dept Stat Sci, Cape Town, South Africa; [Korczak-Abshire, Malgorzata] Polish Acad Sci, Inst Biochem &amp; Biophys, Warsaw, Poland; [Hinke, Jefferson T.] NOAA, Natl Marine Fisheries Serv, Southwest Fisheries Sci Ctr, Antarctic Ecosyst Res Div, La Jolla, CA USA; [Santos, Mercedes] Inst Antartico Argentino, Dept Biol Predadores Tope, Buenos Aires, DF, Argentina; [Santos, Mercedes] Univ Nacl La Plata, Fac Ciencias Nat &amp; Museo, Labs Anexos, Buenos Aires, DF, Argentina; [Lowther, Andrew D.] Norwegian Polar Res Inst, Fram Ctr, Res Dept, Tromso, Norway</t>
  </si>
  <si>
    <t>Nelson Mandela University; Nelson Mandela University; University of Cape Town; Polish Academy of Sciences; Institute of Biochemistry &amp; Biophysics - Polish Academy of Sciences; National Oceanic Atmospheric Admin (NOAA) - USA; Instituto Antartico Argentino; National University of La Plata; Norwegian Polar Institute</t>
  </si>
  <si>
    <t>Lowther, AD (corresponding author), Norwegian Polar Res Inst, Fram Ctr, Res Dept, Tromso, Norway.</t>
  </si>
  <si>
    <t>andrew.lowther@npolar.no</t>
  </si>
  <si>
    <t>Korczak-Abshire, Malgorzata/AAA-1563-2020; Oosthuizen, W. Chris/I-2947-2016</t>
  </si>
  <si>
    <t>Korczak-Abshire, Malgorzata/0000-0001-7695-0588; Lowther, Andrew/0000-0003-4294-3157; Oosthuizen, W. Chris/0000-0003-2905-6297</t>
  </si>
  <si>
    <t>Antarctic Wildlife Research Fund</t>
  </si>
  <si>
    <t>e4090</t>
  </si>
  <si>
    <t>10.1002/ecs2.4090</t>
  </si>
  <si>
    <t>1J1LN</t>
  </si>
  <si>
    <t>WOS:000797685900001</t>
  </si>
  <si>
    <t>Beadling, RL; Krasting, JP; Griffies, SM; Hurlin, WJ; Bronselaer, B; Russell, JL; MacGilchrist, GA; Tesdal, JE; Winton, M</t>
  </si>
  <si>
    <t>Beadling, R. L.; Krasting, J. P.; Griffies, S. M.; Hurlin, W. J.; Bronselaer, B.; Russell, J. L.; MacGilchrist, G. A.; Tesdal, J. -E.; Winton, M.</t>
  </si>
  <si>
    <t>Importance of the Antarctic Slope Current in the Southern Ocean Response to Ice Sheet Melt and Wind Stress Change</t>
  </si>
  <si>
    <t>Antarctic Slope Current; climate modeling; Southern Ocean; ocean circulation</t>
  </si>
  <si>
    <t>WEDDELL SEA POLYNYA; WATER MASSES; BOTTOM WATER; FRESH-WATER; CONTINENTAL-SHELF; NORTH-ATLANTIC; DEEP-WATER; CIRCULATION; MELTWATER; WEST</t>
  </si>
  <si>
    <t>We use two coupled climate models, GFDL-CM4 and GFDL-ESM4, to investigate the physical response of the Southern Ocean to changes in surface wind stress, Antarctic meltwater, and the combined forcing of the two in a pre-industrial control simulation. The meltwater cools the ocean surface in all regions except the Weddell Sea, where the wind stress warms the near-surface layer. The limited sensitivity of the Weddell Sea surface layer to the meltwater is due to the spatial distribution of the meltwater fluxes, regional bathymetry, and large-scale circulation patterns. The meltwater forcing dominates the Antarctic shelf response and the models yield strikingly different responses along West Antarctica. The disagreement is attributable to the mean-state representation and meltwater-driven acceleration of the Antarctic Slope Current (ASC). In CM4, the meltwater is efficiently trapped on the shelf by a well resolved, strong, and accelerating ASC which isolates the West Antarctic shelf from warm offshore waters, leading to strong subsurface cooling. In ESM4, a weaker and diffuse ASC allows more meltwater to escape to the open ocean, the West Antarctic shelf does not become isolated, and instead strong subsurface warming occurs. The CM4 results suggest a possible negative feedback mechanism that acts to limit future melting, while the ESM4 results suggest a possible positive feedback mechanism that acts to accelerate melt. Our results demonstrate the strong influence the ASC has on governing changes along the shelf, highlighting the importance of coupling interactive ice sheet models to ocean models that can resolve these dynamical processes.</t>
  </si>
  <si>
    <t>[Beadling, R. L.] Univ Corp Atmospher Res, Boulder, CO 80305 USA; [Beadling, R. L.; Krasting, J. P.; Griffies, S. M.; Hurlin, W. J.; Bronselaer, B.; MacGilchrist, G. A.; Tesdal, J. -E.; Winton, M.] NOAA, Geophys Fluid Dynam Lab, Princeton, NJ 08540 USA; [Beadling, R. L.; Griffies, S. M.; Bronselaer, B.; MacGilchrist, G. A.; Tesdal, J. -E.] Princeton Univ, Atmospher &amp; Ocean Sci Program, Princeton, NJ 08544 USA; [Bronselaer, B.] British Petr Co PLC, London, England; [Bronselaer, B.; Russell, J. L.] Univ Arizona, Dept Geosci, Tucson, AZ 85721 USA</t>
  </si>
  <si>
    <t>National Center Atmospheric Research (NCAR) - USA; National Oceanic Atmospheric Admin (NOAA) - USA; National Oceanic Atmospheric Admin (NOAA) - USA; Princeton University; BP; University of Arizona</t>
  </si>
  <si>
    <t>Beadling, RL (corresponding author), Univ Corp Atmospher Res, Boulder, CO 80305 USA.;Beadling, RL (corresponding author), NOAA, Geophys Fluid Dynam Lab, Princeton, NJ 08540 USA.;Beadling, RL (corresponding author), Princeton Univ, Atmospher &amp; Ocean Sci Program, Princeton, NJ 08544 USA.</t>
  </si>
  <si>
    <t>rebecca.beadling@noaa.gov</t>
  </si>
  <si>
    <t>Griffies, Stephen Matthew/N-9144-2019; Krasting, John/G-9360-2019</t>
  </si>
  <si>
    <t>Griffies, Stephen Matthew/0000-0002-3711-236X; Krasting, John/0000-0002-4650-9844; Russell, Joellen/0000-0001-9937-6056; MacGilchrist, Graeme/0000-0003-1409-8937; Hurlin, William/0000-0002-7390-6669; Winton, Michael/0000-0001-7982-0260</t>
  </si>
  <si>
    <t>NSF's Southern Ocean Carbon and Climate Observations and Modeling (SOCCOM) Project under NSF [PLR-1425989]; NOAA; NASA; U.S. DOE [B640108, DE-AC52-07NA27344]; NOAA Climate and Global Change Postdoctoral Fellowship Award; NSF XSEDE [OCE130007]</t>
  </si>
  <si>
    <t>NSF's Southern Ocean Carbon and Climate Observations and Modeling (SOCCOM) Project under NSF; NOAA(National Oceanic Atmospheric Admin (NOAA) - USA); NASA(National Aeronautics &amp; Space Administration (NASA)); U.S. DOE(United States Department of Energy (DOE)); NOAA Climate and Global Change Postdoctoral Fellowship Award; NSF XSEDE(National Science Foundation (NSF))</t>
  </si>
  <si>
    <t>This work was funded by NSF's Southern Ocean Carbon and Climate Observations and Modeling (SOCCOM) Project under NSF Award PLR-1425989, with additional support from NOAA and NASA. Logistical support for SOCCOM in the Antarctic was provided by the U.S. NSF through the U.S. Antarctic Program. This work was also supported by the U.S. DOE Subcontract no. B640108 under Prime Contract no. DE-AC52-07NA27344. RLB was additionally supported by the NOAA Climate and Global Change Postdoctoral Fellowship Award. The authors thank the FAFMIP team for production of the wind stress perturbation fields. The authors are thankful to the developers of the xarray () and xgcm () packages. The authors thank John Dunne and Robert Hallberg at NOAA's Geophysical Fluid Dynamics Laboratory, Ruth Moorman at California Institute of Technology for sharing code to investigate cross-isobath transports, Matthew Mazloff at Scripps Institution of Oceanography for providing the Southern Ocean State Estimate (SOSE) output, and the editor and two anonymous reviewers for comments and suggestions that greatly improved the paper. Computational resources for the SOSE were provided by NSF XSEDE resource grant OCE130007. The computational resources that allowed for the analysis presented in this manuscript sit on the ancient homeland and traditional territory of the Lenape people. The authors pay respect to Lenape peoples past, present, and future and their continuing presence in the homeland and throughout the Lenape diaspora.</t>
  </si>
  <si>
    <t>e2021JC017608</t>
  </si>
  <si>
    <t>10.1029/2021JC017608</t>
  </si>
  <si>
    <t>1J9JL</t>
  </si>
  <si>
    <t>Green Published, Bronze</t>
  </si>
  <si>
    <t>WOS:000798227700001</t>
  </si>
  <si>
    <t>Hogg, AM; Penduff, T; Close, SE; Dewar, WK; Constantinou, NC; Martínez-Moreno, J</t>
  </si>
  <si>
    <t>Hogg, Andrew McC.; Penduff, Thierry; Close, Sally E.; Dewar, William K.; Constantinou, Navid C.; Martinez-Moreno, Josue</t>
  </si>
  <si>
    <t>Circumpolar Variations in the Chaotic Nature of Southern Ocean Eddy Dynamics</t>
  </si>
  <si>
    <t>Southern ocean; eddies; chaotic; ensemble modeling</t>
  </si>
  <si>
    <t>VARIABILITY; MODEL; ENERGY; TRENDS</t>
  </si>
  <si>
    <t>Circulation in the Southern Ocean is unique. The strong wind stress forcing and buoyancy fluxes, in concert with the lack of continental boundaries, conspire to drive the Antarctic Circumpolar Current replete with an intense eddy field. The effect of Southern Ocean eddies on the ocean circulation is significant-they modulate the momentum balance of the zonal flow, and the meridional transport of tracers and mass. The strength of the eddy field is controlled by a combination of forcing (primarily thought to be wind stress) and intrinsic, chaotic, variability associated with the turbulent flow field itself. Here, we present results from an eddy-permitting ensemble of ocean model simulations to investigate the relative contribution of forced and intrinsic processes in governing the variability of Southern Ocean eddy kinetic energy. We find that variations of the eddy field are mostly random, even on longer (interannual) timescales. Where correlations between the wind stress forcing and the eddy field exist, these interactions are dominated by two distinct timescales-a fast baroclinic instability response; and a multi-year process owing to feedback between bathymetry and the mean flow. These results suggest that understanding Southern Ocean eddy dynamics and its larger-scale impacts requires an ensemble approach to eliminate intrinsic variability, and therefore may not yield robust conclusions from observations alone.</t>
  </si>
  <si>
    <t>[Hogg, Andrew McC.; Constantinou, Navid C.; Martinez-Moreno, Josue] Australian Natl Univ, Res Sch Earth Sci, Canberra, ACT, Australia; [Hogg, Andrew McC.; Constantinou, Navid C.; Martinez-Moreno, Josue] Australian Natl Univ, ARC Ctr Excellence Climate Extremes, Canberra, ACT, Australia; [Penduff, Thierry; Close, Sally E.] Univ Grenoble Alpes, Grenoble INP, Inst Geosci Environm IGE, CNRS,IRD, Grenoble, France; [Close, Sally E.; Martinez-Moreno, Josue] Univ Brest, CNRS, Lab Oceanog Phys &amp; Spatiale LOPS, IFREMER,IRD, Brest, France; [Dewar, William K.] Florida State Univ, Tallahassee, FL 32306 USA</t>
  </si>
  <si>
    <t>Australian National University; Australian National University; Communaute Universite Grenoble Alpes; Universite Grenoble Alpes (UGA); Centre National de la Recherche Scientifique (CNRS); Institut de Recherche pour le Developpement (IRD); Institut National Polytechnique de Grenoble; Ifremer; Institut de Recherche pour le Developpement (IRD); Centre National de la Recherche Scientifique (CNRS); Universite de Bretagne Occidentale; State University System of Florida; Florida State University</t>
  </si>
  <si>
    <t>Hogg, AM (corresponding author), Australian Natl Univ, Res Sch Earth Sci, Canberra, ACT, Australia.;Hogg, AM (corresponding author), Australian Natl Univ, ARC Ctr Excellence Climate Extremes, Canberra, ACT, Australia.</t>
  </si>
  <si>
    <t>Andy.Hogg@anu.edu.au</t>
  </si>
  <si>
    <t>Constantinou, Navid C/GVS-6295-2022; Hogg, Andy McC./A-7553-2011</t>
  </si>
  <si>
    <t>Constantinou, Navid C/0000-0002-8149-4094; Hogg, Andy McC./0000-0001-5898-7635; Dewar, William/0000-0002-5803-5535; Martinez Moreno, Josue/0000-0002-8348-1588; Penduff, Thierry/0000-0002-0407-8564</t>
  </si>
  <si>
    <t>ANR [ANR-13-BS06-0007-01]; CNES through the Ocean Surface Topography Science Team (OST-ST); NSF [OCE-1941963, OCE-2023585, OCE-2123632]; Australian Research Council [DE210100749]; Australian Government; [ANR-18-MPGA-0002]; Australian Research Council [DE210100749] Funding Source: Australian Research Council</t>
  </si>
  <si>
    <t>ANR(Agence Nationale de la Recherche (ANR)); CNES through the Ocean Surface Topography Science Team (OST-ST); NSF(National Science Foundation (NSF)); Australian Research Council(Australian Research Council); Australian Government(Australian Government); ; Australian Research Council(Australian Research Council)</t>
  </si>
  <si>
    <t>AMH is gratefully to the MEOM team at IGE, Universite Grenoble Alpes, who supported his sabbatical and which led to this work. The results of this research have been achieved using the PRACE Research Infrastructure resource CURIE based in France at TGCC. This work is a contribution to the OCCIPUT and PIRATE projects. OCCIPUT has been funded by ANR through contract ANR-13-BS06-0007-01. PIRATE has been funded by CNES through the Ocean Surface Topography Science Team (OST-ST). WKD was funded by ANR-18-MPGA-0002 and NSF grants OCE-1941963, OCE-2023585 and OCE-2123632. NCC was funded by the Australian Research Council DECRA Fellowship DE210100749. This research was undertaken with the assistance of resources and services from the National Computational Infrastructure (NCI), which is supported by the Australian Government. Open access publishing facilitated by Australian National University, as part of the Wiley - Australian National University agreement via the Council of Australian University Librarians.</t>
  </si>
  <si>
    <t>e2022JC018440</t>
  </si>
  <si>
    <t>10.1029/2022JC018440</t>
  </si>
  <si>
    <t>1J9QT</t>
  </si>
  <si>
    <t>WOS:000798247000001</t>
  </si>
  <si>
    <t>Kousal, J; Voermans, JJ; Liu, Q; Heil, P; Babanin, AV</t>
  </si>
  <si>
    <t>Kousal, J.; Voermans, J. J.; Liu, Q.; Heil, P.; Babanin, A., V</t>
  </si>
  <si>
    <t>A Two-Part Model for Wave-Sea Ice Interaction: Attenuation and Break-Up</t>
  </si>
  <si>
    <t>wave-sea ice interaction; sea ice break-up; sea ice modeling</t>
  </si>
  <si>
    <t>DISSIPATION; SPECTRA</t>
  </si>
  <si>
    <t>Waves and sea ice form a closely coupled system: waves govern sea ice through stress, floe break-up, and wave-induced currents, while sea ice affects waves through attenuation and reflection. Wave-induced sea ice break-up is particularly important as it can regulate air-sea interaction and consequently also regulate the growth and melt of sea ice. This coupled nature is complex and generally, especially at the large scale, neglected in modeling of the polar climate system. Here, we explore a novel way of coupling through wave-induced ice break-up, and conduct a case study for the Antarctic summer of 2019/2020. Our modeling approach builds upon previous investigations as follows: (a) sea ice takes a binary form, either broken or unbroken, (b) waves may break sea ice, transitioning it from unbroken to broken, (c) a threshold separating breaking and nonbreaking wave fields is used to identify when this occurs, (c) two modes of attenuation for waves in ice (dependent upon the ice state), representing the observed on/off switch in wave attenuation. By characterizing wave attenuation and sea ice break-up as described above, we achieve two-way wave-sea ice coupling, thereby allowing wave-sea ice feedbacks. This model is limited to the ice-melt season as refreeze is not represented here. We demonstrate that our model can simulate both the wavefield in and the evolution of the Marginal Ice Zone. Our results show the validity of empirically derived wave-induced sea ice break-up threshold, and substantiate that waves have a critical influence on the morphology of the Marginal Ice Zone.</t>
  </si>
  <si>
    <t>[Kousal, J.; Voermans, J. J.; Liu, Q.; Babanin, A., V] Univ Melbourne, Dept Infrastruct Engn, Melbourne, Vic, Australia; [Liu, Q.] Ocean Univ China, Phys Oceanog Lab, Qingdao, Peoples R China; [Heil, P.] Australian Antarctic Div, Hobart, Tas, Australia</t>
  </si>
  <si>
    <t>University of Melbourne; Melbourne Genomics Health Alliance; Ocean University of China; Australian Antarctic Division</t>
  </si>
  <si>
    <t>Kousal, J (corresponding author), Univ Melbourne, Dept Infrastruct Engn, Melbourne, Vic, Australia.</t>
  </si>
  <si>
    <t>jkousal@student.unimelb.edu.au</t>
  </si>
  <si>
    <t>Liu, Qingxiang/GRS-6406-2022</t>
  </si>
  <si>
    <t>Liu, Qingxiang/0000-0001-6100-0221; Voermans, Joey/0000-0002-2963-3763; Heil, Petra/0000-0003-2078-0342; Kousal, Joshua/0000-0002-5134-5653</t>
  </si>
  <si>
    <t>Australian Government's Research Training Program; Joyce Lambert Antarctic Research Fund; US Office of Naval Research [N62909-20-1-2080]; Australian Antarctic Program [4593, 4506]; University of Melbourne, as part of the Wiley - The University of Melbourne agreement via the Council of Australian University Librarians</t>
  </si>
  <si>
    <t>Australian Government's Research Training Program(Australian Government); Joyce Lambert Antarctic Research Fund; US Office of Naval Research(Office of Naval Research); Australian Antarctic Program; University of Melbourne, as part of the Wiley - The University of Melbourne agreement via the Council of Australian University Librarians</t>
  </si>
  <si>
    <t>The authors would like to acknowledge Jean Bidlot (European Centre for Medium-Range Weather Forecasts) for the high-resolution wind data, Graig Sutherland (Environment and Climate Change Canada) for the WW3 wave-sea ice attenuation module, and Stefan Zieger (Bureau of Meteorology Australia) for advice on WW3 set up. Josh Kousal appreciates the support of the Australian Government's Research Training Program. Joey J. Voermans, Qingxiang Liu, and Alexander V. Babanin acknowledge support from the Joyce Lambert Antarctic Research Fund and the US Office of Naval Research grant N62909-20-1-2080. Joey J. Voermans, Alexander V. Babanin, and Petra Heil were supported by the Australian Antarctic Program under project 4593 and Petra Heil under project 4506. Open access publishing facilitated by The University of Melbourne, as part of the Wiley - The University of Melbourne agreement via the Council of Australian University Librarians.</t>
  </si>
  <si>
    <t>e2022JC018571</t>
  </si>
  <si>
    <t>10.1029/2022JC018571</t>
  </si>
  <si>
    <t>1K3OC</t>
  </si>
  <si>
    <t>WOS:000798513500001</t>
  </si>
  <si>
    <t>Hiyadutuje, A; Kosch, MJ; Stephenson, JAE</t>
  </si>
  <si>
    <t>Hiyadutuje, Alicreance; Kosch, Michael J.; Stephenson, Judy A. E.</t>
  </si>
  <si>
    <t>First Observations of E-Region Near Range Echoes Partially Modulated by F-Region Traveling Ionospheric Disturbances Observed by the Same SuperDARN HF Radar</t>
  </si>
  <si>
    <t>TID; SuperDARN; NRE; GDI; electric field; partially modulate</t>
  </si>
  <si>
    <t>ATMOSPHERIC GRAVITY-WAVES; MESOSPHERE SUMMER ECHOES; HIGH-LATITUDE IONOSPHERE; SPORADIC-E; METEOR ECHOES; IRREGULARITIES; BACKSCATTER; PROPAGATION; CONVECTION; FIELDS</t>
  </si>
  <si>
    <t>We present the first observations from SuperDARN HF radar data of E-region Near Range Echoes (NREs) whose amplitudes are partially modulated by Medium-Scale Traveling Ionospheric Disturbances (MSTIDs) propagating in the F-region overhead that have been observed by the same radar in the far ranges. SuperDARN NREs occur normally similar to 180-315 km downrange from the radar at similar to 95-125 km altitude. Selected observations of TID-modulated NREs are presented from SANAE and Zhongshan Antarctic SuperDARN radars for both summer and winter seasons as well as geomagnetic active and quiet times. We show that the most likely mechanism is partial modulation of the Gradient Drift Instability (GDI), which is responsible for producing the NREs. GDI is driven by the velocity difference between neutrals and ions and may appear in the E-region ionosphere wherever suitable plasma density gradients exist. GDI already present in the E-region can be partially modulated by an MSTID passing overhead in the F-region via the additional MSTID polarization electric field mapped down in altitude along the equipotential magnetic field lines, thereby partially modulating the NRE amplitudes as observed.</t>
  </si>
  <si>
    <t>[Hiyadutuje, Alicreance; Kosch, Michael J.] South African Natl Space Agcy, Hermanus, South Africa; [Hiyadutuje, Alicreance; Kosch, Michael J.; Stephenson, Judy A. E.] Univ KwaZulu Natal, Dept Chem &amp; Phys, Durban, South Africa; [Kosch, Michael J.] Univ Western Cape, Dept Phys &amp; Astron, Cape Town, South Africa; [Kosch, Michael J.] Univ Lancaster, Dept Phys, Lancaster, England</t>
  </si>
  <si>
    <t>University of Kwazulu Natal; University of the Western Cape; Lancaster University</t>
  </si>
  <si>
    <t>Hiyadutuje, A (corresponding author), South African Natl Space Agcy, Hermanus, South Africa.;Hiyadutuje, A (corresponding author), Univ KwaZulu Natal, Dept Chem &amp; Phys, Durban, South Africa.</t>
  </si>
  <si>
    <t>hiyadutujea@yahoo.fr; mkosch@sansa.org.za</t>
  </si>
  <si>
    <t>Stephenson, Judy/G-6066-2017</t>
  </si>
  <si>
    <t>Stephenson, Judy/0000-0002-3840-7979; HIYADUTUJE, Alicreance/0000-0002-3391-8737</t>
  </si>
  <si>
    <t>South African National Space Agency (SANSA); South African National Antarctic Programme (SANAP) [110742]; Polar Research Institute of China</t>
  </si>
  <si>
    <t>South African National Space Agency (SANSA); South African National Antarctic Programme (SANAP); Polar Research Institute of China</t>
  </si>
  <si>
    <t>The authors acknowledge the South African National Space Agency (SANSA) and the South African National Antarctic Programme (SANAP) for supporting this research (NRF SANAP Grant 110742). The authors acknowledge the use of SuperDARN data. SuperDARN is a collection of radars funded by national scientific funding agencies of Australia, Canada, China, France, Italy, Japan, Norway, South Africa, United Kingdom, and the United States of America. The SuperDARN homepage link is http://vt.superdarn.org/tiki-index.php.Zhongshan magnetometer and ionosonde data were provided by the Beijing National Observatory of Space Environment, Institute of Geology and Geophysics Chinese Academy of Sciences through the Geophysics Center, National Earth System Science Data Center (http://wdc.geophys.ac.cn/).The authors would also like to thank MSIS-90, IRI-2016, and HWM-14 model developers. The authors thank the Zhongshan SuperDARN radar PI, Dr. Hongqiao Hu, for consenting to our use of the data, which is funded by the Polar Research Institute of China. The authors thank the NASA Goddard Space Flight Center, Space Physics Data Facility for providing ACE satellite and Magnetic Indices data through the OMNI website (https://omniweb.gsfc.nasa.gov/form/omni_min.html).</t>
  </si>
  <si>
    <t>e2021JA030157</t>
  </si>
  <si>
    <t>10.1029/2021JA030157</t>
  </si>
  <si>
    <t>1I7NU</t>
  </si>
  <si>
    <t>WOS:000797414900001</t>
  </si>
  <si>
    <t>Stauning, P</t>
  </si>
  <si>
    <t>Stauning, Peter</t>
  </si>
  <si>
    <t>The Use of Invalid Polar Cap South (PCS) Indices in Publications</t>
  </si>
  <si>
    <t>solar wind magnetosphere interaction; polar cap geomagnetic variations; polar cap index; space weather</t>
  </si>
  <si>
    <t>IMF SECTOR STRUCTURE; NEAR-REAL TIME; MAGNETIC ACTIVITY; IDENTIFICATION; ENERGY</t>
  </si>
  <si>
    <t>Polar Cap (PC) indices, PCN North based on magnetic observations from Qaanaaq (THL) in Greenland and PCS South based on magnetic data from Vostok in Antarctica, are very useful indices for studies of solar wind-magnetosphere interactions and for space weather monitoring and forecasts. PCN indices are issued from the Danish Space Research Institute (DTU Space) while PCS indices are issued from the Arctic and Antarctic Research Institute (AARI) in St Petersburg. Unfortunately, series of invalid PCS values have been provided from AARI and used in a number of publications issued since the PC index concept was endorsed by the International Association of Geomagnetism and Aeronomy (IAGA) in 2013. In spite of the disclosure of the failure in the PCS indices in 2018, publishing at the IAGA-supported International Service of Geomagnetic Indices of the invalid indices has continued up to now (2022). The present contribution defines the invalidating features of the PCS indices in question, conveys examples, and discusses the applications in peer-reviewed publications.</t>
  </si>
  <si>
    <t>[Stauning, Peter] Danish Meteorol Inst DMI, Copenhagen, Denmark</t>
  </si>
  <si>
    <t>Danish Meteorological Institute DMI</t>
  </si>
  <si>
    <t>Stauning, P (corresponding author), Danish Meteorol Inst DMI, Copenhagen, Denmark.</t>
  </si>
  <si>
    <t>pst@dmi.dk</t>
  </si>
  <si>
    <t>Stauning, Peter/0000-0002-8804-7932</t>
  </si>
  <si>
    <t>e2022JA030355</t>
  </si>
  <si>
    <t>10.1029/2022JA030355</t>
  </si>
  <si>
    <t>1J7BR</t>
  </si>
  <si>
    <t>WOS:000798071100001</t>
  </si>
  <si>
    <t>Valley, SG; Lynch-Stieglitz, J; Marchitto, TM; Oppo, DW</t>
  </si>
  <si>
    <t>Valley, Shannon G.; Lynch-Stieglitz, Jean; Marchitto, Thomas M.; Oppo, Delia W.</t>
  </si>
  <si>
    <t>Seawater Cadmium in the Florida Straits Over the Holocene and Implications for Upper AMOC Variability</t>
  </si>
  <si>
    <t>AMOC; seawater cadmium; Florida Straits; Holocene; Little Ice Age</t>
  </si>
  <si>
    <t>MERIDIONAL OVERTURNING CIRCULATION; ANTARCTIC INTERMEDIATE WATER; ICELAND-SCOTLAND OVERFLOW; NORTH-ATLANTIC; INTERANNUAL VARIABILITY; LAST DEGLACIATION; OCEAN CIRCULATION; TROPICAL ATLANTIC; COLD EVENT; CLIMATE</t>
  </si>
  <si>
    <t>Atlantic Meridional Overturning Circulation (AMOC) plays a central role in the global redistribution of heat and precipitation during both abrupt and longer-term climate shifts. Over the next century, AMOC is projected to weaken due to greenhouse gas warming, though projecting its future behavior is dependent on a better understanding of how AMOC changes are forced. Seeking to resolve an apparent contradiction of AMOC trends from paleorecords of the more recent past, we reconstruct seawater cadmium, a nutrient-like tracer, in the Florida Straits over the last similar to 8,000 years, with emphasis on the last millennium. The gradual reduction in seawater Cd over the last 8,000 years could be due to a reduction in AMOC, consistent with cooling Northern Hemisphere temperatures and a southward shift of the Intertropical Convergence Zone. However, it is difficult to reconcile this finding with evidence for an increase in geostrophic flow through the Florida Straits over the same time period. We combine data from intermediate water depth sediment cores to extend this record into the Common Era at sufficient resolution to address the broad scale changes of this time period. There is a small decline in the Cd concentration in the Late Little Ice Age relative to the Medieval Climate Anomaly, but this change was much smaller than the changes observed over the Holocene and on the deglaciation. This suggests that any trend in the strength of AMOC over the last millennium must have been very subtle.</t>
  </si>
  <si>
    <t>[Valley, Shannon G.; Oppo, Delia W.] Woods Hole Oceanog Inst, Woods Hole, MA 02543 USA; [Lynch-Stieglitz, Jean] Georgia Inst Technol, Sch Earth &amp; Atmospher Sci, Atlanta, GA 30332 USA; [Marchitto, Thomas M.] Univ Colorado, Dept Geol Sci, Boulder, CO 80309 USA; [Marchitto, Thomas M.] INSTAAR, Boulder, CO USA</t>
  </si>
  <si>
    <t>Woods Hole Oceanographic Institution; University System of Georgia; Georgia Institute of Technology; University of Colorado System; University of Colorado Boulder</t>
  </si>
  <si>
    <t>Valley, SG (corresponding author), Woods Hole Oceanog Inst, Woods Hole, MA 02543 USA.</t>
  </si>
  <si>
    <t>shannon.valley@whoi.edu</t>
  </si>
  <si>
    <t>; Lynch-Stieglitz, Jean/J-2277-2018</t>
  </si>
  <si>
    <t>Valley, Shannon/0000-0002-9214-2895; MARCHITTO, THOMAS/0000-0003-2397-8768; Oppo, Delia/0000-0003-2946-5904; Lynch-Stieglitz, Jean/0000-0002-9353-1972</t>
  </si>
  <si>
    <t>NSF Graduate Research Fellowship [DGE-1148903]; NSF [OCE-1459563, OCE-1851900]</t>
  </si>
  <si>
    <t>NSF Graduate Research Fellowship(National Science Foundation (NSF)); NSF(National Science Foundation (NSF))</t>
  </si>
  <si>
    <t>We thank David Lund for his assistance with Florida Straits samples and John Morton for his assistance in laboratory analysis. This work was funded by the NSF Graduate Research Fellowship DGE-1148903 (SV) and NSF grant OCE-1459563 and OCE-1851900 (JLS).</t>
  </si>
  <si>
    <t>e2021PA004379</t>
  </si>
  <si>
    <t>10.1029/2021PA004379</t>
  </si>
  <si>
    <t>1I0VE</t>
  </si>
  <si>
    <t>WOS:000796955100001</t>
  </si>
  <si>
    <t>Kurtze, DA</t>
  </si>
  <si>
    <t>Kurtze, Douglas A.</t>
  </si>
  <si>
    <t>Gravitational effects of ice sheets on sea level</t>
  </si>
  <si>
    <t>AMERICAN JOURNAL OF PHYSICS</t>
  </si>
  <si>
    <t>GLACIAL ISOSTATIC-ADJUSTMENT; PERSPECTIVES; SURFACE</t>
  </si>
  <si>
    <t>When ice melts from a large ice sheet and the melt water runs into the ocean, global-mean sea level rises but, surprisingly, local sea level near the ice sheet may well drop. This is largely because the loss of mass reduces the gravitational pull of the ice sheet. We present a simple, analytically tractable model to illustrate this effect. We look first at a flat earth with a circular continent containing an ice sheet that is modeled as a point mass at its center and then extend the calculation to a rigid spherical non-rotating earth. With a bit more mathematical sophistication, we then carry out calculations for somewhat more realistic ice distributions and include the additional gravitation of the mass of displaced sea water. We give numerical results for the fingerprint  of sea level change resulting from a 1000-Gt (10(15)-kg) loss of ice on a rigid, non-rotating earth, with parameter values appropriate to the Greenland and Antarctic ice sheets. (C)2022 Published under an exclusive licenseby American Association of Physics Teachers.</t>
  </si>
  <si>
    <t>[Kurtze, Douglas A.] St Josephs Univ, Dept Phys, 5600 City Ave, Philadelphia, PA 19131 USA</t>
  </si>
  <si>
    <t>Saint Joseph's University</t>
  </si>
  <si>
    <t>Kurtze, DA (corresponding author), St Josephs Univ, Dept Phys, 5600 City Ave, Philadelphia, PA 19131 USA.</t>
  </si>
  <si>
    <t>dkurtze@sju.edu</t>
  </si>
  <si>
    <t>0002-9505</t>
  </si>
  <si>
    <t>1943-2909</t>
  </si>
  <si>
    <t>AM J PHYS</t>
  </si>
  <si>
    <t>Am. J. Phys.</t>
  </si>
  <si>
    <t>10.1119/5.0067924</t>
  </si>
  <si>
    <t>Education, Scientific Disciplines; Physics, Multidisciplinary</t>
  </si>
  <si>
    <t>Education &amp; Educational Research; Physics</t>
  </si>
  <si>
    <t>1D8HF</t>
  </si>
  <si>
    <t>WOS:000794036400005</t>
  </si>
  <si>
    <t>Hudson, K; Oliver, MJ; Kohut, J; Cohen, JH; Dinniman, MS; Klinck, JM; Reiss, CS; Cutter, GR; Statscewich, H; Bernard, KS; Fraser, W</t>
  </si>
  <si>
    <t>Hudson, K.; Oliver, M. J.; Kohut, J.; Cohen, J. H.; Dinniman, M. S.; Klinck, J. M.; Reiss, C. S.; Cutter, G. R.; Statscewich, H.; Bernard, K. S.; Fraser, W.</t>
  </si>
  <si>
    <t>Subsurface Eddy Facilitates Retention of Simulated Diel Vertical Migrators in a Biological Hotspot</t>
  </si>
  <si>
    <t>diel vertical migration; retention; mixed layer depth; day length; biological hotspot</t>
  </si>
  <si>
    <t>RANDOM-WALK MODELS; ANTARCTIC KRILL; EUPHAUSIA-SUPERBA; CANYON HYPOTHESIS; SUBMARINE-CANYON; COPEPODS; WEST; AGGREGATION; POPULATIONS; MESOZOOPLANKTON</t>
  </si>
  <si>
    <t>Diel vertical migration (DVM) is common in zooplankton populations worldwide. Every day, zooplankton leave the productive surface ocean and migrate to deepwater to avoid visual predators and return to the surface at night to feed. This behavior may also help retain migrating zooplankton in biological hotspots. Compared to fast and variable surface currents, deep ocean currents are sluggish, and can be more consistent. The time spent in the subsurface layer is driven by day length and the depth of the surface mixed layer. A subsurface, recirculating eddy has recently been described in Palmer Deep Canyon (PDC), a submarine canyon in a biological hotspot located adjacent to the West Antarctic Peninsula. Circulation model simulations have shown that residence times of neutrally buoyant particles increase with depth within this feature. We hypothesize that DVM into the subsurface eddy increases local retention of migrating zooplankton in this feature and that shallow mixed layers and longer days increase residence times. We demonstrate that simulated vertically migrating zooplankton can have residence times on the order of 30 days over the canyon, which is five times greater than residence times of near-surface, nonmigrating zooplankton within PDC and other adjacent coastal regions. The potential interaction of zooplankton with this subsurface feature may be important to the establishment of the biological hotspot around PDC by retaining food resources in the region. Acoustic field observations confirm the presence of vertical migrators in this region, suggesting that zooplankton retention due to the subsurface eddy is feasible.</t>
  </si>
  <si>
    <t>[Hudson, K.; Oliver, M. J.; Cohen, J. H.] Univ Delaware, Coll Earth Ocean &amp; Environm, Lewes, DE 19958 USA; [Hudson, K.] SUNY Stony Brook, Inst Adv Comp Sci, Stony Brook, NY 11794 USA; [Kohut, J.] Rutgers State Univ, Dept Marine &amp; Coastal Sci, New Brunswick, NJ USA; [Dinniman, M. S.; Klinck, J. M.] Old Dominion Univ, Dept Ocean &amp; Earth Sci, Norfolk, VA USA; [Reiss, C. S.; Cutter, G. R.] NOAA Fisheries, Southwest Fisheries Sci Ctr, Antarctic Ecosyst Res Div, La Jolla, CA USA; [Statscewich, H.] Univ Alaska, Coll Fisheries &amp; Ocean Sci, Fairbanks, AK 99701 USA; [Bernard, K. S.] Oregon State Univ, Coll Earth Ocean &amp; Atmospher Sci, Corvallis, OR 97331 USA; [Fraser, W.] Polar Oceans Res Grp, Sheridan, MT USA</t>
  </si>
  <si>
    <t>University of Delaware; State University of New York (SUNY) System; State University of New York (SUNY) Stony Brook; Rutgers University System; Rutgers University New Brunswick; Old Dominion University; National Oceanic Atmospheric Admin (NOAA) - USA; University of Alaska System; University of Alaska Fairbanks; Oregon State University</t>
  </si>
  <si>
    <t>Hudson, K (corresponding author), Univ Delaware, Coll Earth Ocean &amp; Environm, Lewes, DE 19958 USA.;Hudson, K (corresponding author), SUNY Stony Brook, Inst Adv Comp Sci, Stony Brook, NY 11794 USA.</t>
  </si>
  <si>
    <t>katherine.l.hudson@stonybrook.edu</t>
  </si>
  <si>
    <t>Cohen, Jonathan/GPX-2435-2022; Bernard, Kim/J-2703-2013</t>
  </si>
  <si>
    <t>Klinck, John/0000-0003-4312-5201; Dinniman, Michael/0000-0001-7519-9278; Gallagher, Katherine/0000-0002-3076-8016; Statscewich, Hank/0000-0002-0294-4764; Bernard, Kim/0000-0003-0509-2744; Cohen, Jonathan/0000-0002-2032-7874</t>
  </si>
  <si>
    <t>National Science Foundation [1744884, 1745011]</t>
  </si>
  <si>
    <t>This project was funded through the National Science Foundation, Award Number 1744884 to UD and 1745011 to ODU. Computer simulations were run on the Wahab High Performance computing cluster at ODU. We are grateful to the Antarctic Support Contractor and their teams in Denver, CO, aboard the RVIB Laurence M. Gould, and at Palmer Station, without whom a project such as this would not be possible. We thank the students and field assistants from this project for their valuable work on this project and the Palmer Antarctica Long-Term Ecological Research team for their involvement, suggestions, and collaboration.</t>
  </si>
  <si>
    <t>e2021JC017482</t>
  </si>
  <si>
    <t>10.1029/2021JC017482</t>
  </si>
  <si>
    <t>1I0WD</t>
  </si>
  <si>
    <t>WOS:000796957600001</t>
  </si>
  <si>
    <t>Rhee, HH; Seong, YB; Woo, JS; Oh, C; Yu, BY</t>
  </si>
  <si>
    <t>Rhee, Hyun-Hee; Seong, Yeong-Bae; Woo, Ju-Sun; Oh, Changhwan; Yu, Byung-Yong</t>
  </si>
  <si>
    <t>Reconstructing the post-LGM deglacial history of Hollingsworth Glacier on Ricker Hills, Transantarctic Mountains, Antarctica</t>
  </si>
  <si>
    <t>JOURNAL OF MOUNTAIN SCIENCE</t>
  </si>
  <si>
    <t>East Antarctic Ice Sheet; Last Glacial Maximum; Deglaciation; Holocene; Cosmogenic nuclide exposure dating; Glacier reconstruction</t>
  </si>
  <si>
    <t>NORTHERN VICTORIA LAND; COSMOGENIC NUCLIDES DOCUMENT; SURFACE EXPOSURE AGES; ICE-SHEET; PRODUCTION-RATES; DAVID GLACIER; BE-10; GLACIATION; CLIMATE; BAY</t>
  </si>
  <si>
    <t>The Transantarctic Mountains are an important corridor between the East Antarctic Ice Sheet and the Western Ross Sea, where most current ice streams and outlet glaciers arise. We investigated Ricker Hills, the largest exposed mountainous region between Southern Victoria Land and Terra Nova Bay, and dated the glacial landforms using in-situ cosmogenic-nuclide Be-10 surface exposure dating to reconstruct the paleo-glacial dynamics. The surface of the Hollingsworth glacier lowered since the middle of Marine Isotope Stage (MIS) 2 (22.1 ka); therefore, the Last Glacial Maximum (LGM) occurred before that period. Cosmogenic, geomorphic, and climatic records constrained the glacial surface slope to be between 5.4 degrees and 6.8 degrees. The ice was 270-320 m thicker at the LGM (MIS 2) than presently but did not override the top surface of the Benson Knob. Moreover, previous glacial periods such as the local LGM (MIS 4) or Penultimate Glacial Maximum (MIS 6) maintained thicker ice than the LGM (MIS 2). The Ross Ice Shelf opening during the mid-Holocene (similar to 6 ka) caused the rapid collapse of the terminal outlet glaciers and supplied notable snow accumulation upstream, which stagnated lowering. The greatest lowering and retreat occurred during the late Holocene (2.3 similar to 0.8 ka), when elephant seal colonies thrived in the Ross Embayment.</t>
  </si>
  <si>
    <t>[Rhee, Hyun-Hee] Korea Polar Res Inst, Div Glacial Environm Res, Incheon 21990, South Korea; [Seong, Yeong-Bae] Korea Univ, Dept Geog Educ, Seoul 02841, South Korea; [Woo, Ju-Sun] Seoul Natl Univ, Sch Earth &amp; Environm Sci, Seoul 08826, South Korea; [Oh, Changhwan] Chungbuk Natl Univ, Dept Earth &amp; Environm Sci, Cheongju 28644, South Korea; [Yu, Byung-Yong] Korea Inst Sci &amp; Technol, AMS Lab, Seoul 02792, South Korea</t>
  </si>
  <si>
    <t>Korea Polar Research Institute (KOPRI); Korea University; Seoul National University (SNU); Chungbuk National University; Korea Institute of Science &amp; Technology (KIST)</t>
  </si>
  <si>
    <t>Seong, YB (corresponding author), Korea Univ, Dept Geog Educ, Seoul 02841, South Korea.</t>
  </si>
  <si>
    <t>hyun1741@kopri.re.kr; ybseong@korea.ac.kr; jusunwoo@snu.ac.kr; bluemirine@gmail.com; injayu@gmail.com</t>
  </si>
  <si>
    <t>Seong, Yeong Bae/K-2420-2019; RHEE, Hyun Hee/ISA-4439-2023</t>
  </si>
  <si>
    <t>Seong, Yeong Bae/0000-0001-6605-3912; rhee, hyunhee/0000-0003-0738-1160</t>
  </si>
  <si>
    <t>Korea Polar Research Institute [PE22090]</t>
  </si>
  <si>
    <t>This research was supported by Korea Polar Research Institute (PE22090). We are very thankful to Dr. Jong Ik Lee and Jae-Hyuk Lee for their sincere help with sampling during the field trip.</t>
  </si>
  <si>
    <t>1672-6316</t>
  </si>
  <si>
    <t>1993-0321</t>
  </si>
  <si>
    <t>J MT SCI-ENGL</t>
  </si>
  <si>
    <t>J Mt. Sci.</t>
  </si>
  <si>
    <t>10.1007/s11629-022-7338-1</t>
  </si>
  <si>
    <t>1G7YX</t>
  </si>
  <si>
    <t>WOS:000796067700001</t>
  </si>
  <si>
    <t>Cossin-Sevrin, N; Hsu, BY; Marciau, C; Viblanc, VA; Ruuskanen, S; Stier, A</t>
  </si>
  <si>
    <t>Cossin-Sevrin, Nina; Hsu, Bin-Yan; Marciau, Coline; Viblanc, Vincent A.; Ruuskanen, Suvi; Stier, Antoine</t>
  </si>
  <si>
    <t>Effect of prenatal glucocorticoids and thyroid hormones on developmental plasticity of mitochondrial aerobic metabolism, growth and survival: an experimental test in wild great tits</t>
  </si>
  <si>
    <t>JOURNAL OF EXPERIMENTAL BIOLOGY</t>
  </si>
  <si>
    <t>Cellular metabolism; Corticosterone; Prenatal programming; Avian development; Thyroid hormones; Parus major</t>
  </si>
  <si>
    <t>CORTICOSTERONE LEVELS; STRESS; EVOLUTION; RESPONSES; START; MASS; DNA</t>
  </si>
  <si>
    <t>Developmental plasticity is partly mediated by transgenerational effects, including those mediated by the maternal endocrine system. Glucocorticoid and thyroid hormones may play central roles in developmental programming through their action on metabolism and growth. However, the mechanisms by which they affect growth and development remain understudied. One hypothesis is that maternal hormones directly affect the production and availability of energy-carrying molecules (e.g. ATP) by their action on mitochondrial function. To test this hypothesis, we experimentally increased glucocorticoid and thyroid hormones in wild great tit eggs (Parus major) to investigate their impact on offspring mitochondrial aerobic metabolism (measured in blood cells), and subsequent growth and survival. We show that prenatal glucocorticoid supplementation affected offspring cellular aerobic metabolism by decreasing mitochondrial density, maximal mitochondrial respiration and oxidative phosphorylation, while increasing the proportion of the maximum capacity being used under endogenous conditions. Prenatal glucocorticoid supplementation only had mild effects on offspring body mass, size and condition during the rearing period, but led to a sex-specific ( females only) decrease in body mass a few months after fledging. Contrary to our expectations, thyroid hormone supplementation did not affect offspring growth or mitochondrial metabolism. Recapture probability as juveniles or adults was not significantly affected by prenatal hormonal treatment. Our results demonstrate that prenatal glucocorticoids can affect post-natal mitochondrial density and aerobic metabolism. The weak effects on growth and apparent survival suggest that nestlings were mostly able to compensate for the transient decrease in mitochondrial aerobic metabolism induced by prenatal glucocorticoids.</t>
  </si>
  <si>
    <t>[Cossin-Sevrin, Nina; Hsu, Bin-Yan; Marciau, Coline; Stier, Antoine] Univ Turku, Dept Biol, FI-20014 Turku, Finland; [Cossin-Sevrin, Nina; Viblanc, Vincent A.] Univ Strasbourg, CNRS, Inst Pluridisciplinaire Hubert Curien, UMR 7178, F-67087 Strasbourg, France; [Marciau, Coline] Univ Tasmania, Inst Marine &amp; Antarctic Studies, Battery Point, Tas 7004, Australia; [Ruuskanen, Suvi] Univ Jyvaskyla, Dept Biol &amp; Environm Sci, FI-40014 Jyvaskyla, Finland; [Stier, Antoine] Univ Claude Bernard Lyon 1, ENTPE, CNRS, UMR LEHNA 5023, F-69622 Villeurbanne, France</t>
  </si>
  <si>
    <t>University of Turku; Centre National de la Recherche Scientifique (CNRS); CNRS - National Institute of Nuclear and Particle Physics (IN2P3); Universites de Strasbourg Etablissements Associes; Universite de Strasbourg; University of Tasmania; University of Jyvaskyla; Centre National de la Recherche Scientifique (CNRS); Universite Claude Bernard Lyon 1</t>
  </si>
  <si>
    <t>Cossin-Sevrin, N; Stier, A (corresponding author), Univ Turku, Dept Biol, FI-20014 Turku, Finland.;Cossin-Sevrin, N (corresponding author), Univ Strasbourg, CNRS, Inst Pluridisciplinaire Hubert Curien, UMR 7178, F-67087 Strasbourg, France.;Stier, A (corresponding author), Univ Claude Bernard Lyon 1, ENTPE, CNRS, UMR LEHNA 5023, F-69622 Villeurbanne, France.</t>
  </si>
  <si>
    <t>ninacossinsevrin@gmail.com; amstie@utu.fi</t>
  </si>
  <si>
    <t>Cossin-Sevrin, Nina/IYS-5385-2023; Stier, Antoine/CAG-9785-2022; Stier, Antoine/H-8886-2019; Hsu, Bin-Yan/AAF-6513-2019; Ruuskanen, Suvi/A-1790-2013</t>
  </si>
  <si>
    <t>Cossin-Sevrin, Nina/0000-0002-8174-8357; Stier, Antoine/0000-0002-5445-5524; Stier, Antoine/0000-0002-5445-5524; Hsu, Bin-Yan/0000-0002-3799-0509; Ruuskanen, Suvi/0000-0001-5582-9455; Marciau, Coline/0000-0001-5559-4289; Viblanc, Vincent/0000-0002-4953-659X</t>
  </si>
  <si>
    <t>Academy of Finland [286278]; Turku Collegium for Science and Medicine' Fellowship; Marie Sklodowska-Curie Horizon 2020 Framework Programme Postdoctoral Fellowship [894963]; EDUFI Fellowship (Opetushallitus); Maupertuis Grant; Ella and Georg Ehrnrooth Foundation; Societas Pro Flora Fauna Fennica research grant; Marie Curie Actions (MSCA) [894963] Funding Source: Marie Curie Actions (MSCA); Academy of Finland (AKA) [286278] Funding Source: Academy of Finland (AKA)</t>
  </si>
  <si>
    <t>Academy of Finland(Research Council of Finland); Turku Collegium for Science and Medicine' Fellowship; Marie Sklodowska-Curie Horizon 2020 Framework Programme Postdoctoral Fellowship; EDUFI Fellowship (Opetushallitus); Maupertuis Grant; Ella and Georg Ehrnrooth Foundation; Societas Pro Flora Fauna Fennica research grant; Marie Curie Actions (MSCA)(Marie Curie Actions); Academy of Finland (AKA)</t>
  </si>
  <si>
    <t>The project was funded by an Academy of Finland grant (286278) to S.R. and a `Turku Collegium for Science and Medicine' Fellowship to A.S. A.S. was supported by a Marie Sklodowska-Curie Horizon 2020 Framework Programme Postdoctoral Fellowship (894963) at the time of writing. N.C.-S. acknowledges support from the EDUFI Fellowship (Opetushallitus) and Maupertuis Grant. B.-Y.H. was supported by a grant from the Ella and Georg Ehrnrooth Foundation, and C.M. was supported by a Societas Pro Flora Fauna Fennica research grant.</t>
  </si>
  <si>
    <t>COMPANY BIOLOGISTS LTD</t>
  </si>
  <si>
    <t>BIDDER BUILDING, STATION RD, HISTON, CAMBRIDGE CB24 9LF, ENGLAND</t>
  </si>
  <si>
    <t>0022-0949</t>
  </si>
  <si>
    <t>1477-9145</t>
  </si>
  <si>
    <t>J EXP BIOL</t>
  </si>
  <si>
    <t>J. Exp. Biol.</t>
  </si>
  <si>
    <t>jeb243414</t>
  </si>
  <si>
    <t>10.1242/jeb.243414</t>
  </si>
  <si>
    <t>1G5YD</t>
  </si>
  <si>
    <t>Green Accepted, Green Submitted, hybrid, Green Published</t>
  </si>
  <si>
    <t>WOS:000795922800006</t>
  </si>
  <si>
    <t>Liu, Y; Yu, XN; Zhu, YL; Yang, W; Zeng, Y; Hu, Y; Jiang, W</t>
  </si>
  <si>
    <t>Liu, Yu; Yu, Xuena; Zhu, Yanling; Yang, Wei; Zeng, Yan; Hu, Yi; Jiang, Wei</t>
  </si>
  <si>
    <t>Preparation, Characterization, and Mechanism of Antifreeze Peptides from Defatted Antarctic Krill (Euphausia superba) on Lactobacillus rhamnosus</t>
  </si>
  <si>
    <t>MOLECULES</t>
  </si>
  <si>
    <t>antifreeze peptide; Antarctic krill; by-products; cryoprotectant; Lactobacillus rhamnosus; freezing</t>
  </si>
  <si>
    <t>BETA-GALACTOSIDASE; PIGSKIN COLLAGEN; OSMOTIC-STRESS; FREEZE; PREVENTION; GELATION; ENZYMES; COLD</t>
  </si>
  <si>
    <t>Defatted Antarctic krill powder is the main by-product in the manufacturing of krill oil. Exploring a high value-added approach for utilizing this protein-rich material has received much attention in research and industry. Given this, the preparation and primary characterization of antifreeze peptides from defatted Antarctic krill (AKAPs) were carried out in this study. The cryoprotective effect of AKAPs on Lactobacillus rhamnosus ATCC7469 was also investigated. The results showed that Protamex was the optimum protease for AKAP preparation from defatted Antarctic krill. AKAPs were found to be rich in short peptides, with the MW ranging from 600 to 2000 Da (69.2%). An amino acid composition analysis showed that AKAPs were rich in glutamic acid (18.71%), aspartic acid (12.19%), leucine (7.87%), and lysine (7.61%). After freezing, the relative survival rate of Lactobacillus rhamnosus in the 1.0 mg/mL AKAP-treated group (96.83%) was significantly higher than in the saline group (24.12%) (p &lt; 0.05). AKAPs also retarded the loss of acidifying activity of L. rhamnosus after freezing. AKAPs showed even better cryoprotective activity than three commercial cryoprotectants (sucrose, skim milk, and glycerol). In addition, AKAPs significantly alleviated the decrease in beta-galactosidase and lactic dehydrogenase activities of L. rhamnosus (p &lt; 0.05). Furthermore, AKAPs effectively protected the integrity of L. rhamnosus cell membranes from freezing damage and alleviated the leakage of intracellular substances. These findings demonstrate that AKAPs can be a potential cryoprotectant for preserving L. rhamnosus, providing a new way to use defatted Antarctic krill.</t>
  </si>
  <si>
    <t>[Liu, Yu; Yu, Xuena; Zhu, Yanling; Zeng, Yan; Jiang, Wei] Zhejiang Ocean Univ, Key Lab Key Tech Factors Zhejiang Seafood Hlth Ha, Inst Innovat &amp; Applicat, Zhoushan 316022, Peoples R China; [Yang, Wei] Rizhao Agr Prod Qual &amp; Safety Inspect &amp; Testing C, Rizhao 276800, Peoples R China; [Hu, Yi] Zhejiang Henghe Food Co Ltd, Zhoushan 316022, Peoples R China</t>
  </si>
  <si>
    <t>Zhejiang Ocean University</t>
  </si>
  <si>
    <t>Jiang, W (corresponding author), Zhejiang Ocean Univ, Key Lab Key Tech Factors Zhejiang Seafood Hlth Ha, Inst Innovat &amp; Applicat, Zhoushan 316022, Peoples R China.</t>
  </si>
  <si>
    <t>liuyu1987@zjou.edu.cn; yxnycn@163.com; 13037665057@163.com; brightgirl8619@163.com; 18434162948@163.com; huyi@hailisheng.com; jiangw@zjou.edu.cn</t>
  </si>
  <si>
    <t>Jiang, Wei/G-7711-2016</t>
  </si>
  <si>
    <t>Jiang, Wei/0000-0002-6042-5049</t>
  </si>
  <si>
    <t>Public Projects of Zhejiang Province [LGN19C200017]; Zhoushan Science and Technology Project [2020C21004]; Putuo Science and Technology Project [2021JH101]; Zhejiang Province Industrial Innovation Service Complex Pening list and Hanging Project [YY-2021C1006]</t>
  </si>
  <si>
    <t>Public Projects of Zhejiang Province; Zhoushan Science and Technology Project; Putuo Science and Technology Project; Zhejiang Province Industrial Innovation Service Complex Pening list and Hanging Project</t>
  </si>
  <si>
    <t>This research was funded by the Public Projects of Zhejiang Province (LGN19C200017), Zhoushan Science and Technology Project (2020C21004), Putuo Science and Technology Project (2021JH101) and Zhejiang Province Industrial Innovation Service Complex Pening list and Hanging Project (YY-2021C1006).</t>
  </si>
  <si>
    <t>1420-3049</t>
  </si>
  <si>
    <t>Molecules</t>
  </si>
  <si>
    <t>10.3390/molecules27092771</t>
  </si>
  <si>
    <t>1G8ZY</t>
  </si>
  <si>
    <t>WOS:000796139100001</t>
  </si>
  <si>
    <t>Cao, TQ; Liu, ZM; Dong, LS; Lee, H; Ko, W; Vinh, LB; Tuan, NQ; Kim, YC; Sohn, JH; Yim, JH; Lee, DS; Oh, H</t>
  </si>
  <si>
    <t>Cao, Thao Quyen; Liu, Zhiming; Dong, Linsha; Lee, Hwan; Ko, Wonmin; Vinh, Le Ba; Tuan, Nguyen Quoc; Kim, Youn-Chul; Sohn, Jae Hak; Yim, Joung Han; Lee, Dong-Sung; Oh, Hyuncheol</t>
  </si>
  <si>
    <t>Identification of Potential Anti-Neuroinflammatory Inhibitors from Antarctic Fungal Strain Aspergillus sp. SF-7402 via Regulating the NF-κB Signaling Pathway in Microglia</t>
  </si>
  <si>
    <t>Antarctica; fungi metabolites; neuroinflammation; BV2 cells; sterigmatocystin; NF-kappa B</t>
  </si>
  <si>
    <t>HEME OXYGENASE-1; METABOLITES; EXPRESSION; NEUROPROTECTION; ACTIVATION; INDUCTION; BV2</t>
  </si>
  <si>
    <t>Microglia play a significant role in immune defense and tissue repair in the central nervous system (CNS). Microglial activation and the resulting neuroinflammation play a key role in the pathogenesis of neurodegenerative disorders. Recently, inflammation reduction strategies in neurodegenerative diseases have attracted increasing attention. Herein, we discovered and evaluated the anti-neuroinflammatory potential of compounds from the Antarctic fungi strain Aspergillus sp. SF-7402 in lipopolysaccharide (LPS)-stimulated BV2 cells. Four metabolites were isolated from the fungi through chemical investigations, namely, 5-methoxysterigmatocystin (1), sterigmatocystin (2), aversin (3), and 6,8-O-dimethylversicolorin A (4). Their chemical structures were elucidated by extensive spectroscopic analysis and HR-ESI-MS, as well as by comparison with those reported in literature. Anti-neuroinflammatory effects of the isolated metabolites were evaluated by measuring the production of nitric oxide (NO), tumor necrosis factor (TNF)-alpha, and interleukin (IL)-6 in LPS-activated microglia at non-cytotoxic concentrations. Sterigmatocystins (1 and 2) displayed significant effects on NO production and mild effects on TNF-c and IL-6 expression inhibition. The molecular mechanisms underlying this activity were investigated using Western blot analysis. Sterigmatocystin treatment inhibited NO production via downregulation of inducible nitric oxide synthase (iNOS) expression in LPS-stimulated BV2 cells. Additionally, sterigmatocystins reduced nuclear translocation of NF-kappa B. These results suggest that sterigmatocystins present in the fungal strain Aspergillus sp. are promising candidates for the treatment of neuroinflammatory diseases.</t>
  </si>
  <si>
    <t>[Cao, Thao Quyen; Vinh, Le Ba; Tuan, Nguyen Quoc; Kim, Youn-Chul; Oh, Hyuncheol] Wonkwang Univ, Coll Pharm, Inst Pharmaceut Res &amp; Dev, Iksan 54538, South Korea; [Cao, Thao Quyen; Vinh, Le Ba; Tuan, Nguyen Quoc; Oh, Hyuncheol] Wonkwang Univ, Hanbang Cardio Renal Syndrome Res Ctr, Iksan 54538, South Korea; [Liu, Zhiming; Dong, Linsha; Lee, Hwan; Ko, Wonmin; Lee, Dong-Sung] Chosun Univ, Coll Pharm, Gwangju 61452, South Korea; [Sohn, Jae Hak] Silla Univ, Coll Med &amp; Life Sci, Busan 46958, South Korea; [Yim, Joung Han] Korea Polar Res Inst, Div Polar Life Sci, Incheon 21990, South Korea</t>
  </si>
  <si>
    <t>Wonkwang University; Wonkwang University; Chosun University; Silla University; Korea Polar Research Institute (KOPRI)</t>
  </si>
  <si>
    <t>Oh, H (corresponding author), Wonkwang Univ, Coll Pharm, Inst Pharmaceut Res &amp; Dev, Iksan 54538, South Korea.;Oh, H (corresponding author), Wonkwang Univ, Hanbang Cardio Renal Syndrome Res Ctr, Iksan 54538, South Korea.;Lee, DS (corresponding author), Chosun Univ, Coll Pharm, Gwangju 61452, South Korea.</t>
  </si>
  <si>
    <t>quyen.cao.thao@gmail.com; lzmqust@126.com; donglinsha011@163.com; ghksdldi123@hanmail.net; rabis815@naver.com; vinhrooney@gmail.com; quoctuan301281@gmail.com; yckim@wku.ac.kr; jhsohn@silla.ac.kr; jhyim@kopri.re.kr; dslee2771@chosun.ac.kr; hoh@wku.ac.kr</t>
  </si>
  <si>
    <t>Ministry of Oceans and Fisheries' R&amp;D project, Korea [2021633]</t>
  </si>
  <si>
    <t>Ministry of Oceans and Fisheries' R&amp;D project, Korea</t>
  </si>
  <si>
    <t>This work was supported by a grant from the Ministry of Oceans and Fisheries' R&amp;D project, Korea (2021633).</t>
  </si>
  <si>
    <t>10.3390/molecules27092851</t>
  </si>
  <si>
    <t>1F7JL</t>
  </si>
  <si>
    <t>WOS:000795340500001</t>
  </si>
  <si>
    <t>Salvatori, R; Salzano, R; Valt, M; Cerrato, R; Ghergo, S</t>
  </si>
  <si>
    <t>Salvatori, Rosamaria; Salzano, Roberto; Valt, Mauro; Cerrato, Riccardo; Ghergo, Stefano</t>
  </si>
  <si>
    <t>The Collection of Hyperspectral Measurements on Snow and Ice Covers in Polar Regions (SISpec 2.0)</t>
  </si>
  <si>
    <t>snow cover; ice cover; Arctic; Antarctic; spectral reflectance; hyperspectral data</t>
  </si>
  <si>
    <t>ALBEDO; SPECTROSCOPY; REFLECTANCE; PARAMETERIZATION</t>
  </si>
  <si>
    <t>The data value of hyperspectral measurements on ice and snow cover is strongly impacted by the availability of data services, where spectral libraries are integrated to detailed descriptions of the observed surface cover. For snow and ice cover, we present an updated version of the Snow/Ice Spectral Archive (SISpec 2.0), which has been integrated into a web portal characterized by different functionalities. The adopted metadata scheme features basic geographic data, information about the acquisition setup, and parameters describing the different surface types. While the implementation of the IACS Classification of Seasonal Snow on the Ground is the core component for snow cover, ice cover is approached using different parameters associated with its surface roughness and location. The web portal is not only a visualization tool, but also supports interoperability functionalities, providing data in the NetCDF file format. The availability of these functionalities sets the foundation for sharing a novel platform with the community and is an interesting tool for calibrating and validating data and models.</t>
  </si>
  <si>
    <t>[Salvatori, Rosamaria] CNR Inst Polar Sci, I-00010 Rome, Italy; [Salzano, Roberto; Cerrato, Riccardo] CNR Inst Atmospher Pollut Res, I-50019 Florence, Italy; [Valt, Mauro] ARPAV Avalanche Ctr, I-32020 Belluno, Italy; [Ghergo, Stefano] CNR Inst Water Res, I-00010 Rome, Italy</t>
  </si>
  <si>
    <t>Consiglio Nazionale delle Ricerche (CNR); Istituto di Scienze Polari (ISP-CNR); Consiglio Nazionale delle Ricerche (CNR); Istituto Sull'inquinamento Atmosferico (IIA-CNR)</t>
  </si>
  <si>
    <t>Salzano, R (corresponding author), CNR Inst Atmospher Pollut Res, I-50019 Florence, Italy.</t>
  </si>
  <si>
    <t>rosamaria.salvatori@cnr.it; roberto.salzano@cnr.it; mauro.valt@arpa.veneto.it; riccardo.cerrato@iia.cnr.it; stefano.ghergo@irsa.cnr.it</t>
  </si>
  <si>
    <t>Salzano, Roberto/AAY-7642-2020; Cerrato, Riccardo/Y-2505-2018</t>
  </si>
  <si>
    <t>Salzano, Roberto/0000-0002-0750-0097; Cerrato, Riccardo/0000-0002-4192-8839; SALVATORI, ROSAMARIA/0000-0002-0430-0751; GHERGO, STEFANO/0000-0002-1443-1886</t>
  </si>
  <si>
    <t>10.3390/rs14092213</t>
  </si>
  <si>
    <t>1F7SH</t>
  </si>
  <si>
    <t>WOS:000795363600001</t>
  </si>
  <si>
    <t>Zhang, CN; Grytsai, A; Evtushevsky, O; Milinevsky, G; Andrienko, Y; Shulga, V; Klekociuk, A; Rapoport, Y; Han, W</t>
  </si>
  <si>
    <t>Zhang, Chenning; Grytsai, Asen; Evtushevsky, Oleksandr; Milinevsky, Gennadi; Andrienko, Yulia; Shulga, Valery; Klekociuk, Andrew; Rapoport, Yuriy; Han, Wei</t>
  </si>
  <si>
    <t>Rossby Waves in Total Ozone over the Arctic in 2000-2021</t>
  </si>
  <si>
    <t>Rossby wave; quasi-stationary wave; stratosphere; Arctic; ozone</t>
  </si>
  <si>
    <t>LARGE-SCALE; WINTER; PROPAGATION; CIRCULATION; ATMOSPHERE; EVENTS; MODES</t>
  </si>
  <si>
    <t>The purpose of this work is to study Rossby wave parameters in total ozone over the Arctic in 2000-2021. We consider the averages in the January-March period, when stratospheric trace gases (including ozone) in sudden stratospheric warming events are strongly disturbed by planetary waves. To characterize the wave parameters, we analyzed ozone data at the latitudes of 50 degrees N (the sub-vortex area), 60 degrees N (the polar vortex edge) and 70 degrees N (inner region of the polar vortex). Total ozone column (TOC) measurements over a 22-year time interval were used from the Total Ozone Mapping Spectrometer/Earth Probe and Ozone Mapping Instrument/Aura satellite observations. The TOC zonal distribution and variations in the Fourier spectral components with zonal wave numbers m = 1-5 are presented. The daily and interannual variations in TOC, amplitudes and phases of the spectral wave components, as well as linear trends in the amplitudes of the dominant quasi-stationary wave 1 (QSW1), are discussed. The positive TOC peaks inside the vortex in 2010 and 2018 alternate with negative ones in 2011 and 2020. The extremely low TOC at 70 degrees N in 2020 corresponds to severe depletion of stratospheric ozone over the Arctic in strong vortex conditions due to anomalously low planetary wave activity and a high positive phase of the Arctic Oscillation. Interannual TOC variations in the sub-vortex region at 50 degrees N are accompanied by a negative trend of -4.8 Dobson Units per decade in the QSW1 amplitude, statistically significant at 90% confidence level, while the trend is statistically insignificant in the vortex edge region and inside the vortex due to the increased variability in TOC and QSW1. The processes associated with quasi-circumpolar migration and quasi-stationary oscillation of the wave-1 phase depending on the polar vortex strength in 2020 and 2021 are discussed.</t>
  </si>
  <si>
    <t>[Zhang, Chenning; Milinevsky, Gennadi; Shulga, Valery; Han, Wei] Jilin Univ, Coll Phys, Int Ctr Future Sci, Changchun 130012, Peoples R China; [Grytsai, Asen; Evtushevsky, Oleksandr; Milinevsky, Gennadi; Andrienko, Yulia; Rapoport, Yuriy] Taras Shevchenko Natl Univ Kyiv, Phys Fac, UA-01601 Kiev, Ukraine; [Milinevsky, Gennadi] Natl Antarctic Sci Ctr, Dept Atmosphere Phys &amp; Geospace, UA-01601 Kiev, Ukraine; [Milinevsky, Gennadi] Univ Lille, Dept Phys, Lab Opt Atmospher, F-59655 Villeneuve Dascq, France; [Shulga, Valery] Natl Acad Sci Ukraine, Inst Radio Astron, Dept Millimeter Radio Astron, UA-61002 Kharkiv, Ukraine; [Klekociuk, Andrew] Australian Antarct Div, Antarctic Climate Program, Kingston 7050, Australia; [Klekociuk, Andrew] Univ Adelaide, Dept Phys, Adelaide, SA 5005, Australia; [Rapoport, Yuriy] Univ Warmia &amp; Mazury, Space Radiodiagnost Res Ctr, PL-10719 Olsztyn, Poland; [Rapoport, Yuriy] State Space Agcy Ukraine, Natl Space Facil Control &amp; Test Ctr, Main Ctr Special Monitoring, UA-01010 Kiev, Ukraine</t>
  </si>
  <si>
    <t>Jilin University; Ministry of Education &amp; Science of Ukraine; Taras Shevchenko National University of Kyiv; Ministry of Education &amp; Science of Ukraine; State Institution National Antarctic Scientific Center; Universite de Lille; National Academy of Sciences Ukraine; Institute of Radio Astronomy of the National Academy of Sciences of Ukraine; Australian Antarctic Division; University of Adelaide; University of Warmia &amp; Mazury; State Space Agency of Ukraine</t>
  </si>
  <si>
    <t>zhangcn19@mails.jlu.edu.cn; assen@univ.kiev.ua; evtush@univ.kiev.ua; gmilin@univ.kiev.ua; andrienko.yu@univ.kiev.ua; shulga@rian.kharkov.ua; andrew.klekociuk@awe.gov.au; yuriy.rapoport@knu.ua; whan@jlu.edu.cn</t>
  </si>
  <si>
    <t>Evtushevsky, Oleksandr O.M./F-2065-2017; Han, Wei/N-7151-2018; Andrienko, Yulia/ACF-6867-2022; Milinevsky, Gennadi/AAD-8801-2019; Grytsai, Asen/AAS-7114-2020; Klekociuk, Andrew/A-4498-2015</t>
  </si>
  <si>
    <t>Evtushevsky, Oleksandr O.M./0000-0003-0582-559X; Han, Wei/0000-0002-4830-3487; Andrienko, Yulia/0000-0002-4735-467X; Milinevsky, Gennadi/0000-0002-2342-2615; Klekociuk, Andrew/0000-0003-3335-0034; Shulga, Valery/0000-0001-6529-5610; Grytsai, Asen/0000-0002-2545-9833</t>
  </si>
  <si>
    <t>College of Physics, International Center of Future Science, Jilin University, China; Ministry of Education and Science of Ukraine [BN-06, 20BF051-02, 4293]; Australian Antarctic Program; National Antarctic Scientific Center of Ukraine; National Aeronautics and Space Administration</t>
  </si>
  <si>
    <t>College of Physics, International Center of Future Science, Jilin University, China; Ministry of Education and Science of Ukraine; Australian Antarctic Program; National Antarctic Scientific Center of Ukraine; National Aeronautics and Space Administration(National Aeronautics &amp; Space Administration (NASA))</t>
  </si>
  <si>
    <t>This work was partially supported by the College of Physics, International Center of Future Science, Jilin University, China, and by the Ministry of Education and Science of Ukraine with the grant BN-06 for prospective development of a scientific direction Mathematical sciences and natural sciences and the project 20BF051-02 at the Taras Shevchenko National University of Kyiv. This work contributed to Project 4293 of the Australian Antarctic Program, and to the National Antarctic Scientific Center of Ukraine research objectives. We acknowledge the Goddard Earth Sciences Data and Information Services Center for TOC data from Total Ozone Mapping Spectrometer (Earth Probe) and the National Aeronautics and Space Administration, Goddard Space Flight Center for Ozone Monitoring Instrument (Aura) measurements (https://disc.gsfc.nasa.gov/datasets/and https://ozonewatch.gsfc.nasa.gov/, both accessed on 21 February 2022). We also thank the Climate Prediction Center, NOAA NationalWeather Service, for Arctic Oscillation index data (https://www.cpc.ncep.noaa.gov/, accessed on 25 April 2022).</t>
  </si>
  <si>
    <t>10.3390/rs14092192</t>
  </si>
  <si>
    <t>1F8HT</t>
  </si>
  <si>
    <t>WOS:000795403800001</t>
  </si>
  <si>
    <t>Bertinetti, S; Berto, S; Malandrino, M; Vione, D; Abollino, O; Conca, E; Marafante, M; Annibaldi, A; Truzzi, C; Illuminati, S</t>
  </si>
  <si>
    <t>Bertinetti, Stefano; Berto, Silvia; Malandrino, Mery; Vione, Davide; Abollino, Ornella; Conca, Eleonora; Marafante, Matteo; Annibaldi, Anna; Truzzi, Cristina; Illuminati, Silvia</t>
  </si>
  <si>
    <t>Chemical Speciation of Antarctic Atmospheric Depositions</t>
  </si>
  <si>
    <t>Antarctica; atmospheric depositions; metal complexes; metal speciation; chemical modeling; metal cations</t>
  </si>
  <si>
    <t>TERRA-NOVA BAY; ORGANIC COMPLEXATION; FORMATION-CONSTANTS; SEASONAL EVOLUTION; AQUEOUS-SOLUTION; IRON SOLUBILITY; DUST; AEROSOL; OCEAN; PHOSPHATE</t>
  </si>
  <si>
    <t>Featured Application The results of such studies will enable researchers to gain insight into the behavior of metals in wet depositions, which is fundamental knowledge to carry out atmospheric photochemistry studies and to model biogeochemical cycles of metal cations. Both inorganic and organic complexation of metal cations in clouds or rainwater is essential to describe the global biogeochemical cycles of metals, because complexation can increase metal solubility and stabilize some of their oxidation states. Within a Project of the National Research Program in the Antarctica, atmospheric depositions were collected during the Antarctic summer 2017-2018 in eight sampling sites. The main ionic components occurring in water extracts of these atmospheric depositions were quantified, and a chemical model was applied, in order to identify the main species occurring in the samples. The speciation study showed that most cations were present as aquoions, except for Fe, which occurred predominantly in hydrolytic forms. The model allowed us to foresee the effect of an increase in the concentration levels of all the solution components, by simulating what could happen when the original particles act as cloud condensation nuclei. The role of inorganic anions as complexing agents becomes important when increasing total concentrations of all the solutes by a factor &gt;100 compared to the water extracts, while the presence of organic acids acquires significance for samples having organic acid concentration higher than 10(-5) mol L-1. Moreover, it was possible to pinpoint the formation constants that mostly affect the chemical system, and to gain insight into the behavior of metals in wet depositions, which is fundamental knowledge in atmospheric photochemistry studies and in the modeling of the biogeochemical cycles of metal cations.</t>
  </si>
  <si>
    <t>[Bertinetti, Stefano; Berto, Silvia; Malandrino, Mery; Vione, Davide; Conca, Eleonora; Marafante, Matteo] Univ Torino, Dept Chem, Via P Giuria 7, I-10125 Turin, Italy; [Abollino, Ornella] Univ Torino, Dept Drug Sci &amp; Technol, Via P Giuria 9, I-10125 Turin, Italy; [Annibaldi, Anna; Truzzi, Cristina; Illuminati, Silvia] Univ Politecn Marche, Dept Life &amp; Environm Sci, Via Brecce Bianche, I-60131 Ancona, Italy</t>
  </si>
  <si>
    <t>University of Turin; University of Turin; Marche Polytechnic University</t>
  </si>
  <si>
    <t>Berto, S (corresponding author), Univ Torino, Dept Chem, Via P Giuria 7, I-10125 Turin, Italy.</t>
  </si>
  <si>
    <t>stefano.bertinetti@unito.it; silvia.berto@unito.it; mery.malandrino@unito.it; davide.vione@unito.it; ornella.abollino@unito.it; eleonora.conca@unito.it; matteo.marafante@edu.unito.it; a.annibaldi@univpm.it; c.truzzi@univpm.it; s.illuminati@staff.univpm.it</t>
  </si>
  <si>
    <t>Bertinetti, Stefano/HTQ-6650-2023; Conca, Eleonora/IUP-4564-2023; Illuminati, Silvia/GXZ-5038-2022; Vione, Davide/A-4047-2008; Bertinetti, Stefano/AAZ-2831-2021; Marafante, Matteo/HKV-5608-2023</t>
  </si>
  <si>
    <t>Bertinetti, Stefano/0000-0003-1982-247X; Marafante, Matteo/0000-0003-2218-195X; TRUZZI, Cristina/0000-0002-7429-9880; Conca, Eleonora/0000-0002-9303-9427; ILLUMINATI, Silvia/0000-0001-6465-5477; Berto, Silvia/0000-0002-1154-915X; Abollino, Ornella/0000-0003-2350-4941; ANNIBALDI, ANNA/0000-0002-7628-093X; Malandrino, Mery/0000-0002-8352-0487</t>
  </si>
  <si>
    <t>10.3390/app12094438</t>
  </si>
  <si>
    <t>1E6UO</t>
  </si>
  <si>
    <t>WOS:000794621200001</t>
  </si>
  <si>
    <t>Han, C; Kim, S; Lee, AH; Han, Y; Lee, S; Chang, C; Hong, S; Jung, H; Hong, SB; Lee, J; Hur, SD</t>
  </si>
  <si>
    <t>Han, Changhee; Kim, Songyi; Lee, Ah-Hyung; Han, Yeongcheol; Lee, Seungmi; Chang, Chaewon; Hong, Sungmin; Jung, Hyejin; Hong, Sang-Bum; Lee, Jeonghoon; Hur, Soon Do</t>
  </si>
  <si>
    <t>Variations in lead isotopes in Antarctic snow from northern Victoria Land during 2012-2015</t>
  </si>
  <si>
    <t>ENVIRONMENTAL RESEARCH COMMUNICATIONS</t>
  </si>
  <si>
    <t>antarctic snow; lead isotopes; northern victoria land; anthropogenic Pb</t>
  </si>
  <si>
    <t>ATMOSPHERIC LEAD; ICE CORES; LAW DOME; SOUTHERN; PB; AEROSOL; RECORD; METALS; CONTAMINATION; SIGNATURES</t>
  </si>
  <si>
    <t>To evaluate recent changes in anthropogenic Pb pollution and its sources and origins in Antarctica, Pb and Ba concentrations and Pb isotopic compositions were determined in a continuous series of 40 snow samples from a 2-m deep snow pit, covering 4 full years from 2011/12 summer to 2015/16 summer, at the Hercules Neve plateau in Victoria Land, Antarctica. The results show that more than 90% of the atmospheric Pb deposited in Victoria Land was of noncrustal origin. This result implies the persistence of a significant human impact on the atmospheric cycle of Pb in the most remote places on Earth, despite a substantial reduction in anthropogenic Pb emissions in the Southern Hemisphere during recent years. The Pb isotopic fingerprints indicate that South America, particularly Brazil and Chile, has become a major source of anthropogenic Pb reaching Victoria Land. Our data highlight the need for both national and international measures to further reduce Pb emissions.</t>
  </si>
  <si>
    <t>[Han, Changhee; Kim, Songyi; Lee, Ah-Hyung; Han, Yeongcheol; Lee, Seungmi; Chang, Chaewon; Jung, Hyejin; Hong, Sang-Bum; Hur, Soon Do] Korea Polar Res Inst, Div Glacial Environm Res, 26 Songdomirae Ro, Incheon 21990, South Korea; [Kim, Songyi; Lee, Jeonghoon] Ewha Womans Univ, Dept Sci Educ, 52 Ewhayeodae Gil, Seoul 03760, South Korea; [Lee, Ah-Hyung; Hong, Sungmin] Inha Univ, Dept Ocean Sci, 100 Inha Ro, Incheon 22212, South Korea</t>
  </si>
  <si>
    <t>Korea Polar Research Institute (KOPRI); Ewha Womans University; Inha University</t>
  </si>
  <si>
    <t>Han, C; Hur, SD (corresponding author), Korea Polar Res Inst, Div Glacial Environm Res, 26 Songdomirae Ro, Incheon 21990, South Korea.</t>
  </si>
  <si>
    <t>hch@kopri.re.kr; sdhur@kopri.re.kr</t>
  </si>
  <si>
    <t>Lee, Jeonghoon/E-8116-2010</t>
  </si>
  <si>
    <t>Lee, Jeonghoon/0000-0002-1256-4431</t>
  </si>
  <si>
    <t>Korea Polar Research Institute (KOPRI) [PE21100]; Basic Science Research Program through the National Research Foundation of Korea (NRF) - Ministry of Education, Science and Technology [NRF-2018R1A2B2006489]</t>
  </si>
  <si>
    <t>Korea Polar Research Institute (KOPRI); Basic Science Research Program through the National Research Foundation of Korea (NRF) - Ministry of Education, Science and Technology(National Research Foundation of Korea)</t>
  </si>
  <si>
    <t>This research was supported by a research grant (PE21100) from the Korea Polar Research Institute (KOPRI). This work was also supported by the Basic Science Research Program through the National Research Foundation of Korea (NRF) funded by the Ministry of Education, Science and Technology (NRF-2018R1A2B2006489).</t>
  </si>
  <si>
    <t>2515-7620</t>
  </si>
  <si>
    <t>ENVIRON RES COMMUN</t>
  </si>
  <si>
    <t>Environ. Res. Commun.</t>
  </si>
  <si>
    <t>MAY 1</t>
  </si>
  <si>
    <t>10.1088/2515-7620/ac6cd1</t>
  </si>
  <si>
    <t>1F2BD</t>
  </si>
  <si>
    <t>WOS:000794977000001</t>
  </si>
  <si>
    <t>Gutierrez-Villanueva, MO; Chereskin, TK; Sprintall, J; Goff, JA</t>
  </si>
  <si>
    <t>Gutierrez-Villanueva, Manuel O.; Chereskin, Teresa K.; Sprintall, Janet; Goff, John A.</t>
  </si>
  <si>
    <t>Turbulent Mixing and Lee-Wave Radiation in Drake Passage: Sensitivity to Topography</t>
  </si>
  <si>
    <t>lee waves; Southern Ocean meridional overturning circulation; turbulent mixing; breaking internal waves; Antarctic Circumpolar Current</t>
  </si>
  <si>
    <t>ANTARCTIC CIRCUMPOLAR CURRENT; SMALL-SCALE TOPOGRAPHY; INTERNAL WAVES; FINESCALE PARAMETERIZATIONS; EDDY HEAT; DISSIPATION; BREAKING; PROPAGATION; GENERATION; TRANSPORT</t>
  </si>
  <si>
    <t>Radiation and breaking of internal lee waves are thought to play a significant role in the energy and heat budget of the Southern Ocean. Open questions remain, however, regarding the amount of energy converted from the deep flows of the Antarctic Circumpolar Current (ACC) into lee waves and how much of this energy dissipates locally. This study estimated the linear lee-wave energy radiation using a unique 4-year time series of stratification and near-bottom currents from an array of Current and Pressure measuring Inverted Echo Sounders (CPIES) spanning Drake Passage. Lee-wave energy was calculated from two 2D anisotropic and one 1D isotropic abyssal hill topographies. Lee-wave energy radiation from all three topographies was largest in the Polar Front Zone associated with strong deep meandering of the ACC fronts. Both baroclinic and barotropic instabilities appeared to modulate the conversion to lee waves in the Polar Front Zone. Fine structure temperature, salinity, and velocity profiles at the CPIES locations were used to estimate turbulent dissipation due to breaking internal waves by employing a finescale parameterization. High dissipation near the bottom was consistent with upward-propagating, high-frequency lee waves as found by earlier studies. In contrast to idealized numerical predictions of 50% local dissipation of lee-wave energy, this study found less than 10% dissipated locally similar to some other studies. Improving the representation of the abyssal hills by accounting for anisotropy did not reduce the discrepancy between radiated lee-wave energy and local dissipation. Instead, alternative fates must be considered for the excess radiated lee-wave energy.</t>
  </si>
  <si>
    <t>[Gutierrez-Villanueva, Manuel O.; Chereskin, Teresa K.; Sprintall, Janet] Scripps Inst Oceanog, La Jolla, CA USA; [Goff, John A.] Univ Texas Austin, Jackson Sch Geosci, Inst Geophys, Austin, TX 78712 USA</t>
  </si>
  <si>
    <t>University of California System; University of California San Diego; Scripps Institution of Oceanography; University of Texas System; University of Texas Austin</t>
  </si>
  <si>
    <t>Gutierrez-Villanueva, MO (corresponding author), Scripps Inst Oceanog, La Jolla, CA USA.</t>
  </si>
  <si>
    <t>mog002@ucsd.edu</t>
  </si>
  <si>
    <t>Goff, John/B-9972-2008</t>
  </si>
  <si>
    <t>Goff, John/0000-0001-9246-5048; Chereskin, Teresa/0000-0003-1214-0978; Gutierrez-Villanueva, Manuel O./0000-0003-3636-7368; Sprintall, Janet/0000-0002-7428-7580</t>
  </si>
  <si>
    <t>National Science Foundation (NSF) Office of Polar Programs [ANT-0636493, ANT-0635437]; UC Mexus-Conacyt; NSF [OCE-1755529, OPP-2001646]</t>
  </si>
  <si>
    <t>National Science Foundation (NSF) Office of Polar Programs(National Science Foundation (NSF)); UC Mexus-Conacyt(Consejo Nacional de Ciencia y Tecnologia (CONACyT)); NSF(National Science Foundation (NSF))</t>
  </si>
  <si>
    <t>The authors thank Maxim Nikurashin for providing the Nikurashin and Ferrari (2011) abyssal hills statistical parameters. The authors thank two reviewers and the editor whose insightful comments greatly improved the manuscript. cDrake was a collaboration between investigators at the University of Rhode Island and Scripps Institution of Oceanography. The measurements presented here were made with support provided by the National Science Foundation (NSF) Office of Polar Programs grants ANT-0636493 and ANT-0635437. The authors wish to thank Kathy Donohue, Randy Watts, Karen Tracey, Erran Sousa, Gerard Chaplin, and Dan Holloway for their ancillary roles and support for the cDrake project. The authors particularly thank Yvonne Firing for providing the objectively mapped CPIES data in the local dynamics array and Annie Foppert and Karen Tracey for providing the GEMs. The authors are grateful to the captains and crew of the RVIB Nathaniel B. Palmer. M. O. Gutierrez-Villanueva is grateful for financial support from the UC Mexus-Conacyt during his Ph.D. degree. The NSF Awards OCE-1755529 and OPP-2001646 support M. O. Gutierrez-Villanueva, J. Sprintall, T. K. Chereskin, and this research.</t>
  </si>
  <si>
    <t>e2021JC018103</t>
  </si>
  <si>
    <t>10.1029/2021JC018103</t>
  </si>
  <si>
    <t>1D5RA</t>
  </si>
  <si>
    <t>WOS:000793856600001</t>
  </si>
  <si>
    <t>Kar, R; Aksoy, M; Kaurejo, D; Atrey, P; Devadason, JA</t>
  </si>
  <si>
    <t>Kar, Rahul; Aksoy, Mustafa; Kaurejo, Dua; Atrey, Pranjal; Devadason, Jerusha Ashlin</t>
  </si>
  <si>
    <t>Antarctic Firn Characterization via Wideband Microwave Radiometry</t>
  </si>
  <si>
    <t>cryosphere; global precipitation measurement; GPM; microwave radiometry; remote sensing; polar firn</t>
  </si>
  <si>
    <t>MODELING TIME-SERIES; BRIGHTNESS TEMPERATURE; GRAIN-SIZE; DOME C; ICE</t>
  </si>
  <si>
    <t>Recent studies have demonstrated that wideband microwave radiometers provide significant potential for profiling important subsurface polar firn characteristics necessary to understand the dynamics of the cryosphere and predict future changes in ice and snow coverage. Different frequencies within the wide spectra of radiometers result in different electromagnetic propagation losses and thus reveal characteristics at different depths in ice and snow. This paper, expanding on those investigations, explores the utilization of the Global Precipitation Measurement (GPM) constellation as a single wideband (6.93 GHz-91.655 GHz) spaceborne radiometer, covering the entire microwave spectrum from C-band to W-band, to profile subsurface properties of the Antarctic firn. Results of the initial analyses over Concordia and Vostok Stations in Antarctica indicate that GPM brightness temperature measurements provide critical information regarding the subsurface temperatures and physical properties of the firn from the surface down to several meters of depth. Considering the high spatiotemporal coverage of polar-orbiting spaceborne radiometers, these results are promising for future continent-level thermal and physical characterization of the Antarctic firn.</t>
  </si>
  <si>
    <t>[Kar, Rahul; Aksoy, Mustafa; Kaurejo, Dua] SUNY Albany, Dept Elect &amp; Comp Engn, Albany, NY 12222 USA; [Atrey, Pranjal] Univ Maryland, Dept Elect &amp; Comp Engn, College Pk, MD 20742 USA</t>
  </si>
  <si>
    <t>State University of New York (SUNY) System; State University of New York (SUNY) Albany; University System of Maryland; University of Maryland College Park</t>
  </si>
  <si>
    <t>Kar, R (corresponding author), SUNY Albany, Dept Elect &amp; Comp Engn, Albany, NY 12222 USA.</t>
  </si>
  <si>
    <t>rkar@albany.edu; maksoy@albany.edu; dkaurejo@albany.edu; patrey@terpmail.umd.edu; jdevadason@albany.edu</t>
  </si>
  <si>
    <t>kar, Rahul/JXL-9326-2024</t>
  </si>
  <si>
    <t>Aksoy, Mustafa/0000-0001-5452-1862; Kar, Rahul/0000-0003-2570-6037</t>
  </si>
  <si>
    <t>National Science Foundation [1844793]</t>
  </si>
  <si>
    <t>This research was funded by the National Science Foundation, grant number 1844793.</t>
  </si>
  <si>
    <t>10.3390/rs14092258</t>
  </si>
  <si>
    <t>1E7LY</t>
  </si>
  <si>
    <t>WOS:000794666400001</t>
  </si>
  <si>
    <t>Liao, TJ; Chao, BF</t>
  </si>
  <si>
    <t>Liao, Ting-Juan; Chao, Benjamin F.</t>
  </si>
  <si>
    <t>Global Mean Sea Level Variation on Interannual-Decadal Timescales: Climatic Connections</t>
  </si>
  <si>
    <t>global mean sea level; interannual; decadal; correlation; climatic oscillations</t>
  </si>
  <si>
    <t>ARCTIC-OCEAN; VARIABILITY; PACIFIC</t>
  </si>
  <si>
    <t>The global mean sea level (GMSL) has been measured precisely by the space geodetic remote-sensing technique of radar altimetry since the 1990s. Aside from the well-studied seasonality and secular sea level rise, here we focus on GMSL variation on the interannual-decadal (ID) timescales (GMSL-ID) and investigate the influences of the climatic oscillations as physical causes. We conduct correlation analyses on the GMSL-ID time series with several climatic oscillations represented by their respective meteorological indices, including El Nino-Southern Oscillation (ENSO), Pacific Decadal Oscillation (PDO), Atlantic Multidecadal Oscillation (AMO), Arctic Oscillation (AO), and Antarctic Oscillation (AAO). From the time-domain cross-correlation functions and the corresponding frequency-domain cross-coherence spectra, we find the following: (i) high correlation between GMSL-ID and ENSO, primarily befalling on the Central-Pacific (as opposed to the Eastern-Pacific) type of ENSO, on timescales longer than 1.5 years; (ii) moderate correlations of GMSL-ID with PDO on long-period timescales of over 4 years, and with AMO on a timescale of 2-10 years, with AMO leading in phase by 8 months; (iii) weak or practically no correlation of GMSL-ID with either AO or AAO, in the former case given the fact that our GMSL-ID data actually do not cover the Arctic sea. Finally, we least-squares fit the above five indices to GMSL-ID to assess the relative contribution of each oscillation in causing the observed GMSL-ID, for a better understanding of the GMSL under the influences of on-going climate change.</t>
  </si>
  <si>
    <t>[Liao, Ting-Juan] Natl Taiwan Univ, Dept Phys, Taipei 10617, Taiwan; [Chao, Benjamin F.] Acad Sinica, Inst Earth Sci, Taipei 115024, Taiwan</t>
  </si>
  <si>
    <t>National Taiwan University; Academia Sinica - Taiwan</t>
  </si>
  <si>
    <t>Chao, BF (corresponding author), Acad Sinica, Inst Earth Sci, Taipei 115024, Taiwan.</t>
  </si>
  <si>
    <t>610158@gs.hs.ntnu.edu.tw; bfchao@earth.sinica.edu.tw</t>
  </si>
  <si>
    <t>Liao, Ting-Juan/0000-0003-3555-919X</t>
  </si>
  <si>
    <t>Taiwan Ministry of Science and Technology [109-2116-M-001028]</t>
  </si>
  <si>
    <t>Taiwan Ministry of Science and Technology</t>
  </si>
  <si>
    <t>This work is supported by the Taiwan Ministry of Science and Technology under grant #109-2116-M-001028.</t>
  </si>
  <si>
    <t>10.3390/rs14092159</t>
  </si>
  <si>
    <t>1F8OT</t>
  </si>
  <si>
    <t>WOS:000795422000001</t>
  </si>
  <si>
    <t>Yang, Z; Kang, ZZ</t>
  </si>
  <si>
    <t>Yang, Ze; Kang, Zhizhong</t>
  </si>
  <si>
    <t>Antarctic-Scale Ice Flow Lines Map Generation and Basin Delineation</t>
  </si>
  <si>
    <t>ice flow lines; weight balance; ice flow velocity map; Antarctic surface; Antarctic redivided basins</t>
  </si>
  <si>
    <t>LONGITUDINAL SURFACE-STRUCTURES; CONTINENT-WIDE; MASS-BALANCE; SHELF; TOPOGRAPHY; THICKNESS; RETREAT; STRIPES; ORIGIN; DRIVEN</t>
  </si>
  <si>
    <t>Ice flow lines are the most dominant feature of ice sheet surfaces. Accurate delineation of basins is a prerequisite for mass balance. We therefore propose a new weight balance-based approach to extract the present most comprehensive ice flow lines and then re-delineate the Antarctic basin on this basis. In our approach, we define three impact factors to represent directional accuracy, smoothness, and physical character. Following this, a weight balance-based method is proposed, in which those factors are integrated via weights, to determine the pointing pixels (points or subpixels of the ice flow line). After that, the ice flow lines are continuously tracked. Finally, Antarctic basins were re-delineated based on it. The results indicate that the derived ice flow lines exhibit a rational ice flow pattern against the DEM and the proposed method remarkably improves the performance of results. Furthermore, compared with the Antarctic IMBIE (Ice sheet Mass Balance Inter-Comparison Exercise) basins, the redivided basins exhibit slight diversity, with differences in area and length of less than 11% and a directional accuracy of less than 1 degrees (covering more than 90% of area). As a result, the redivided basins are beneficial to the investigation of the in-depth mechanism of ice shelf calving and mass balance in the Antarctic.</t>
  </si>
  <si>
    <t>[Yang, Ze; Kang, Zhizhong] China Univ Geosci, Sch Land Sci &amp; Technol, Beijing 100083, Peoples R China; [Yang, Ze; Kang, Zhizhong] China Univ Geosci, Marine &amp; Polar Res Ctr, Beijing 100083, Peoples R China</t>
  </si>
  <si>
    <t>China University of Geosciences</t>
  </si>
  <si>
    <t>Kang, ZZ (corresponding author), China Univ Geosci, Sch Land Sci &amp; Technol, Beijing 100083, Peoples R China.;Kang, ZZ (corresponding author), China Univ Geosci, Marine &amp; Polar Res Ctr, Beijing 100083, Peoples R China.</t>
  </si>
  <si>
    <t>3012190005@cugb.edu.cn; zzkang@cugb.edu.cn</t>
  </si>
  <si>
    <t>Kang, Zhizhong/0000-0002-9728-4702</t>
  </si>
  <si>
    <t>National Key R&amp;D Program of China [2019YFE0123300]; National Natural Science Foundation of China [41872207]</t>
  </si>
  <si>
    <t>This work was supported by the National Key R&amp;D Program of China (Grant No. 2019YFE0123300) and the National Natural Science Foundation of China (Grant Nos. 41872207).</t>
  </si>
  <si>
    <t>10.3390/rs14091958</t>
  </si>
  <si>
    <t>1E6ZJ</t>
  </si>
  <si>
    <t>WOS:000794633700001</t>
  </si>
  <si>
    <t>Wang, CY; Ding, MH; Yang, YD; Wei, T; Dou, TF</t>
  </si>
  <si>
    <t>Wang, Chuya; Ding, Minghu; Yang, Yuande; Wei, Ting; Dou, Tingfeng</t>
  </si>
  <si>
    <t>Risk Assessment of Ship Navigation in the Northwest Passage: Historical and Projection</t>
  </si>
  <si>
    <t>ship navigation; climate change response; Arctic; Northwest Passage</t>
  </si>
  <si>
    <t>CANADIAN ARCTIC ARCHIPELAGO; DYNAMIC BAYESIAN NETWORK; SEA-ICE CONDITIONS; MODEL SIMULATIONS; THICKNESS; VARIABILITY; VISIBILITY; AIRCRAFT; WATERS; FOG</t>
  </si>
  <si>
    <t>Shipping volumes in the Northwest Passage are likely to increase under climate change due to the distance advantage over traditional routes and the special strategic location of the Arctic. However, the harsh environment and poor channel conditions may pose a considerable risk to ship navigation. To ensure the safety of ships, understand the navigability of the route, and plan the sustainable use of the Northwest Passage, it is crucial to provide a quantitative risk assessment. Here, we present an analysis of several natural risks faced by ships in the Northwest Passage based on available datasets and use climate model simulations to project the navigability changes. The results showed that: (1) The sea-ice risk to ships in the Northwest Passage has been significantly reduced over the period 1979-2019, and the risk for Polar Class 6 (PC6) ships has decreased more rapidly than for general open-water (OW) ships. The difference in ice-breaking capacity further affects the seaworthy season, with the second seaworthy month being August for OW ships and October for PC6 ships, in addition to the commonly best September. (2) Low visibility is a more common form of adverse weather than strong wind for navigation in the Northwest Passage, mainly on the northern route, although pilotage conditions appear to be improving in September. (3) According to the comprehensive risk map, the distribution of risk is dominated by sea ice. The southern route of the Northwest Passage is superior to the northern route in terms of both sea ice and weather conditions, but there is a risk of shallow water. (4) For the northern route, which has greater transport potential, projections suggest that the sea-ice risk will be steadily lower than any extreme light ice year observed historically whether for the ship class OW or PC6 by 2050, with an increase of 50-80 navigable days, and the navigable period could be from June to January of the following year for PC6 ships by 2100. Our results provide valuable information for ships planning to pass through the Northwest Passage.</t>
  </si>
  <si>
    <t>[Wang, Chuya; Yang, Yuande] Wuhan Univ, Chinese Antarctic Ctr Surveying &amp; Mapping, Wuhan 430079, Peoples R China; [Ding, Minghu; Wei, Ting] Chinese Acad Meteorol Sci, State Key Lab Severe Weather, Beijing 100081, Peoples R China; [Dou, Tingfeng] Univ Chinese Acad Sci, Coll Resources &amp; Environm, Beijing 100049, Peoples R China</t>
  </si>
  <si>
    <t>Wuhan University; China Meteorological Administration; Chinese Academy of Meteorological Sciences (CAMS); Chinese Academy of Sciences; University of Chinese Academy of Sciences, CAS</t>
  </si>
  <si>
    <t>Ding, MH (corresponding author), Chinese Acad Meteorol Sci, State Key Lab Severe Weather, Beijing 100081, Peoples R China.</t>
  </si>
  <si>
    <t>chuya0905@whu.edu.cn; dingminghu@foxmail.com; yuandeyang@whu.edu.cn; weiting@cma.gov.cn; doutf@ucas.ac.cn</t>
  </si>
  <si>
    <t>Ding, Minghu/AFU-3600-2022</t>
  </si>
  <si>
    <t>Ding, Minghu/0000-0002-1142-6598; Wang, Chuya/0000-0001-5054-2367</t>
  </si>
  <si>
    <t>National Key Research and Development Program of China [2018YFC1406103]; National Science Fund of China [42122047]; Basic Fund of CAMS [2021Z006]</t>
  </si>
  <si>
    <t>National Key Research and Development Program of China; National Science Fund of China(National Natural Science Foundation of China (NSFC)); Basic Fund of CAMS</t>
  </si>
  <si>
    <t>This study is supported by the National Key Research and Development Program of China (2018YFC1406103), National Science Fund of China (42122047) and Basic Fund of CAMS (2021Z006).</t>
  </si>
  <si>
    <t>10.3390/su14095591</t>
  </si>
  <si>
    <t>1E7DR</t>
  </si>
  <si>
    <t>WOS:000794644900001</t>
  </si>
  <si>
    <t>Halberstadt, ARW; Kowalewski, DE; DeConto, RM</t>
  </si>
  <si>
    <t>Halberstadt, Anna Ruth W.; Kowalewski, Douglas E.; DeConto, Robert M.</t>
  </si>
  <si>
    <t>Reconciling persistent sub-zero temperatures in the McMurdo Dry Valleys, Antarctica, with Neogene dynamic marine ice-sheet fluctuations</t>
  </si>
  <si>
    <t>MIOCENE GLACIER ICE; CLIMATE-CHANGE; ROSS SEA; LEVEL; PALEOCLIMATE; SENSITIVITY</t>
  </si>
  <si>
    <t>In the Ross Sea sector of Antarctica, periodic large-scale marine ice-sheet fluctuations since the mid-Miocene are recorded by drill core and seismic data, revealing a dynamic ice-sheet response to past increases in temperature and atmospheric CO2. In the adjacent, predominantly ice-free McMurdo Dry Valleys (MDVs), preserved terrestrial landscapes reflect persistent cold conditions and have been interpreted as indicators of a stable polar ice sheet, implying that the Antarctic Ice Sheet was largely insensitive during past warm periods. These disparate data-based perspectives highlight a long-standing debate around the past stability of the Antarctic Ice Sheet, with direct implications for the future ice-sheet response to ongoing climate warming. We reconcile marine records of dynamic ice-sheet behavior and episodic open-marine conditions with nearby ancient terrestrial landscapes recording consistent cold-polar conditions. Coupled ice-sheet and regional climate models nested at a high resolution are used to investigate surface temperatures in the MDVs during past warm periods. We find that high-elevation regions of the MDVs remain below freezing even when ice-free conditions prevail in the nearby Ross Sea. We compare observed landscapes with the spatial extent of modeled persistent cold conditions required for preservation of these ancient features, demonstrating that frozen MDVs landscapes could have coexisted with receded or collapsed ice sheets during past warm periods.</t>
  </si>
  <si>
    <t>[Halberstadt, Anna Ruth W.; DeConto, Robert M.] Univ Massachusetts, Dept Geosci, Amherst, MA 01003 USA; [Kowalewski, Douglas E.] Worcester State Univ, Dept Earth Environm &amp; Phys, Worcester, MA 01602 USA</t>
  </si>
  <si>
    <t>University of Massachusetts System; University of Massachusetts Amherst; Massachusetts System of Public Higher Education; Worcester State University</t>
  </si>
  <si>
    <t>Halberstadt, ARW (corresponding author), Univ Massachusetts, Dept Geosci, Amherst, MA 01003 USA.</t>
  </si>
  <si>
    <t>Halberstadt, Anna Ruth/JPW-9990-2023</t>
  </si>
  <si>
    <t>U.S. National -Science Foundation; National Environment Research Council [NSF-NERC-2035080]; NSF [NSF-1664013, NSF-1638954]</t>
  </si>
  <si>
    <t>U.S. National -Science Foundation(National Science Foundation (NSF)); National Environment Research Council(UK Research &amp; Innovation (UKRI)Natural Environment Research Council (NERC)); NSF(National Science Foundation (NSF))</t>
  </si>
  <si>
    <t>The research was supported by U.S. National -Science Foundation and National Environment Research Council grant NSF-NERC-2035080 to R.M. DeConto, and NSF grants NSF-1664013 to R.M. DeConto and NSF-1638954 to D.E. Kowalewski. We thank three anonymous reviewers for their constructive feedback.</t>
  </si>
  <si>
    <t>10.1130/G49664.1</t>
  </si>
  <si>
    <t>1B0GK</t>
  </si>
  <si>
    <t>WOS:000792123300012</t>
  </si>
  <si>
    <t>Antarctic sea-ice collapse, temperature records broken</t>
  </si>
  <si>
    <t>WEATHER</t>
  </si>
  <si>
    <t>0043-1656</t>
  </si>
  <si>
    <t>1477-8696</t>
  </si>
  <si>
    <t>Weather</t>
  </si>
  <si>
    <t>0V3NM</t>
  </si>
  <si>
    <t>WOS:000788251800019</t>
  </si>
  <si>
    <t>Nghiem, SV; Huang, LQ; Hajnsek, I</t>
  </si>
  <si>
    <t>Nghiem, Son, V; Huang, Lanqing; Hajnsek, Irena</t>
  </si>
  <si>
    <t>Theory of Radar Polarimetric Interferometry and Its Application to the Retrieval of Sea Ice Elevation in the Western Weddell Sea, Antarctic</t>
  </si>
  <si>
    <t>EARTH AND SPACE SCIENCE</t>
  </si>
  <si>
    <t>COMPLEX-DIELECTRIC-CONSTANT; SNOW; SIGNATURES; BACKSCATTER; SCATTERING; RESOLUTION; EQUATIONS; EVOLUTION; ROUGHNESS; MEDIA</t>
  </si>
  <si>
    <t>Sea ice elevation plays a crucial role in sea ice dynamic processes driven by winds and waves, for which satellite radar remote sensing becomes indispensable to monitor snow-covered sea ice across the vast polar regions regardless of darkness and clouds. To measure sea ice elevation, a theory of polarimetric interferometry for both monostatic and bistatic radars is developed based on analytic solutions of Maxwell's equations, accounting for realistic and complicated properties of snow, sea ice, and seawater. This analytic method inherently preserves phase information that is imperative for radar polarimetry and interferometry. Among a multitude of complex radar coefficients in the general polarimetric interferometric covariance matrix, the symmetry group theory is utilized to identify and select appropriate terms pertaining to the retrieval of sea ice elevation while avoiding radar parameters that may inadvertently introduce non-uniqueness and excessive uncertainty. Theoretical calculations compare well with field observations for rough and old sea ice encountered in the Operation-IceBridge and TanDEM-X Antarctic Science Campaign over the Western Weddell Sea. The results show that the magnitude of the coefficient of normalized correlation between co-polarized horizontal and co-polarized vertical radar returns is inversely related to sea ice elevation, while the associate phase term is nonlinear and noisy and should be excluded. From these analyses, a protocol is set up to measure Antarctic sea ice elevation to be presented in the next companion paper. Plain Language Summary To understand sea ice processes and advance models for sea ice motions require information on the height of sea ice above the seawater level. For this purpose, an advanced radar theory is developed and validated with measurements from an experiment conducted over Antarctic sea ice. Based on physical insights from the radar theory, a protocol is set up to retrieve the elevation of rough and old sea ice using data acquired by satellite radars for Earth observations.</t>
  </si>
  <si>
    <t>[Nghiem, Son, V] CALTECH, Jet Prop Lab, Pasadena, CA 91125 USA; [Huang, Lanqing; Hajnsek, Irena] Swiss Fed Inst Technol Zurich ETH, Inst Environm Engn, Zurich, Switzerland; [Hajnsek, Irena] German Aerosp Ctr DLR, Microwaves &amp; Radar Inst, Wessling, Germany</t>
  </si>
  <si>
    <t>National Aeronautics &amp; Space Administration (NASA); NASA Jet Propulsion Laboratory (JPL); California Institute of Technology; Swiss Federal Institutes of Technology Domain; ETH Zurich; Helmholtz Association; German Aerospace Centre (DLR)</t>
  </si>
  <si>
    <t>Nghiem, SV (corresponding author), CALTECH, Jet Prop Lab, Pasadena, CA 91125 USA.</t>
  </si>
  <si>
    <t>son.v.nghiem@jpl.nasa.gov</t>
  </si>
  <si>
    <t>Huang, Lanqing/ACF-9185-2022</t>
  </si>
  <si>
    <t>Huang, Lanqing/0000-0002-5180-7491</t>
  </si>
  <si>
    <t>NASA Cryosphere Science Program</t>
  </si>
  <si>
    <t>The research carried out at the Jet Propulsion Laboratory (JPL), California Institute of Technology, was supported by the NASA Cryosphere Science Program. The authors acknowledge valuable discussions with Dr. Ted Maksym from the Woods Hole Oceanographic Institution, Prof. Stephen F. Ackley from the University of Texas at Antonio, and Prof. Jean-Louis Tission from the Universite Libre de Bruxelles, regarding desalination, flooding, and properties of Antarctic sea ice, respectively. Moreover, the authors thanks our colleagues for their participations and collaborations in the OTASC efforts from the German Aerospace Center in Germany, the NASA Goddard Space Flight Center in USA, the University of Texas at San Antonio in USA, the Woods Hole Oceanographic Institution in USA, the Columbia University in USA, the University of Canterbury in New Zealand, the York University in Canada, the Alfred Wegener Institute in Germany, the U.S. National Ice Center in USA, the University of Washington in USA, and the University of Minnesota in USA.</t>
  </si>
  <si>
    <t>2333-5084</t>
  </si>
  <si>
    <t>EARTH SPACE SCI</t>
  </si>
  <si>
    <t>Earth Space Sci.</t>
  </si>
  <si>
    <t>e2021EA002191</t>
  </si>
  <si>
    <t>10.1029/2021EA002191</t>
  </si>
  <si>
    <t>Astronomy &amp; Astrophysics; Geosciences, Multidisciplinary</t>
  </si>
  <si>
    <t>Astronomy &amp; Astrophysics; Geology</t>
  </si>
  <si>
    <t>0X8DO</t>
  </si>
  <si>
    <t>WOS:000789930500001</t>
  </si>
  <si>
    <t>Young, JM; Glotch, TD; Yesiltas, M; Hamilton, VE; Breitenfeld, LB; Bechtel, HA; Corder, SNG; Yao, Z</t>
  </si>
  <si>
    <t>Young, J. M.; Glotch, T. D.; Yesiltas, M.; Hamilton, V. E.; Breitenfeld, L. B.; Bechtel, H. A.; Corder, S. N. Gilbert; Yao, Z.</t>
  </si>
  <si>
    <t>Nano-FTIR Investigation of the CM Chondrite Allan Hills 83100</t>
  </si>
  <si>
    <t>chondrite; near-field IR; nano-IR; OSIRIS-REx; Hayabusa2; spectroscopy</t>
  </si>
  <si>
    <t>INTERSTELLAR SILICATE MINERALOGY; INFRARED-EMISSION SPECTROSCOPY; CARBONACEOUS CHONDRITES; REFLECTANCE SPECTROSCOPY; AQUEOUS ALTERATION; ORGANIC-MATTER; TEM OBSERVATIONS; PARENT BODY; OLIVINE; SPECTRA</t>
  </si>
  <si>
    <t>Mid-infrared (MIR) spectroscopy has been used with great success to quantitatively determine the mineralogy of geologic samples. It has been employed in a variety of contexts from determining bulk composition of powdered samples to spectroscopic imaging of rock thin sections via micro-Fourier transform infrared (micro-FTIR) imaging spectroscopy. Recent advances allow for IR measurements at the nanoscale. Near field nanoscale infrared imaging and spectroscopy with a broadband source (nano-FTIR) enable understanding of the spatial relationships between compositionally distinct materials within a sample. This will be of particular use when analyzing returned samples from Bennu and Ryugu, which are thought to be compositionally like CI or CM1/2 carbonaceous chondrites. Returned samples will likely contain olivine/pyroxene chondrules that have been transformed into hydrous phyllosilicates, sulfides, carbonates, and other alteration phases. The use of near-field infrared techniques to probe the boundaries between once pristine chondrules and alteration phases at the nanoscale is a novel approach to furthering our understanding of the compositional evolution of carbonaceous asteroids and the processes that drive their evolution. Here we report the results of nano-FTIR spectroscopy and imaging measurements performed on the carbonaceous chondrite Allan Hills (ALH) 83100 (CM1/2). We show with nanoscale resolution that spatially resolved Fe-Mg variations exist within the phyllosilicates around a chondrule rim. We also present effects of crystal orientation on the nano-FTIR spectra to account for the spectral differences between the meteorite and mineral spectra.</t>
  </si>
  <si>
    <t>[Young, J. M.; Glotch, T. D.; Breitenfeld, L. B.] SUNY Stony Brook, Dept Geosci, Stony Brook, NY 11794 USA; [Yesiltas, M.] Kirklareli Univ, Fac Aeronaut &amp; Space Sci, Kirklareli, Turkey; [Hamilton, V. E.] Southwest Res Inst, Boulder, CO USA; [Bechtel, H. A.; Corder, S. N. Gilbert; Yao, Z.] Lawrence Berkeley Natl Lab, Adv Light Source, Berkeley, CA USA; [Yao, Z.] SUNY Stony Brook, Dept Phys &amp; Astron, Stony Brook, NY 11794 USA</t>
  </si>
  <si>
    <t>State University of New York (SUNY) System; State University of New York (SUNY) Stony Brook; Kirklareli University; Southwest Research Institute; United States Department of Energy (DOE); Lawrence Berkeley National Laboratory; State University of New York (SUNY) System; State University of New York (SUNY) Stony Brook</t>
  </si>
  <si>
    <t>Glotch, TD (corresponding author), SUNY Stony Brook, Dept Geosci, Stony Brook, NY 11794 USA.</t>
  </si>
  <si>
    <t>timothy.glotch@stonybrook.edu</t>
  </si>
  <si>
    <t>Bechtel, Hans A/I-1883-2014; Yao, Ziheng/AAF-9296-2020; Glotch, Timothy D/B-6829-2008; Gilbert Corder, Stephanie/F-3658-2015</t>
  </si>
  <si>
    <t>Yao, Ziheng/0000-0002-8296-1272; Gilbert Corder, Stephanie/0000-0002-5041-8670; Breitenfeld, Laura/0000-0002-6810-8224; YESILTAS, MEHMET/0000-0002-1521-0460</t>
  </si>
  <si>
    <t>U.S. DOE Office of Science User Facility [DE-AC02-05CH11231]; TUBITAK [119N207, 120Y115]; ALS Doctoral Fellowship in Residence Program; NASA; NSF; NASA's Solar System Exploration Research Virtual Institute</t>
  </si>
  <si>
    <t>U.S. DOE Office of Science User Facility(United States Department of Energy (DOE)); TUBITAK(Turkiye Bilimsel ve Teknolojik Arastirma Kurumu (TUBITAK)); ALS Doctoral Fellowship in Residence Program; NASA(National Aeronautics &amp; Space Administration (NASA)); NSF(National Science Foundation (NSF)); NASA's Solar System Exploration Research Virtual Institute</t>
  </si>
  <si>
    <t>This work was supported by the RIS4E and RISE2 nodes (T. D. Glotch, PI) of NASA's Solar System Exploration Research Virtual Institute. This research used resources of the Advanced Light Source, a U.S. DOE Office of Science User Facility under contract no. DE-AC02-05CH11231. M. Y. acknowledges support from TUBITAK (projects 119N207 and 120Y115). Z. Y. acknowledges partial support from the ALS Doctoral Fellowship in Residence Program. U.S. Antarctic meteorite samples are recovered by the Antarctic Search for Meteorites (ANSMET) program that has been funded by NSF and NASA, and characterized and curated by the Department of Mineral Sciences of the Smithsonian Institution and Astromaterials Curation Office at NASA Johnson Space Center. We thank Andreas Morlok, an anonymous reviewer, and the JGR Planets editors for thoughtful and constructive reviews that substantially improved the manuscript.</t>
  </si>
  <si>
    <t>e2021JE007166</t>
  </si>
  <si>
    <t>10.1029/2021JE007166</t>
  </si>
  <si>
    <t>0V0NE</t>
  </si>
  <si>
    <t>WOS:000788042200001</t>
  </si>
  <si>
    <t>Walton, SD; Forsyth, C; Rae, IJ; Meredith, NP; Sandhu, JK; Walach, MT; Murphy, KR</t>
  </si>
  <si>
    <t>Walton, S. D.; Forsyth, C.; Rae, I. J.; Meredith, N. P.; Sandhu, J. K.; Walach, M-T; Murphy, K. R.</t>
  </si>
  <si>
    <t>Statistical Comparison of Electron Loss and Enhancement in the Outer Radiation Belt During Storms</t>
  </si>
  <si>
    <t>radiation belts; geomagnetic storms; magnetospheric waves</t>
  </si>
  <si>
    <t>VAN ALLEN PROBES; EMIC WAVES; PLASMASPHERIC HISS; PRECIPITATION; SOLAR; CHORUS; ACCELERATION; POPULATIONS; TELESCOPE; DYNAMICS</t>
  </si>
  <si>
    <t>The near-relativistic electron population in the outer Van Allen radiation belt is highly dynamic and strongly coupled to geomagnetic activity such as storms and substorms, which are driven by the interaction of the magnetosphere with the solar wind. The energy, content, and spatial extent of electrons in the outer radiation belt can vary on timescales of hours to days, dictated by the continuously evolving influence of acceleration and loss processes. While net changes in the electron population are directly observable, the relative influence of different processes is far from fully understood. Using a continuous 12 year data set from the Proton Electron Telescope on board the Solar Anomalous Magnetospheric Particle Explorer, we statistically compare the relative variations of trapped electrons to those in the bounce loss cone (BLC). Our results show that there is a proportional increase in flux entering the BLC outside the plasmapause during storm main phase and early recovery phase. Loss enhancement is sustained on the dawnside throughout the recovery phase while loss on the duskside is enhanced around minimum Sym-H and quickly diminishes. Spatial variations are also examined in relation to geomagnetic activity, making comparisons to possible causal wave modes such as whistler-mode chorus and plasmaspheric hiss.</t>
  </si>
  <si>
    <t>[Walton, S. D.; Forsyth, C.] Univ Coll London, Mullard Space Sci Lab, Dorking, Surrey, England; [Rae, I. J.; Sandhu, J. K.; Murphy, K. R.] Northumbria Univ, Dept Maths Phys &amp; Elect Engn, Newcastle Upon Tyne, Tyne &amp; Wear, England; [Meredith, N. P.] British Antarctic Survey, Cambridge, England; [Walach, M-T] Univ Lancaster, Phys Dept, Lancaster, England</t>
  </si>
  <si>
    <t>University of London; University College London; Northumbria University; UK Research &amp; Innovation (UKRI); Natural Environment Research Council (NERC); NERC British Antarctic Survey; Lancaster University</t>
  </si>
  <si>
    <t>Walton, SD (corresponding author), Univ Coll London, Mullard Space Sci Lab, Dorking, Surrey, England.</t>
  </si>
  <si>
    <t>samuel.walton.18@ucl.ac.uk</t>
  </si>
  <si>
    <t>Walach, Maria-Theresia/AAB-1833-2020; Sandhu, Jasmine/AAM-9919-2021; Rae, Jonathan/D-8132-2013; Forsyth, Colin/E-4159-2010</t>
  </si>
  <si>
    <t>Walach, Maria-Theresia/0000-0002-9352-0659; Sandhu, Jasmine/0000-0001-6089-426X; Rae, Jonathan/0000-0002-2637-4786; Forsyth, Colin/0000-0002-0026-8395; Murphy, Kyle/0000-0002-3063-6451; Walton, Samuel/0000-0002-0695-7116</t>
  </si>
  <si>
    <t>Science and Technology Facilities Council (STFC) [NE/T014164/1]; NERC [NE/V002554/1, NE/P01738X/1, NE/V00249X/1, NE/R016038/1, NE/P017185/2, NE/V002554/2, NE/P001556/1, NE/T000937/1, NE/N014480/1, NE/P017185/1]; STFC [ST/V006320/1]</t>
  </si>
  <si>
    <t>Science and Technology Facilities Council (STFC)(UK Research &amp; Innovation (UKRI)Science &amp; Technology Facilities Council (STFC)Science and Technology Development Fund (STDF)); NERC(UK Research &amp; Innovation (UKRI)Natural Environment Research Council (NERC)); STFC(UK Research &amp; Innovation (UKRI)Science &amp; Technology Facilities Council (STFC))</t>
  </si>
  <si>
    <t>The authors would like to thank the many individuals involved in the operation of SAMPEX over 20 yr. S. D. W. was supported by Science and Technology Facilities Council (STFC) studentship NE/T014164/1. C. F. was supported by NERC Independent Research Fellowship NE/N014480/1. C. F. and I. J. R. were supported by NERC Highlight Topic Grant NE/P017185/1 (Rad-Sat) and NERC SWIMMR Grant NE/V002554/1. N. P. M. was supported by NERC Highlight Topic Grant NE/P01738X/1 (Rad-Sat) and NERC grant NE/V00249X/1 (Sat-Risk) and NERC grant NE/R016038/1. I. J. R., J. K. S., and K. R. M. were supported by NERC grants NE/P017185/2 and NE/V002554/2 and STFC grant ST/V006320/1. M.-T. W. was funded by NERC (Project codes NE/P001556/1 and NE/T000937/1).</t>
  </si>
  <si>
    <t>e2021JA030069</t>
  </si>
  <si>
    <t>10.1029/2021JA030069</t>
  </si>
  <si>
    <t>0V1LE</t>
  </si>
  <si>
    <t>WOS:000788106000001</t>
  </si>
  <si>
    <t>Chaudhary, A; Mair, L; Strassburg, BBN; Brooks, TM; Menon, V; McGowan, PJK</t>
  </si>
  <si>
    <t>Chaudhary, Abhishek; Mair, Louise; Strassburg, Bernardo B. N.; Brooks, Thomas M.; Menon, Vivek; McGowan, Philip J. K.</t>
  </si>
  <si>
    <t>Subnational assessment of threats to Indian biodiversity and habitat restoration opportunities</t>
  </si>
  <si>
    <t>species extinctions; habitat restoration; biodiversity conservation; India; Sustainable Development Goals; subnational governments</t>
  </si>
  <si>
    <t>CONSERVATION; SUSTAINABILITY; AREAS</t>
  </si>
  <si>
    <t>The active involvement of subnational authorities, cities and local governments has been identified as one of the enabling conditions to implement the Convention on Biological Diversity's Post-2020 Global Biodiversity Framework and progress towards the United Nations' Sustainable Development Goal 15 (Life on Land). However, there has not been any systematic application of any biodiversity metric at the subnational level to identify where the main responsibilities and opportunities lie within a country. Here, we therefore apply the recently proposed species threat abatement and restoration (STAR) metric for amphibians, birds and terrestrial mammals in 36 states and 666 districts of India, one of 17 megadiverse countries. The STAR metric takes into account the endemicity and the scope and severity of all threats affecting each species' population hosted by the region and can quantify the potential contribution of threat mitigation and habitat restoration in a particular region towards global biodiversity goals. The larger the STAR metric score, the larger the contribution of a specified area for global species conservation. Out of 97 individual threats affecting species in India, we found that crop production is the major threat, contributing 44% of the total national STAR score followed by biological resource use such as hunting and logging (23%), and residential and commercial development (11%). Just seven out of 36 states and 66 out of 666 districts hosting high numbers of threatened and endemic species contribute 80% to the national STAR score. Importantly, the states and districts with most potential to contribute to threat abatement do not always overlap with those where habitat restoration will yield high benefits. Our analysis demonstrates the applicability and value of the STAR metric to subnational governments for biodiversity conservation elsewhere in the world.</t>
  </si>
  <si>
    <t>[Chaudhary, Abhishek] Indian Inst Technol IIT Kanpur, Dept Civil Engn, Kanpur 208016, Uttar Pradesh, India; [Mair, Louise; McGowan, Philip J. K.] Newcastle Univ, Sch Nat &amp; Environm Sci, Newcastle Upon Tyne NE1 7RU, Tyne &amp; Wear, England; [Strassburg, Bernardo B. N.] Pontificia Univ Catolica Rio de Janeiro, Dept Geog &amp; Environm, Rio Conservat &amp; Sustainabil Sci Ctr, Rio de Janeiro, Brazil; [Brooks, Thomas M.] Int Union Conservat Nat IUCN, Rue Mauverney 28, CH-1196 Gland, Switzerland; [Menon, Vivek] Wildlife Trust India, F-13,Sect 8, Noida 201301, India; [Brooks, Thomas M.] Univ Philippiness, World Agroforestry Ctr ICRAF, Los Banos, Philippines; [Brooks, Thomas M.] Univ Tasmania, Inst Marine &amp; Antarctic Studies, Hobart, Tas, Australia</t>
  </si>
  <si>
    <t>Indian Institute of Technology System (IIT System); Indian Institute of Technology (IIT) - Kanpur; Newcastle University - UK; Pontificia Universidade Catolica do Rio de Janeiro; CGIAR; World Agroforestry (ICRAF); University of Tasmania</t>
  </si>
  <si>
    <t>Chaudhary, A (corresponding author), Indian Inst Technol IIT Kanpur, Dept Civil Engn, Kanpur 208016, Uttar Pradesh, India.</t>
  </si>
  <si>
    <t>abhishekc@iitk.ac.in</t>
  </si>
  <si>
    <t>Mair, Louise/AAL-4986-2020</t>
  </si>
  <si>
    <t>Mair, Louise/0000-0002-7419-7200; Chaudhary, Abhishek/0000-0002-6602-7279; Brooks, Thomas/0000-0001-8159-3116; McGowan, Philip/0000-0001-8674-7444</t>
  </si>
  <si>
    <t>Initiation Grant of IIT Kanpur, India [2018386]; Conservation International GEF Project Agency - Newcastle University; IUCN</t>
  </si>
  <si>
    <t>Initiation Grant of IIT Kanpur, India; Conservation International GEF Project Agency - Newcastle University; IUCN</t>
  </si>
  <si>
    <t>A C acknowledges funding from the Initiation Grant of IIT Kanpur, India (Project Number 2018386). L M, T M B and P J K M acknowledge funding for the development of the STAR metric from the Luc Hoffmann Institute, Vulcan Inc., Synchronicity Earth and the Global Environment Facility, and support from the Conservation International GEF Project Agency. L M is funded by Newcastle University and IUCN. We acknowledge the help of N Sachan in plotting the figures.</t>
  </si>
  <si>
    <t>10.1088/1748-9326/ac5d99</t>
  </si>
  <si>
    <t>0U4TU</t>
  </si>
  <si>
    <t>WOS:000787645000001</t>
  </si>
  <si>
    <t>Mokhov, I. I.; Smirnov, D. A.</t>
  </si>
  <si>
    <t>Empirical Estimates of the Contribution of Greenhouse Gases and Natural Climatic Variability to Surface Air Temperature Trends for Various Latitudes</t>
  </si>
  <si>
    <t>DOKLADY EARTH SCIENCES</t>
  </si>
  <si>
    <t>modern climate changes; temperature trends; Atlantic Multidecadal Oscillation; El Nino-Southern Oscillation; Pacific Decadal Oscillation; Interdecadal Pacific Oscillation; Antarctic Oscillation; autoregressive models</t>
  </si>
  <si>
    <t>ATLANTIC MULTIDECADAL OSCILLATION; ANTHROPOGENIC FACTORS; ROBUSTNESS</t>
  </si>
  <si>
    <t>Quantitative estimates of the contribution of anthropogenic forcing, characterized by changes in the radiative forcing of greenhouse gases in the atmosphere, and key modes of natural climatic variability to the surface temperature trends in different latitudinal zones of the Northern (NH) and Southern Hemisphere (SH) for various time horizons have been obtained using observational data. In particular, using three-component autoregressive models and data since the 19th century, the role of the Atlantic Multidecadal Oscillation, the El-Nino/Southern Oscillation, the Pacific Decadal Oscillation, the Interdecadal Pacific Oscillation, and the Antarctic Oscillation in the formation of temperature trends was assessed. The results of the analysis indicate the significant role of changes in the radiative forcing of greenhouse gases in the atmosphere in the formation of the global surface air temperature trend, which increases with an increase in the time horizon. At the same time, significant differences were noted for the latitudinal zones of the SH and NH, associated with the influence of different modes of natural climatic variability. At weaker temperature trends in the SH latitudinal zones with greater ocean coverage than in the NH, negative trends in the surface air temperature on intervals of several decades against the general background of long-period global warming be and are manifested due to natural climate fluctuations. One of the key climatic problems of recent years is the mutually opposite trends in the extent of Antarctic and Arctic sea ice, which is associated with the noted global and regional features of the temperature variations.</t>
  </si>
  <si>
    <t>[Mokhov, I. I.; Smirnov, D. A.] Russian Acad Sci, Obukhov Inst Atmospher Phys, Fed State Inst Sci, Moscow 119017, Russia; [Mokhov, I. I.] Moscow MV Lomonosov State Univ, Moscow 119991, Russia; [Smirnov, D. A.] Russian Acad Sci, Inst Radioengn &amp; Elect, Saratov Branch, Saratov 410019, Russia</t>
  </si>
  <si>
    <t>Russian Academy of Sciences; Obukhov Institute of Atmospheric Physics of Russian Academy of Sciences; Lomonosov Moscow State University; Russian Academy of Sciences; Saratov Scientific Center of the Russian Academy of Sciences</t>
  </si>
  <si>
    <t>Mokhov, II (corresponding author), Russian Acad Sci, Obukhov Inst Atmospher Phys, Fed State Inst Sci, Moscow 119017, Russia.;Mokhov, II (corresponding author), Moscow MV Lomonosov State Univ, Moscow 119991, Russia.</t>
  </si>
  <si>
    <t>mokhov@ifaran.ru; smirnovda@yandex.ru</t>
  </si>
  <si>
    <t>Russian Science Foundation [19-17-00240]; Ministry of Science and Higher Education of the Russian Federation [075-152020-776]; Russian Science Foundation [19-17-00240] Funding Source: Russian Science Foundation</t>
  </si>
  <si>
    <t>Russian Science Foundation(Russian Science Foundation (RSF)); Ministry of Science and Higher Education of the Russian Federation; Russian Science Foundation(Russian Science Foundation (RSF))</t>
  </si>
  <si>
    <t>This work was supported by the Russian Science Foundation, project no. 19-17-00240, using the results on the peculiarities of climate variability in the middle and high latitudes of the Northern Hemisphere, obtained under an agreement with the Ministry of Science and Higher Education of the Russian Federation, Agreement no. 075-152020-776.</t>
  </si>
  <si>
    <t>1028-334X</t>
  </si>
  <si>
    <t>1531-8354</t>
  </si>
  <si>
    <t>DOKL EARTH SCI</t>
  </si>
  <si>
    <t>Dokl. Earth Sci.</t>
  </si>
  <si>
    <t>10.1134/S1028334X22030084</t>
  </si>
  <si>
    <t>0U0CI</t>
  </si>
  <si>
    <t>WOS:000787327300009</t>
  </si>
  <si>
    <t>Pearson, C; Sigl, M; Burke, A; Davies, S; Kurbatov, A; Severi, M; Cole-Dai, J; Innes, H; Albert, PG; Helmick, M</t>
  </si>
  <si>
    <t>Pearson, Charlotte; Sigl, Michael; Burke, Andrea; Davies, Siwan; Kurbatov, Andrei; Severi, Mirko; Cole-Dai, Jihong; Innes, Helen; Albert, Paul G.; Helmick, Meredith</t>
  </si>
  <si>
    <t>Geochemical ice-core constraints on the timing and climatic impact of Aniakchak II (1628 BCE) and Thera (Minoan) volcanic eruptions</t>
  </si>
  <si>
    <t>PNAS NEXUS</t>
  </si>
  <si>
    <t>ice cores; tephra; sulfate; volcanic forcing; tree-rings</t>
  </si>
  <si>
    <t>TREE-RINGS; HOLOCENE TEPHRA; SULFUR ISOTOPES; ARCTIC-OCEAN; WAIS DIVIDE; FROST RINGS; SANTORINI; AGE; CHRONOLOGY; PROJECT</t>
  </si>
  <si>
    <t>Decades of research have focused on establishing the exact year and climatic impact of the Minoan eruption of Thera, Greece (c.1680 to 1500 BCE). Ice cores offer key evidence to resolve this controversy, but attempts have been hampered by a lack of multivolcanic event synchronization between records. In this study, Antarctic and Greenland ice-core records are synchronized using a double bipolar sulfate marker, and calendar dates are assigned to each eruption revealed within the 'Thera period'. From this global-scale sequence of volcanic sulfate loading, we derive indications toward each eruption's latitude and potential to disrupt the climate system. Ultrafine sampling for sulfur isotopes and tephra conclusively demonstrate a colossal eruption of Alaska's Aniakchak II as the source of stratospheric sulfate in the now precisely dated 1628 BCE ice layer. These findings end decades of speculation that Thera was responsible for the 1628 BCE event, and place Aniakchak II (52 +/- 17 Tg S) and an unknown volcano at 1654 BCE (50 +/- 13 Tg S) as two of the largest Northern Hemisphere sulfur injections in the last 4,000 years. This opens possibilities to explore widespread climatic impacts for contemporary societies and, in pinpointing Aniakchak II, confirms that stratospheric sulfate can be globally distributed from eruptions outside the tropics. Dating options for Thera are reduced to a series of precisely dated, constrained stratospheric sulfur injection events at 1611 BCE, 1561/1558/1555BCE, and c.1538 BCE, which are all below 14 +/- 5 Tg S, indicating a climatic forcing potential for Thera well below that of Tambora (1815 CE).</t>
  </si>
  <si>
    <t>[Pearson, Charlotte] Univ Arizona, Lab Tree Ring Res, 1215 E Lowell St, Tucson, AZ 85721 USA; [Pearson, Charlotte] Univ Arizona, Geosci, 1040 E 4th St, Tucson, AZ 85721 USA; [Pearson, Charlotte] Univ Arizona, Anthropol, 1009 E South Campus, Tucson, AZ 85721 USA; [Sigl, Michael] Univ Bern, Oeschger Ctr Climate Change Res, Hsch str 4, CH-3012 Bern, Switzerland; [Sigl, Michael] Univ Bern, Climate &amp; Environm Phys, Sidlerstr 5, CH-3012 Bern, Switzerland; [Burke, Andrea; Innes, Helen] Univ St Andrews, Sch Earth &amp; Environm Sci, Queens Terrace, St Andrews KY16 9TS, Scotland; [Davies, Siwan; Albert, Paul G.] Swansea Univ, Dept Geog, Fac Sci &amp; Engn, Singleton Pk, Swansea SA2 8PP, W Glam, Wales; [Kurbatov, Andrei; Helmick, Meredith] Univ Maine, Climate Change Inst, Orono, ME 04469 USA; [Kurbatov, Andrei; Helmick, Meredith] Univ Maine, Sch Earth &amp; Climate Sci, 81 Main St, Orono, ME 04469 USA; [Severi, Mirko] Univ Florence, Dipartimento Chim Ugo Schiff, Via Lastruccia 3, Florence, Italy; [Cole-Dai, Jihong] South Dakota State Univ, Dept Chem &amp; Biochem, 1451 Stadium Rd, Brookings, SD 57007 USA</t>
  </si>
  <si>
    <t>University of Arizona; University of Arizona; University of Arizona; University of Bern; University of Bern; University of St Andrews; Swansea University; University of Maine System; University of Maine Orono; University of Maine System; University of Maine Orono; University of Florence; South Dakota State University</t>
  </si>
  <si>
    <t>Pearson, C (corresponding author), Univ Arizona, Lab Tree Ring Res, 1215 E Lowell St, Tucson, AZ 85721 USA.;Pearson, C (corresponding author), Univ Arizona, Geosci, 1040 E 4th St, Tucson, AZ 85721 USA.;Pearson, C (corresponding author), Univ Arizona, Anthropol, 1009 E South Campus, Tucson, AZ 85721 USA.</t>
  </si>
  <si>
    <t>c.pearson@ltrr.arizona.edu</t>
  </si>
  <si>
    <t>IPO, PAGES/JXY-7546-2024; Davies, Siwan/E-6915-2011; Severi, Mirko/J-2508-2012</t>
  </si>
  <si>
    <t>Davies, Siwan/0000-0003-0999-7233; Sigl, Michael/0000-0002-9028-9703; Pearson, Charlotte/0000-0002-3594-3194; Burke, Andrea/0000-0002-3754-1498; Kurbatov, Andrei/0000-0002-9819-9251; Severi, Mirko/0000-0003-1511-6762</t>
  </si>
  <si>
    <t>European Research Council (ERC) under the European Union [820047]; Malcolm H. Wiener Foundation (Interdisciplinary Chronology of Civilizations Project); UKRI Future Leader Fellowship [MR/S035478/1]</t>
  </si>
  <si>
    <t>European Research Council (ERC) under the European Union(European Research Council (ERC)); Malcolm H. Wiener Foundation (Interdisciplinary Chronology of Civilizations Project); UKRI Future Leader Fellowship(UK Research &amp; Innovation (UKRI))</t>
  </si>
  <si>
    <t>This work was supported by funding from the European Research Council (ERC) under the European Union's Horizon 2020 research and innovation programme (grant agreement 820047 to M.Si.), the Malcolm H. Wiener Foundation (Interdisciplinary Chronology of Civilizations Project to C.P.), and a UKRI Future Leader Fellowship (MR/S035478/1 to P.A).</t>
  </si>
  <si>
    <t>2752-6542</t>
  </si>
  <si>
    <t>PNAS Nexus</t>
  </si>
  <si>
    <t>pgac048</t>
  </si>
  <si>
    <t>10.1093/pnasnexus/pgac048</t>
  </si>
  <si>
    <t>Multidisciplinary Sciences; Social Sciences, Interdisciplinary</t>
  </si>
  <si>
    <t>Science &amp; Technology - Other Topics; Social Sciences - Other Topics</t>
  </si>
  <si>
    <t>R3KW2</t>
  </si>
  <si>
    <t>Green Accepted, gold, Green Published, Green Submitted</t>
  </si>
  <si>
    <t>WOS:001063384200022</t>
  </si>
  <si>
    <t>Caruso, G; Bergami, E; Singh, N; Corsi, I</t>
  </si>
  <si>
    <t>Caruso, Gabriella; Bergami, Elisa; Singh, Neelu; Corsi, Ilaria</t>
  </si>
  <si>
    <t>Plastic occurrence, sources, and impacts in Antarctic environment and biota</t>
  </si>
  <si>
    <t>WATER BIOLOGY AND SECURITY</t>
  </si>
  <si>
    <t>Anthropogenic impact; Contamination; Microplastics; Southern ocean; Antarctica; Occurrence; Sources; Ecotoxicity; Colonization; Biosecurity</t>
  </si>
  <si>
    <t>FUR SEALS; ORGANIC CONTAMINANTS; SOUTHERN-HEMISPHERE; FILDES PENINSULA; ROSS SEA; MICROPLASTICS; ISLAND; ACCUMULATION; INGESTION; PARTICLES</t>
  </si>
  <si>
    <t>Several studies have documented that plastic pollution is affecting one of the most remote and pristine regions of our planet, Antarctica. Plastics of different size and polymeric composition have been retrieved in Antarctic sea ice, surface waters and sediments, with microplastics (mostly fibers) found both in terrestrial and marine organisms. Such evidence raises concerns about potential detrimental effects on biodiversity and ecosystem functions. The present review aims to report the most up-to-date knowledge on occurrence and distribution of plastic pollution in the Antarctic environment and biota including interaction with microorganisms, potential sources, and its impact on Antarctic biota. Our understanding of plastic pollution in this polar region will help us define the human footprint in Antarctica and predict future ecological risks.</t>
  </si>
  <si>
    <t>[Caruso, Gabriella] Inst Polar Sci, Natl Res Council, Messina, Italy; [Bergami, Elisa] NERC, British Antarctic Survey, High Cross,Madingley Rd, Cambridge CB3 0ET, England; [Bergami, Elisa] Univ Modena &amp; Reggio Emilia, Dept Life Sci, Modena, Italy; [Singh, Neelu] Norwegian Polar Res Inst, Longyearbyen, Norway; [Corsi, Ilaria] Univ Siena, Dept Phys Earth &amp; Environm Sci, I-53100 Siena, Italy</t>
  </si>
  <si>
    <t>UK Research &amp; Innovation (UKRI); Natural Environment Research Council (NERC); NERC British Antarctic Survey; Universita di Modena e Reggio Emilia; Norwegian Polar Institute; University of Siena</t>
  </si>
  <si>
    <t>Caruso, G (corresponding author), Inst Polar Sci, Natl Res Council, Messina, Italy.</t>
  </si>
  <si>
    <t>gabriella.caruso@cnr.it; elisa.bergami@unimore.it; neelu.singh0387@gmail.com; ilaria.corsi@unisi.it</t>
  </si>
  <si>
    <t>Caruso, Gabriella/F-5450-2013; Corsi, Ilaria/D-3795-2012</t>
  </si>
  <si>
    <t>Caruso, Gabriella/0000-0002-3819-5486; Corsi, Ilaria/0000-0002-1811-3041; Bergami, Elisa/0000-0001-8149-9584</t>
  </si>
  <si>
    <t>2772-7351</t>
  </si>
  <si>
    <t>WATER BIOL SECUR</t>
  </si>
  <si>
    <t>Water Biol. Secur.</t>
  </si>
  <si>
    <t>10.1016/j.watbs.2022.100034</t>
  </si>
  <si>
    <t>Environmental Sciences; Fisheries; Marine &amp; Freshwater Biology</t>
  </si>
  <si>
    <t>Environmental Sciences &amp; Ecology; Fisheries; Marine &amp; Freshwater Biology</t>
  </si>
  <si>
    <t>DC7F5</t>
  </si>
  <si>
    <t>WOS:001129891400001</t>
  </si>
  <si>
    <t>Jia, RN; Huang, SJ; Zhai, WY; Jiang, SW; Li, WH; Wang, FX; Xu, QH</t>
  </si>
  <si>
    <t>Jia, Ruonan; Huang, Shaojun; Zhai, Wanying; Jiang, Shouwen; Li, Wenhao; Wang, Faxiang; Xu, Qianghua</t>
  </si>
  <si>
    <t>Comparative proteomic analysis of head kidney among three Antarctic fishes</t>
  </si>
  <si>
    <t>Antarctic icefish; Erythropoiesis; Hematopoiesis; Head kidney; Immunity</t>
  </si>
  <si>
    <t>ATLANTIC SALMON; IMMUNE-RESPONSE; B-CELLS; CD9; CLONING; ERYTHROPOIESIS; GLYCOPROTEIN; ANTIFREEZE; BERNACCHII; MARKER</t>
  </si>
  <si>
    <t>Antarctic icefish is the only known vertebrate species that lacks oxygen-carrying hemoglobin and functional erythrocytes. To reveal the unique hematopoietic process of icefish, we used an integrated approach including tandem mass tag (TMT) labeling and liquid chromatography-tandem mass spectrometry (LC-MS/MS) to quantify the dynamic changes in the head kidney whole proteome of a white-blooded icefish, Chionodraco hamatus, compared to those in two other red-blooded Antarctic fish, Trematomus bernacchii and Notothenia coriiceps. Of the 4672 identified proteins, in the Antarctic icefish head kidney, 123 proteins were significantly upregulated and 95 proteins were downregulated. The functional grouping of differentially expressed proteins (DEPs) based on KEGG pathway analysis shows that white blood fish and red blood fish have significant differences in erythropoiesis, heme biogenesis, leucocyte and platelet cell development. The proteins involved in the hematopoietic process in icefish showed a clear trend of downregulation of erythroid lineage marker proteins (beta-Spectrin, hemoglobin, CTCF and tfr1a) and upregulation of lymphoid and megakaryocytic lineage marker proteins, including CD9, ITGB2, and mTOR, which suggests a shift in hematopoiesis in the icefish head kidney due to the loss of erythrocytes. Moreover, western blotting analysis showed that a significantly down expression level of CTCF protein was detected in the icefish head kidney, which was in line with the proteomics data. The results of the present study not only provide basic datasets for the head kidney proteins of Antarctic fishes, but also provide important references for studies on immunity and hematopoiesis in various species.</t>
  </si>
  <si>
    <t>[Jia, Ruonan; Huang, Shaojun; Wang, Faxiang; Xu, Qianghua] Shanghai Ocean Univ, Coll Marine Sci, Key Lab Sustainable Exploitat Ocean Fisheries Res, Minist Educ, 999 Huchenghuan Rd, Shanghai 201306, Peoples R China; [Zhai, Wanying; Jiang, Shouwen; Li, Wenhao] Shanghai Ocean Univ, Coll Fisheries &amp; Life Sci, Key Lab Aquaculture Resources &amp; Utilizat, Minist Educ, Shanghai, Peoples R China; [Xu, Qianghua] Shanghai Ocean Univ, Natl Distant Water Fisheries Engn Res Ctr, Shanghai 201306, Peoples R China; [Xu, Qianghua] Collaborat Innovat Ctr Distant Water Fisheries, Shanghai, Peoples R China</t>
  </si>
  <si>
    <t>Shanghai Ocean University; Shanghai Ocean University; Shanghai Ocean University</t>
  </si>
  <si>
    <t>Xu, QH (corresponding author), Shanghai Ocean Univ, Coll Marine Sci, Key Lab Sustainable Exploitat Ocean Fisheries Res, Minist Educ, 999 Huchenghuan Rd, Shanghai 201306, Peoples R China.;Xu, QH (corresponding author), Shanghai Ocean Univ, Natl Distant Water Fisheries Engn Res Ctr, Shanghai 201306, Peoples R China.;Xu, QH (corresponding author), Collaborat Innovat Ctr Distant Water Fisheries, Shanghai, Peoples R China.</t>
  </si>
  <si>
    <t>qhxu@shou.edu.cn</t>
  </si>
  <si>
    <t>Funding Project of the National Key Research and Development Program of China [2018YFD0900601]; Natural Science Foundation of China [41761134050, 31572598, 31772826]; Shanghai Education Committee [2017-01-07-00-10-E00060]</t>
  </si>
  <si>
    <t>Funding Project of the National Key Research and Development Program of China; Natural Science Foundation of China(National Natural Science Foundation of China (NSFC)); Shanghai Education Committee</t>
  </si>
  <si>
    <t>This work was supported in part by the Funding Project of the National Key Research and Development Program of China (2018YFD0900601), the Natural Science Foundation of China (No. 41761134050, 31572598, 31772826) and the Major Science Innovation Grant from the Shanghai Education Committee (2017-01-07-00-10-E00060).</t>
  </si>
  <si>
    <t>10.1007/s00227-022-04043-w</t>
  </si>
  <si>
    <t>0K6PM</t>
  </si>
  <si>
    <t>WOS:000780912700001</t>
  </si>
  <si>
    <t>Goncalves, R; Gesto, M; Rodríguez, C; Reis, DB; Pérez, JA; Lund, I</t>
  </si>
  <si>
    <t>Goncalves, Renata; Gesto, Manuel; Rodriguez, Covadonga; Reis, Diana B.; Perez, Jose A.; Lund, Ivar</t>
  </si>
  <si>
    <t>Ontogenetic changes in digestive enzyme activity and biochemical indices of larval and postlarval European lobster (Homarus gammarus, L)</t>
  </si>
  <si>
    <t>Trypsin; Amylase; Lipase; Protein; Carbohydrate; Lipid; Cholesterol; Phospholipids; Larvae; Postlarvae</t>
  </si>
  <si>
    <t>PANULIRUS-ARGUS LATREILLE; JUVENILE SPINY LOBSTERS; AMERICAN LOBSTER; LIPID-COMPOSITION; CARBOHYDRATE DIGESTION; PROTEINASE ACTIVITY; JASUS-EDWARDSII; DECAPODA; SHRIMP; GROWTH</t>
  </si>
  <si>
    <t>The currently limited knowledge on the nutritional requirements of the European lobster (Homarus gammarus) remains a major obstacle to the improvement of growth and survival rates in lobster farming. Therefore, digestive enzyme activity (trypsin, lipase, and amylase) and biochemical indices (RNA:DNA, proximate and lipid class composition) of larval (I-III) and postlarval (IV) stages of H. gammarus fed Antarctic hill (Euphausia superba) were determined to identify ontogenetic changes in digestive capacity and hence potential nutritional requirements. Activity of the three digestive enzymes was detected in all developmental stages examined, suggesting that H. gammarus is capable of exploiting a varied diet from stage I onwards. Amylase activity increased significantly in postlarvae denoting a shift towards a diet richer in carbohydrates after metamorphosis. Lipase activity increased progressively during the three larval stages but not further, pointing to a higher relevance of dietary lipids before metamorphosis. The decrease from 32 to 24% DM of protein in postlarvae was partially compensated by an increase in ash (from 21 to 29% DM), reflecting the increased contribution of the exoskeleton to their total body mass. Phosphatidylcholine (similar to 20% total lipids), phosphatidylethanolamine (similar to 14% total lipids), and cholesterol (20% total lipids) were the most abundant lipid classes in the body composition of H. gammarus early stages, implying high dietary requirements for these compounds. The results presented here provide new insights into the metabolism and nutritional requirements of H. gammarus early stages, highlighting the importance of lipids during larval development and the increased relative importance of carbohydrates after metamorphosis.</t>
  </si>
  <si>
    <t>[Goncalves, Renata; Gesto, Manuel; Lund, Ivar] Tech Univ Denmark, North Sea Res Ctr, Sect Aquaculture, DTU Aqua, DK-9850 Hirtshals, Denmark; [Rodriguez, Covadonga; Reis, Diana B.; Perez, Jose A.] Univ La Laguna, Dept Biol Anim Edafol &amp; Geol, San Cristobal De La Lagu 38206, Spain</t>
  </si>
  <si>
    <t>Technical University of Denmark; Universidad de la Laguna</t>
  </si>
  <si>
    <t>Goncalves, R (corresponding author), Tech Univ Denmark, North Sea Res Ctr, Sect Aquaculture, DTU Aqua, DK-9850 Hirtshals, Denmark.</t>
  </si>
  <si>
    <t>rego@aqua.dtu.dk</t>
  </si>
  <si>
    <t>Goncalves, Renata/ABR-0469-2022; Perez Abuin, Jose Antonio/HKW-0349-2023; Pérez Pérez, José Antonio/L-4293-2014; Gesto, Manuel/G-1032-2018; lund, ivar/W-4180-2019; González, Covadonga Rodríguez/L-5173-2014; REIS, DIANA/ABG-8869-2020</t>
  </si>
  <si>
    <t>Pérez Pérez, José Antonio/0000-0002-5662-7246; Gesto, Manuel/0000-0002-9136-7857; González, Covadonga Rodríguez/0000-0002-2805-0048; REIS, DIANA/0000-0002-1373-4818; Lund, Ivar/0000-0003-2419-2185; Goncalves, Renata/0000-0003-4163-9479</t>
  </si>
  <si>
    <t>local fisheries action group (FiskeriLAG NORD, Denmark); ENV Foundation (Nord Energi, Denmark); Ph.D. school at DTU Aqua; ERASMUS + mobility training grant</t>
  </si>
  <si>
    <t>This study was partially financed by a local fisheries action group (FiskeriLAG NORD, Denmark) and the ENV Foundation (Nord Energi, Denmark) with support from the Ph.D. school at DTU Aqua. The collaboration with the University of La Laguna (ULL) was partially funded by an ERASMUS + mobility training grant awarded to Renata Goncalves.</t>
  </si>
  <si>
    <t>10.1007/s00227-022-04034-x</t>
  </si>
  <si>
    <t>0D7QA</t>
  </si>
  <si>
    <t>WOS:000776184200001</t>
  </si>
  <si>
    <t>Duncan, S; Estrada-Rodriguez, G; Stocek, J; Dragone, M; Vargas, PA; Gimperlein, H</t>
  </si>
  <si>
    <t>Duncan, S.; Estrada-Rodriguez, G.; Stocek, J.; Dragone, M.; Vargas, P. A.; Gimperlein, H.</t>
  </si>
  <si>
    <t>Efficient quantitative assessment of robot swarms: coverage and targeting Levy strategies</t>
  </si>
  <si>
    <t>BIOINSPIRATION &amp; BIOMIMETICS</t>
  </si>
  <si>
    <t>swarm robotics; multi-agent systems; diffusion equation; optimization; coverage; target search; Levy walks</t>
  </si>
  <si>
    <t>RANDOM-WALK MODELS; TRANSPORT-EQUATIONS; CONTINUUM-LIMIT; SEARCH; OPTIMIZATION; DIFFUSION; PARTICLE; BEHAVIOR</t>
  </si>
  <si>
    <t>Biologically inspired strategies have long been adapted to swarm robotic systems, including biased random walks, reaction to chemotactic cues and long-range coordination. In this paper we apply analysis tools developed for modeling biological systems, such as continuum descriptions, to the efficient quantitative characterization of robot swarms. As an illustration, both Brownian and Levy strategies with a characteristic long-range movement are discussed. As a result we obtain computationally fast methods for the optimization of robot movement laws to achieve a prescribed collective behavior. We show how to compute performance metrics like coverage and hitting times, and illustrate the accuracy and efficiency of our approach for area coverage and search problems. Comparisons between the continuum model and robotic simulations confirm the quantitative agreement and speed up by a factor of over 100 of our approach. Results confirm and quantify the advantage of Levy strategies over Brownian motion for search and area coverage problems in swarm robotics.</t>
  </si>
  <si>
    <t>[Duncan, S.; Dragone, M.; Vargas, P. A.] Heriot Watt Univ, Robot Lab, Edinburgh Ctr Robot, Sch Math &amp; Comp Sci,Sch Engn &amp; Phys Sci, Edinburgh EH14 4AS, Midlothian, Scotland; [Estrada-Rodriguez, G.] Univ Politecn Cataluna, Dept Math, Jordi Girona 1-3, Barcelona 08034, Spain; [Stocek, J.] British Antarctic Survey, Madingley Rd, Cambridge CB3 0ET, England; [Gimperlein, H.] Leopold Franzens Univ Innsbruck, Engn Math, A-6020 Innsbruck, Austria</t>
  </si>
  <si>
    <t>Heriot Watt University; Universitat Politecnica de Catalunya; UK Research &amp; Innovation (UKRI); Natural Environment Research Council (NERC); NERC British Antarctic Survey; University of Innsbruck</t>
  </si>
  <si>
    <t>Stocek, J (corresponding author), British Antarctic Survey, Madingley Rd, Cambridge CB3 0ET, England.</t>
  </si>
  <si>
    <t>sd246@hw.ac.uk; gissell.estrada@upc.edu; jaksto@bas.ac.uk; m.dragone@hw.ac.uk; p.a.vargas@hw.ac.uk; Heiko.Gimperlein@uibk.ac.at</t>
  </si>
  <si>
    <t>Gimperlein, Heiko/ABH-6499-2020; Vargas, Pablo Agustin/AGB-6976-2022</t>
  </si>
  <si>
    <t>Gimperlein, Heiko/0000-0003-3145-3021; Vargas, Pablo Agustin/0000-0003-1840-4911; Vargas, Patricia A./0000-0002-3272-2521; Stocek, Jakub/0000-0003-2749-3194; Estrada-Rodriguez, Gissell/0000-0001-6202-9384; Dragone, Mauro/0000-0001-9013-2100</t>
  </si>
  <si>
    <t>ERC Advanced Grant [HARG 268105]; Maxwell Institute Graduate School in Analysis and its Applications - UK Engineering and Physical Sciences Research Council [EP/L016508/01]; Scottish Funding Council; University of Edinburgh; Heriot-Watt University; EPSRC [EP/J015040/1] Funding Source: UKRI</t>
  </si>
  <si>
    <t>ERC Advanced Grant(European Research Council (ERC)); Maxwell Institute Graduate School in Analysis and its Applications - UK Engineering and Physical Sciences Research Council; Scottish Funding Council; University of Edinburgh; Heriot-Watt University; EPSRC(UK Research &amp; Innovation (UKRI)Engineering &amp; Physical Sciences Research Council (EPSRC))</t>
  </si>
  <si>
    <t>The authors would like to thank J A Carrillo, K J Painter and H Sardinha for fruitful discussions and H Fraser and M A Campbell for technical assistance. HG acknowledges support by ERC Advanced Grant HARG 268105. GER and JS were supported by The Maxwell Institute Graduate School in Analysis and its Applications, a Centre for Doctoral Training funded by the UK Engineering and Physical Sciences Research Council (Grant EP/L016508/01), the Scottish Funding Council, Heriot-Watt University and the University of Edinburgh.</t>
  </si>
  <si>
    <t>1748-3182</t>
  </si>
  <si>
    <t>1748-3190</t>
  </si>
  <si>
    <t>BIOINSPIR BIOMIM</t>
  </si>
  <si>
    <t>Bioinspir. Biomim.</t>
  </si>
  <si>
    <t>10.1088/1748-3190/ac57f0</t>
  </si>
  <si>
    <t>Engineering, Multidisciplinary; Materials Science, Biomaterials; Robotics</t>
  </si>
  <si>
    <t>Engineering; Materials Science; Robotics</t>
  </si>
  <si>
    <t>0D2LZ</t>
  </si>
  <si>
    <t>Green Published, Green Submitted</t>
  </si>
  <si>
    <t>WOS:000775833600001</t>
  </si>
  <si>
    <t>Feckan, M; Wang, JR; Zhang, WL</t>
  </si>
  <si>
    <t>Feckan, Michal; Wang, Jinrong; Zhang, Wenlin</t>
  </si>
  <si>
    <t>EXISTENCE OF SOLUTIONS FOR NONLINEAR ELLIPTIC EQUATIONS MODELING THE STEADY FLOW OF THE ANTARCTIC CIRCUMPOLAR CURRENT</t>
  </si>
  <si>
    <t>DIFFERENTIAL AND INTEGRAL EQUATIONS</t>
  </si>
  <si>
    <t>PURELY AZIMUTHAL FLOW; DIFFERENTIAL-EQUATION; WAVES</t>
  </si>
  <si>
    <t>In this paper, we study the steady and purely azimuthal flow model representing the Antarctic Circumpolar Current, which is described as a semi-linear elliptic equation. By means of the Mercator projection, the mathematical model is transferred into a second order elliptic equation. We give sufficient conditions to guarantee the existence of solutions for this second elliptic equation with two forms of nonlinear ocean vorticity term.</t>
  </si>
  <si>
    <t>[Feckan, Michal] Comenius Univ, Fac Math Phys &amp; Informat, Dept Math Anal &amp; Numer Math, Bratislava 84248, Slovakia; [Wang, Jinrong; Zhang, Wenlin] Guizhou Univ, Dept Math, Guiyang 550025, Guizhou, Peoples R China; [Feckan, Michal] Slovak Acad Sci, Math Inst, Srefanikova 49, Bratislava 81473, Slovakia; [Zhang, Wenlin] Liupanshui Normal Univ, Sch Math &amp; Stat, Liupanshui 553004, Guizhou, Peoples R China</t>
  </si>
  <si>
    <t>Comenius University Bratislava; Guizhou University; Slovak Academy of Sciences; Mathematical Institute, SAS</t>
  </si>
  <si>
    <t>Wang, JR (corresponding author), Guizhou Univ, Dept Math, Guiyang 550025, Guizhou, Peoples R China.</t>
  </si>
  <si>
    <t>jrwang@gzu.edu.cn</t>
  </si>
  <si>
    <t>Wang, JinRong/O-5745-2017; Fečkan, Michal/T-4397-2018</t>
  </si>
  <si>
    <t>Fečkan, Michal/0000-0002-7385-6737</t>
  </si>
  <si>
    <t>National Natural Science Foundation of China [12161015]; Training Object of High Level and Innovative Talents of Guizhou Province [(2016)4006]; Guizhou Data Driven Modeling Learning and Optimization Innovation Team [[2020]5016]; Slovak Research and Development Agency [APVV-18-0308]; Slovak Grant Agency VEGA [1/0358/20, 2/0127/20]</t>
  </si>
  <si>
    <t>National Natural Science Foundation of China(National Natural Science Foundation of China (NSFC)); Training Object of High Level and Innovative Talents of Guizhou Province; Guizhou Data Driven Modeling Learning and Optimization Innovation Team; Slovak Research and Development Agency(Slovak Research and Development Agency); Slovak Grant Agency VEGA(Vedecka grantova agentura MSVVaS SR a SAV (VEGA))</t>
  </si>
  <si>
    <t>This work is partially supported by the National Natural Science Foundation of China (12161015), Training Object of High Level and Innovative Talents of Guizhou Province ((2016)4006), Guizhou Data Driven Modeling Learning and Optimization Innovation Team ([2020]5016), the Slovak Research and Development Agency under the contract No. APVV-18-0308, and the Slovak Grant Agency VEGA No. 1/0358/20 and No. 2/0127/20. The authors are grateful to the referees for their careful reading of the manuscript and their valuable comments.</t>
  </si>
  <si>
    <t>KHAYYAM PUBL CO INC</t>
  </si>
  <si>
    <t>ATHENS</t>
  </si>
  <si>
    <t>PO BOX 429, ATHENS, OH 45701 USA</t>
  </si>
  <si>
    <t>0893-4983</t>
  </si>
  <si>
    <t>DIFFER INTEGRAL EQU</t>
  </si>
  <si>
    <t>Differ. Integral Equ.</t>
  </si>
  <si>
    <t>5-6</t>
  </si>
  <si>
    <t>Mathematics, Applied; Mathematics</t>
  </si>
  <si>
    <t>Mathematics</t>
  </si>
  <si>
    <t>ZR8OG</t>
  </si>
  <si>
    <t>WOS:000768036500001</t>
  </si>
  <si>
    <t>Beltrán-Sanz, N; Raggio, J; Gonzalez, S; Dal Grande, F; Prost, S; Green, A; Pintado, A; Sancho, LG</t>
  </si>
  <si>
    <t>Beltran-Sanz, Nuria; Raggio, Jose; Gonzalez, Sergi; Dal Grande, Francesco; Prost, Stefan; Green, Allan; Pintado, Ana; Garcia Sancho, Leopoldo</t>
  </si>
  <si>
    <t>Climate change leads to higher NPP at the end of the century in the Antarctic Tundra: Response patterns through the lens of lichens</t>
  </si>
  <si>
    <t>Net primary photosynthesis (NPP); Metabolic activity; Macroclimate; Microclimate; Model for Interdisciplinary Research on Climate 5 (MIROC5); Cryptogam; Poikilohydric autunophs; Symbiosis</t>
  </si>
  <si>
    <t>CHLOROPHYLL FLUORESCENCE; TEMPORAL VARIABILITY; CO2 CONCENTRATION; WATER RELATIONS; GLOBAL CHANGE; TEMPERATURE; PHOTOSYNTHESIS; EXCHANGE; PLANTS; ENVIRONMENT</t>
  </si>
  <si>
    <t>Poikilohydric autotrophs are the main colonizers of the permanent ice-free areas in the Antarctic tundra biome. Global climate warming and the small human footprint in this ecosystem make it especially vulnerable to abrupt changes. Elucidating the effects of climate change on the Antarctic ecosystem is challenging because it mainly comprises poikilohydric species, which are greatly influenced by microtopographic factors. In the present study, we investigated the potential effects of climate change on the metabolic activity and net primary photosynthesis (NPP) in the widespread lichen species Usnea catrantiaco-atra. Long-term monitoring of chlorophyll a fluorescence in the field was combined with photosynthetic performance measurements in laboratory experiments in order to establish the daily response patterns under biotic and abiotic factors at micro- and macro-scales. Our findings suggest that macroclimate is a poor predictor of NPP, thereby indicating that microclimate is the main driver due to the strong effects of microtopographic factors on cryptogams. Metabolic activity is also crucial for estimating the NPP, which is highly dependent on the type, distribution, and duration of the hydration sources available throughout the year. Under RCP 4.5 and RCP 8.5, metabolic activity will increase slightly compared with that at present due to the increased precipitation events predicted in MIROC5. Temperature is highlighted as the main driver for NPP projections, and thus climate warming will lead to an average increase in NPP of 167-171% at the end of the century. However, small changes in other drivers such as light and relative humidity may strongly modify the metabolic activity patterns of poikilohydric autotrophs, and thus their NPP. Species with similar physiological response ranges to the species investigated in the present study arc expected to behave in a similar manner provided that liquid water is available.</t>
  </si>
  <si>
    <t>[Beltran-Sanz, Nuria; Raggio, Jose; Green, Allan; Pintado, Ana; Garcia Sancho, Leopoldo] Univ Complutense Madrid, Fac Farm, Dept Biol Vegetal 2, Madrid 28040, Spain; [Gonzalez, Sergi] Spanish Meteorol Serv AEMET, Antarctic Grp, Madrid, Spain; [Dal Grande, Francesco] Senckenberg Gesell Nat Forsch, Senckenberg Biodivers &amp; Climate Res Ctr SBiK F, Senckenberganlage 25, D-60325 Frankfurt, Germany; [Prost, Stefan] Univ Vienna, Dept Behav &amp; Cognit Biol, Althanstr 14, A-1090 Vienna, Austria; [Prost, Stefan] Univ Vet Med, Konrad Lorenz Inst Ethol, Savoyenstr 1a, A-1160 Vienna, Austria; [Prost, Stefan] Nat Hist Museum Vienna, Cent Res Labs, Burgring 7, A-1010 Vienna, Austria; [Prost, Stefan] South African Natl Biodivers Inst, POB 754, ZA-0001 Pretoria, South Africa</t>
  </si>
  <si>
    <t>Complutense University of Madrid; Agencia Estatal de Meteorologia (AEMET); Senckenberg Biodiversitat &amp; Klima- Forschungszentrum (BiK-F); Senckenberg Gesellschaft fur Naturforschung (SGN); University of Vienna; University of Veterinary Medicine Vienna; South African National Biodiversity Institute</t>
  </si>
  <si>
    <t>Beltrán-Sanz, N (corresponding author), Univ Complutense Madrid, Fac Farm, Dept Biol Vegetal 2, Madrid 28040, Spain.</t>
  </si>
  <si>
    <t>nbeltran@ucm.es</t>
  </si>
  <si>
    <t>Raggio, Jose/H-4167-2015; Gonzalez-Herrero, Sergi/Y-7279-2018; SANCHO, LEOPOLDO G/G-9120-2015; Dal Grande, Francesco/K-1914-2016</t>
  </si>
  <si>
    <t>Gonzalez-Herrero, Sergi/0000-0002-2505-2435; Dal Grande, Francesco/0000-0002-1865-6281; Prost, Stefan/0000-0002-6229-3596</t>
  </si>
  <si>
    <t>Spanish Ministry of Economy and Competitiveness [CIM2015-64728-C2-1-R, PID2019-105469RB-C21]</t>
  </si>
  <si>
    <t>Spanish Ministry of Economy and Competitiveness(Spanish Government)</t>
  </si>
  <si>
    <t>This study was financed by grant CIM2015-64728-C2-1-R and PID2019-105469RB-C21 from the Spanish Ministry of Economy and Com-petitiveness. The authors would like to thank to the Spanish Polar Commit-tee and to the Marine Technology Unit UTM of CSIC which provided necessary logistics for field work in Antarctica.</t>
  </si>
  <si>
    <t>10.1016/j.scitotenv.2022.155495</t>
  </si>
  <si>
    <t>APR 2022</t>
  </si>
  <si>
    <t>3I9AU</t>
  </si>
  <si>
    <t>Green Published, hybrid, Green Accepted</t>
  </si>
  <si>
    <t>WOS:000833000700012</t>
  </si>
  <si>
    <t>Mrakic-Sposta, S; Montorsi, M; Porcelli, S; Marzorati, M; Healey, B; Dellanoce, C; Vezzoli, A</t>
  </si>
  <si>
    <t>Mrakic-Sposta, Simona; Montorsi, Michela; Porcelli, Simone; Marzorati, Mauro; Healey, Beth; Dellanoce, Cinzia; Vezzoli, Alessandra</t>
  </si>
  <si>
    <t>Effects of Prolonged Exposure to Hypobaric Hypoxia on Oxidative Stress: Overwintering in Antarctic Concordia Station</t>
  </si>
  <si>
    <t>OXIDATIVE MEDICINE AND CELLULAR LONGEVITY</t>
  </si>
  <si>
    <t>RED-BLOOD-CELLS; NITRIC-OXIDE SYNTHASE; HIGH-ALTITUDE; REACTIVE OXYGEN; S-NITROSOHEMOGLOBIN; FLOW REGULATION; ACCLIMATIZATION; INTERLEUKIN-6; HOMOCYSTEINE; ERYTHROCYTE</t>
  </si>
  <si>
    <t>Concordia Station is the permanent, research station on the Antarctic Plateau at 3230 m. During the eleventh winter-over campaign (DC11-2015; February 2015 to November 2015) at Antarctic Concordia Station, 13 healthy team members were studied and blood samples were collected at six different time points: baseline measurements (T0), performed at sea level before the departure, and during the campaign at 3, 7, 20, 90, and 300 days after arrival at Concordia Station. Reducing the partial pressure of O-2 as barometric pressure falls, hypobaric hypoxia (HH) triggers several physiological adaptations. Among the others, increased oxidative stress and enhanced generation of reactive oxygen/nitrogen species (ROS/RNS), resulting in severe oxidative damage, were observed, which can share potential physiopathological mechanisms associated with many diseases. This study characterized the extent and time-course changes after acute and chronic HH exposure, elucidating possible fundamental mechanisms of adaptation. ROS, oxidative stress biomarkers, nitric oxide, and proinflammatory cytokines significantly increased (range 24-135%) during acute and chronic hypoxia exposure (peak 20(th) day) with a decrease in antioxidant capacity (peak 90(th) day: -52%). Results suggest that the adaptive response of oxidative stress balance to HH requires a relatively long time, more than 300(th) days, as all the observed variables do not return to the preexposition level. These findings may also be relevant to patients in whom oxygen availability is limited through disease (i.e., chronic heart and lung and/or kidney disease) and/or during long-duration space missions.</t>
  </si>
  <si>
    <t>[Mrakic-Sposta, Simona; Dellanoce, Cinzia; Vezzoli, Alessandra] Natl Res Council CNR, Inst Clin Physiol Milan, Milan, Italy; [Montorsi, Michela] San Raffaele Roma Open Univ, Dept Human Sci &amp; Promot Qual Life, Milan, Italy; [Porcelli, Simone; Marzorati, Mauro] Inst Biomed Technol, Natl Res Council CNR, Segrate, Milano, Italy; [Porcelli, Simone] Univ Pavia, Dept Mol Med, Pavia, Italy; [Healey, Beth] European Space Agcy, Biomed Res, Concordia, PQ, Canada</t>
  </si>
  <si>
    <t>Consiglio Nazionale delle Ricerche (CNR); Istituto di Tecnologie Biomediche (ITB-CNR); University of Pavia</t>
  </si>
  <si>
    <t>Mrakic-Sposta, S (corresponding author), Natl Res Council CNR, Inst Clin Physiol Milan, Milan, Italy.</t>
  </si>
  <si>
    <t>simona.mrakicsposta@cnr.it; michela.montorsi@uniroma5.it; simone.porcelli@itb.cnr.it; mauro.marzorati@itb.cnr.it; bethahealey@gmail.com; cinzia.dellanoce@ifc.cnr.it; alessandra.vezzoli@cnr.it</t>
  </si>
  <si>
    <t>Montorsi, Michela/K-7299-2016; Marzorati, Mauro/H-9377-2019; Mrakic-Sposta, Simona/J-2969-2018</t>
  </si>
  <si>
    <t>Montorsi, Michela/0000-0001-5152-761X; Marzorati, Mauro/0000-0003-1093-2162; Mrakic-Sposta, Simona/0000-0001-7359-2690</t>
  </si>
  <si>
    <t>Programma Nazionale delle Ricerche in Antartide-Ministero dell'Istruzione, Universita e Ricerca [PNRA-MIUR 2013/AC1.02]</t>
  </si>
  <si>
    <t>Programma Nazionale delle Ricerche in Antartide-Ministero dell'Istruzione, Universita e Ricerca</t>
  </si>
  <si>
    <t>We appreciate the help in blood sample collection from R. Dicasillati from ASST Santi Paolo e Carlo, Milan, Italy. This study has been made possible by the contribution of the members of the crew that stayed for 10 months at Concordia Station, donated their blood, and always collaborated constructively for the success of this study. We are deeply grateful to the Department Terra-Ambiente of the National Research Council for their management support and to the European Space Agency for the networking support. The study was financially supported by Programma Nazionale delle Ricerche in Antartide-Ministero dell'Istruzione, Universita e Ricerca (project title: Human (mal) adaptation to hypoxia in the Antarctica, reference number: PNRA-MIUR 2013/AC1.02, principal investigator: Simone Porcelli).</t>
  </si>
  <si>
    <t>HINDAWI LTD</t>
  </si>
  <si>
    <t>ADAM HOUSE, 3RD FLR, 1 FITZROY SQ, LONDON, W1T 5HF, ENGLAND</t>
  </si>
  <si>
    <t>1942-0900</t>
  </si>
  <si>
    <t>1942-0994</t>
  </si>
  <si>
    <t>OXID MED CELL LONGEV</t>
  </si>
  <si>
    <t>Oxidative Med. Cell. Longev.</t>
  </si>
  <si>
    <t>APR 30</t>
  </si>
  <si>
    <t>10.1155/2022/4430032</t>
  </si>
  <si>
    <t>Cell Biology</t>
  </si>
  <si>
    <t>1G6IO</t>
  </si>
  <si>
    <t>WOS:000795950200005</t>
  </si>
  <si>
    <t>Haque, AB; Cavanagh, RD; Spaet, JLY</t>
  </si>
  <si>
    <t>Haque, Alifa Bintha; Cavanagh, Rachel D.; Spaet, Julia L. Y.</t>
  </si>
  <si>
    <t>Fishers' tales-Impact of artisanal fisheries on threatened sharks and rays in the Bay of Bengal, Bangladesh</t>
  </si>
  <si>
    <t>CONSERVATION SCIENCE AND PRACTICE</t>
  </si>
  <si>
    <t>Bangladesh; co-design; elasmobranch; fisheries management; local governance; local; traditional knowledge; marine conservation</t>
  </si>
  <si>
    <t>BASE-LINE SYNDROME; EXTINCTION RISK; CONSERVATION; KNOWLEDGE; ELASMOBRANCHS; PERCEPTIONS; SAWFISHES; DECLINES; CAPTURE; COASTAL</t>
  </si>
  <si>
    <t>Increasing fishing pressure has negatively impacted elasmobranch populations globally. Despite high levels of historical and current fishing pressure, the Bay of Bengal region remains data-poor. Focusing on Bangladesh, we conducted a socio-ecological study to characterize elasmobranch fisheries and evaluate their impact on threatened species. The results demonstrate that several globally threatened elasmobranch species are frequently captured, and some of them have experienced substantial population declines (e.g., wedgefishes, sawfishes, large carcharhinid sharks) over the past decade. A decrease in elasmobranch diversity, abundance, and size of caught specimens was also reported, which was attributed to increased fishing intensity, destructive practices (e.g., bottom trawling), and an accessible elasmobranch market. While catch and trade of more than 90 elasmobranchs are regulated under Bangladesh's law, non-compliance is widespread. Likely causes include a dearth of awareness, practical alternative livelihoods, and technical facilities, and the complex nature of the fisheries. Encouraging and facilitating the engagement of fishers in science (data collection), local governance (policy-making), and field implementation (bycatch mitigation) is vital. These interventions must be rooted in sustainable approaches and co-designed with fishers, with appropriate training available. Development of this work through enhanced engagement with fishers has the potential to transform the elasmobranch fishery situation in Bangladesh and could be used as a model for data-poor regions.</t>
  </si>
  <si>
    <t>[Haque, Alifa Bintha] Univ Oxford, Dept Zool, Nat Based Solut Initiat, Oxford, England; [Haque, Alifa Bintha; Cavanagh, Rachel D.] British Antarctic Survey, Cambridge, England; [Spaet, Julia L. Y.] Univ Cambridge, Dept Zool, Evolutionary Ecol Grp, Cambridge, England</t>
  </si>
  <si>
    <t>University of Oxford; UK Research &amp; Innovation (UKRI); Natural Environment Research Council (NERC); NERC British Antarctic Survey; University of Cambridge</t>
  </si>
  <si>
    <t>Haque, AB (corresponding author), Univ Oxford, Dept Zool, Oxford OX1 3SZ, England.</t>
  </si>
  <si>
    <t>alifa.haque@zoo.ox.ac.uk</t>
  </si>
  <si>
    <t>Haque, A B M Mahfuzul/GZA-5271-2022; Spaet, Julia/A-4263-2015</t>
  </si>
  <si>
    <t>Spaet, Julia/0000-0001-8703-1472; Haque, Bazle/0000-0002-0836-3864; Haque, Alifa Bintha/0000-0001-8250-0030</t>
  </si>
  <si>
    <t>Save Our Seas Foundation; National Geographic Photo Ark ZSL EDGE; Natural Environment Research Council; Bangabandhu Overseas Scholarship 2019, University of Dhaka, Bangladesh; Bangladesh Fisheries Research Institute</t>
  </si>
  <si>
    <t>Save Our Seas Foundation; National Geographic Photo Ark ZSL EDGE; Natural Environment Research Council(UK Research &amp; Innovation (UKRI)Natural Environment Research Council (NERC)); Bangabandhu Overseas Scholarship 2019, University of Dhaka, Bangladesh; Bangladesh Fisheries Research Institute</t>
  </si>
  <si>
    <t>Bangladesh Fisheries Research Institute; Save Our Seas Foundation; National Geographic Photo Ark ZSL EDGE; Natural Environment Research Council; Bangabandhu Overseas Scholarship 2019, University of Dhaka, Bangladesh</t>
  </si>
  <si>
    <t>2578-4854</t>
  </si>
  <si>
    <t>CONSERV SCI PRACT</t>
  </si>
  <si>
    <t>Conserv. Sci. Pract.</t>
  </si>
  <si>
    <t>e12704</t>
  </si>
  <si>
    <t>10.1111/csp2.12704</t>
  </si>
  <si>
    <t>Biodiversity Conservation</t>
  </si>
  <si>
    <t>Biodiversity &amp; Conservation</t>
  </si>
  <si>
    <t>2P8TN</t>
  </si>
  <si>
    <t>WOS:000789581200001</t>
  </si>
  <si>
    <t>Zhang, WY; Jiao, Y; Zhu, RB; Rhew, RC; Sun, BW; Wang, X</t>
  </si>
  <si>
    <t>Zhang, Wanying; Jiao, Yi; Zhu, Renbin; Rhew, Robert C.; Sun, Bowen; Wang, Xin</t>
  </si>
  <si>
    <t>Atmospheric CCl4 degradation in Antarctic tundra soils and the evaluation on its partial atmospheric lifetime with respect to soil</t>
  </si>
  <si>
    <t>Carbon tetrachloride (CCl4); Antarctica; Tundra; Sink; Partial atmospheric lifetime</t>
  </si>
  <si>
    <t>CARBON-TETRACHLORIDE CCL4; REDUCTIVE DECHLORINATION; TRANSFORMATION; EMISSIONS; DEHALOGENATION; IRON; PRODUCTS; KINETICS; REMOVAL; FE(II)</t>
  </si>
  <si>
    <t>Carbon tetrachloride (CCl4) is an anthropogcnic gas with a long atmospheric lifetime and can catalyze the destruction of stratospheric ozone. Natural soils arc believed to be important and widespread sinks of atmospheric CCl4, although poorly characterized due to a limited number of measurements. In this study, for the first time in sins static-chamber measurements and laboratory-based incubations for CCl4 fluxes were conducted at coastal Antarctic tundra. Results showed that soil in remote Antarctica is also acting as a CCl4 sink, with an average uptake rate of - 2.2 +/- 0.6 nmol m(-2) d(-1), which is comparable to the reported soil sinks in other regions of the world. No significant difference (p &gt; 0.05) was found across different types of tundra, such normal upland tundra, coastal marsh tundra, and tundra in the sea animal colonies. Soil CCl4 fluxes did not show significant correlations (p &gt; 0.05) with soil moisture, pH, TOC, TN, TP and Cl contents. Laboratory-based anoxic incubations showed that the uptake rates of CCl4 in tundra soil were suppressed; post-thermal sterilization incubations showed that soil CCl4 sink was enhanced; these results suggested that CCl4 degradation in tundra soil was likely an abiotic process preferring oxic environments. A rough extrapolation suggested that Antarctic tundra may degrade about 2.4 metric tons of atmospheric CCl4 each year. Combining soil CCl4 fluxes from this study and other literature reports, CCl4 partial lifetime with respect to the soil sink was evaluated to be 354 (235-474) years, which supported the recent viewpoint that the soil sink of CCl4 is smaller than previously thought.</t>
  </si>
  <si>
    <t>[Zhang, Wanying; Zhu, Renbin; Sun, Bowen] Univ Sci &amp; Technol China, Sch Earth &amp; Space Sci, Anhui Prov Key Lab Polar Environm &amp; Global Change, Hefei 230026, Anhui, Peoples R China; [Jiao, Yi; Rhew, Robert C.] Univ Calif Berkeley, Dept Geog, Berkeley, CA 94720 USA; [Rhew, Robert C.] Univ Calif Berkeley, Dept Environm Sci Policy &amp; Management, Berkeley, CA 94720 USA; [Wang, Xin] Anhui Environm Monitoring Ctr Stn, Hefei 230071, Anhui, Peoples R China</t>
  </si>
  <si>
    <t>Chinese Academy of Sciences; University of Science &amp; Technology of China, CAS; University of California System; University of California Berkeley; University of California System; University of California Berkeley</t>
  </si>
  <si>
    <t>Zhu, RB (corresponding author), Univ Sci &amp; Technol China, Sch Earth &amp; Space Sci, Anhui Prov Key Lab Polar Environm &amp; Global Change, Hefei 230026, Anhui, Peoples R China.</t>
  </si>
  <si>
    <t>zhurb@ustc.edu.cn</t>
  </si>
  <si>
    <t>Rhew, Robert C/M-8110-2016; Zhang, Wanying/IXD-8104-2023; Sun, Bowen/M-6027-2018; Jiao, Yi/HNP-9992-2023</t>
  </si>
  <si>
    <t>Jiao, Yi/0000-0001-5027-3144; Zhang, Wanying/0000-0001-9874-9834</t>
  </si>
  <si>
    <t>National Natural Science Foundation of China [41976220, 41776190]; National Key Research and Development Program of China [2020YFA0608501]; Strategic Priority Research Program of Chinese Academy of Sciences [XDB40010200]</t>
  </si>
  <si>
    <t>National Natural Science Foundation of China(National Natural Science Foundation of China (NSFC)); National Key Research and Development Program of China; Strategic Priority Research Program of Chinese Academy of Sciences(Chinese Academy of Sciences)</t>
  </si>
  <si>
    <t>This study was supported by National Natural Science Foundation of China (grants 41976220 and 41776190), National Key Research and Development Program of China (grant 2020YFA0608501) and Strategic Priority Research Program of Chinese Academy of Sciences (grant XDB40010200). The authors would like to thank Prof. Zhigang Yi for supporting part of the GC/MS analysis, and Chinese National Antarctic Research Expedition (CHINARE) for assistance in fieldwork.</t>
  </si>
  <si>
    <t>10.1016/j.scitotenv.2022.155449</t>
  </si>
  <si>
    <t>WOS:000833000700004</t>
  </si>
  <si>
    <t>Weldrick, CK</t>
  </si>
  <si>
    <t>Weldrick, Christine K.</t>
  </si>
  <si>
    <t>A Promising Approach to Quantifying Pteropod Eggs Using Image Analysis and Machine Learning</t>
  </si>
  <si>
    <t>egg counting; egg masses; image analysis; machine learning; pteropods; Southern Ocean; thecosomes; zooplankton</t>
  </si>
  <si>
    <t>OCEAN ACIDIFICATION; IMPACT; DEGRADATION; PUMP</t>
  </si>
  <si>
    <t>A newly developed protocol to semi-automate egg counting in Southern Ocean shelled (thecosome) pteropods using image analysis software and machine learning algorithms was developed and tested for accuracy. Preserved thecosome pteropod (Limacina helicina antarctica) egg masses collected from two austral summer research voyages in East Antarctica were digitally photographed to develop a streamlined approach to enumerate eggs within egg masses using Fiji/ImageJ and the associated machine learning plugin known as Trainable Weka Segmentation. Results from this semi-automated approach were then used to compare with manual egg counts from eggs dissected from egg masses under stereomicroscope. A statistically significant correlation was observed between manual and semi-automated approaches (R-2 = 0.92, p &lt; 0.05). There was no significant difference between manual and automated protocols when egg counts were divided by the egg mass areas (mm(2)) (t(29.6) = 1.98, p = 0.06). However, the average time to conduct semi-automated counts (M = 7.4, SD = 1.2) was significantly less than that for the manual enumeration technique (M = 35.9, SD = 5.7; t(30) = 2.042, p &lt; 0.05). This new approach is promising and, unlike manual enumeration, could allow specimens to remain intact for use in live culturing experiments. Despite some limitations that are discussed, this user-friendly and simplistic protocol can provide the basis for further future development, including the addition of macro scripts to improve reproducibility and through the association with other imaging platforms to enhance interoperability. Furthermore, egg counting using this technique may lead to a relatively unexplored monitoring tool to better understand the responses of a species highly sensitive to multiple stressors connected to climate change.</t>
  </si>
  <si>
    <t>[Weldrick, Christine K.] Univ Tasmania, Inst Marine &amp; Antarctic Studies, Australian Antarctic Program Partnership, Hobart, Tas, Australia</t>
  </si>
  <si>
    <t>Weldrick, CK (corresponding author), Univ Tasmania, Inst Marine &amp; Antarctic Studies, Australian Antarctic Program Partnership, Hobart, Tas, Australia.</t>
  </si>
  <si>
    <t>christine.weldrick@utas.edu.au</t>
  </si>
  <si>
    <t>Weldrick, Christine/N-2617-2017</t>
  </si>
  <si>
    <t>Weldrick, Christine/0000-0003-1099-438X</t>
  </si>
  <si>
    <t>Holsworth Wildlife Research Endowment of the Ecological Society of Australia [109804]; Australian Government, Antarctic Science Collaboration Initiative program [ASCI000002]</t>
  </si>
  <si>
    <t>Holsworth Wildlife Research Endowment of the Ecological Society of Australia; Australian Government, Antarctic Science Collaboration Initiative program(Australian Government)</t>
  </si>
  <si>
    <t>This study was financially supported through a grant provided by the Holsworth Wildlife Research Endowment (grant #109804) of the Ecological Society of Australia, as well as funding from the Australian Government as part of the Antarctic Science Collaboration Initiative program (grant #ASCI000002).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t>
  </si>
  <si>
    <t>APR 29</t>
  </si>
  <si>
    <t>10.3389/fmars.2022.869252</t>
  </si>
  <si>
    <t>1H3QE</t>
  </si>
  <si>
    <t>WOS:000796459100001</t>
  </si>
  <si>
    <t>Upadhyay, A; Kakad, B; Kakad, A; Rawat, R</t>
  </si>
  <si>
    <t>Upadhyay, Aditi; Kakad, Bharati; Kakad, Amar; Rawat, R.</t>
  </si>
  <si>
    <t>Effect of Solar Wind Pressure and Substorm Linked Particle Injection on Local Time Distribution of Electromagnetic Ion Cyclotron Waves</t>
  </si>
  <si>
    <t>FRONTIERS IN ASTRONOMY AND SPACE SCIENCES</t>
  </si>
  <si>
    <t>EMIC wave; geomagnetic activity; substorm; inner magnetosphere; Pc1-Pc2 pulsations</t>
  </si>
  <si>
    <t>VAN ALLEN PROBES; EMIC WAVES; MAGNETIC PULSATIONS; MAGNETOSPHERE; INSTABILITIES; PRECIPITATION; HE+</t>
  </si>
  <si>
    <t>Several observations of electromagnetic ion cyclotron (EMIC) waves have been reported from the Earth's magnetosphere. It is an important component of space weather research due to its efficient role in precipitating highly energetic electrons from the Earth's radiation belt. In general, the interplanetary solar wind conditions and geomagnetic activity control the generation of EMIC waves by modifying the ambient plasma conditions in the generation region. Therefore, EMIC wave occurrence patterns observed both in space and on the ground are influenced by the variations in the parameters like auroral electrojet (AE index), solar wind dynamic pressure, and Dst, which represent the magnetospheric conditions. We present a detailed local time distribution of EMIC waves observed at the Antarctic station, Maitri (geographic 70.7( o )S, 11.8( o )E, L = 5), for 2011-2017. We have cataloged the EMIC wave occurrence in four frequency ranges (between 0.12-2 Hz) and examined their occurrence pattern for different levels of AE index and solar wind pressure. The present analysis reveals that at the ground station, Maitri, the occurrence of EMIC waves is dominated in the lower frequency range (0.12-1 Hz) with lower occurrence in the higher frequency range ( &gt; 1 Hz). It is found that the EMIC waves having frequencies &gt; 1 Hz occur dominantly in the early morning hours with a peak close to 5.7 LT hours, and they are linked to the magnetic activity that occurred in the preceding days, whereas the effect of solar wind dynamic pressure and AE index on the local time occurrence of EMIC waves is unambiguously seen for the waves with &lt; 1 Hz. The study revealed the larger AE index shifts occurrence of EMIC waves in the dusk sector.</t>
  </si>
  <si>
    <t>[Upadhyay, Aditi; Kakad, Bharati; Kakad, Amar; Rawat, R.] Indian Inst Geomagnetism, Mumbai, India</t>
  </si>
  <si>
    <t>Department of Science &amp; Technology (India); Indian Institute of Geomagnetism (IIG)</t>
  </si>
  <si>
    <t>Upadhyay, A (corresponding author), Indian Inst Geomagnetism, Mumbai, India.</t>
  </si>
  <si>
    <t>aditiu147@gmail.com</t>
  </si>
  <si>
    <t>Kakad, Amar/K-3061-2017</t>
  </si>
  <si>
    <t>2296-987X</t>
  </si>
  <si>
    <t>FRONT ASTRON SPACE</t>
  </si>
  <si>
    <t>Front. Astron. Space Sci.</t>
  </si>
  <si>
    <t>10.3389/fspas.2022.866023</t>
  </si>
  <si>
    <t>1H1RW</t>
  </si>
  <si>
    <t>WOS:000796325300001</t>
  </si>
  <si>
    <t>Christianson, AB; Cabre, A; Bernal, B; Baez, SK; Leung, S; Perez-Porro, A; Poloczanska, E</t>
  </si>
  <si>
    <t>Christianson, Anne B.; Cabre, Anna; Bernal, Blanca; Baez, Stacy K.; Leung, Shirley; Perez-Porro, Alicia; Poloczanska, Elvira</t>
  </si>
  <si>
    <t>The Promise of Blue Carbon Climate Solutions: Where the Science Supports Ocean-Climate Policy</t>
  </si>
  <si>
    <t>blue carbon; climate change; coastal wetlands; mitigation; nature-based solution; carbon sequestration; additionality</t>
  </si>
  <si>
    <t>SEAGRASS MEADOWS; MANGROVE FORESTS; ANTARCTIC KRILL; ORGANIC-CARBON; SOUTHERN-OCEAN; EXPORT FLUX; CORAL-REEFS; COASTAL; FUTURE; MACROALGAE</t>
  </si>
  <si>
    <t>The ocean is gaining prominence in climate change policy circles as a tool for addressing the climate crisis. Blue carbon, the carbon captured and stored by marine and coastal ecosystems and species, offers potential as a nature-based solution to climate change. The protection and restoration of specific ocean ecosystems can form part of a climate response within climate mitigation policies such as Nationally Determined Contributions under the United Nations Framework Convention on Climate Change. For mitigation policies that seek to implement management actions that drawdown carbon, ecosystem sequestration and emissions must be measurable across temporal and spatial scales, and management must be practical leading to improved sequestration and avoided emissions. However, some blue carbon interventions may not be suitable as a climate mitigation response and better suited for other policy instruments such as those targeted toward biodiversity conservation. This paper gives context to numerous blue carbon sequestration pathways, quantifying their potential to sequester carbon from the atmosphere, and comparing these sequestration pathways to point-source emissions reductions. The applicability of blue carbon is then discussed in terms of multiple international policy frameworks, to help individuals and institutions utilize the appropriate framework to reach ocean conservation and climate mitigation goals.</t>
  </si>
  <si>
    <t>[Christianson, Anne B.] Ctr Amer Progress, Energy &amp; Environm Dept, Washington, DC USA; [Cabre, Anna] Univ Penn, Dept Earth &amp; Environm Sci, Philadelphia, PA USA; [Bernal, Blanca] Green Collar, Int Projects, Chicago, IL USA; [Baez, Stacy K.] Pew Charitable Trusts, Environm Dept, Washington, DC USA; [Leung, Shirley] Univ Washington, Sch Oceanog, Seattle, WA USA; [Perez-Porro, Alicia] CREAF Ctr Res Ecol &amp; Forestry Applicat, Dept Strategy &amp; Int Affairs, Barcelona, Spain; [Poloczanska, Elvira] Alfred Wegener Inst, Integrat Ecophysiol, Bremerhaven, Germany</t>
  </si>
  <si>
    <t>University of Pennsylvania; University of Washington; University of Washington Seattle; Helmholtz Association; Alfred Wegener Institute, Helmholtz Centre for Polar &amp; Marine Research</t>
  </si>
  <si>
    <t>Christianson, AB (corresponding author), Ctr Amer Progress, Energy &amp; Environm Dept, Washington, DC USA.</t>
  </si>
  <si>
    <t>Chri1942@umn.edu</t>
  </si>
  <si>
    <t>Cabre, Anna/0000-0002-9739-6704</t>
  </si>
  <si>
    <t>10.3389/fmars.2022.851448</t>
  </si>
  <si>
    <t>1G1SS</t>
  </si>
  <si>
    <t>WOS:000795635500001</t>
  </si>
  <si>
    <t>Fenton, JHC</t>
  </si>
  <si>
    <t>Fenton, James H. C.</t>
  </si>
  <si>
    <t>The contribution of Antarctic moss peat to the understanding of global peatland processes</t>
  </si>
  <si>
    <t>peat erosion; peat growth; peatland dynamics; polar peat; temperate peat</t>
  </si>
  <si>
    <t>The moss banks of the Maritime Antarctic composed of one or both of the mosses Chorisodontium aciphyllum and Polytrichum strictum form peat banks up to 3.4 m thick and 5500 years of age. They represent perhaps the simplest peat-forming systems in the world, so studying their dynamics can help in the understanding of peatland dynamics generally, particularly those of temperate blanket peat. They can provide insights into how the balance of growth, decomposition and compaction of peat results in peat formation, how downhill creep can be the cause of both vertical edges and the creation of patterned bogs and how erosion of peat can be a natural process.</t>
  </si>
  <si>
    <t>ecology@fenton.scot</t>
  </si>
  <si>
    <t>Fenton, James/0000-0002-9614-7765</t>
  </si>
  <si>
    <t>PII S0954102022000141</t>
  </si>
  <si>
    <t>10.1017/S0954102022000141</t>
  </si>
  <si>
    <t>WOS:000792170000001</t>
  </si>
  <si>
    <t>Gupta, S; Han, SR; Kim, B; Lee, CM; Oh, TJ</t>
  </si>
  <si>
    <t>Gupta, Sushma; Han, So-Ra; Kim, Byeollee; Lee, Chang-Muk; Oh, Tae-Jin</t>
  </si>
  <si>
    <t>Comparative analysis of genome-based CAZyme cassette in Antarctic Microbacterium sp. PAMC28756 with 31 other Microbacterium species</t>
  </si>
  <si>
    <t>GENES &amp; GENOMICS</t>
  </si>
  <si>
    <t>Comparative genomics; Microbacterium species; Carbohydrate-active enzyme; Metabolic adaptation</t>
  </si>
  <si>
    <t>IMPROVED FUNCTIONAL ANNOTATIONS; ALPHA-AMYLASE; MALATE-DEHYDROGENASE; GLYOXYLATE SHUNT; SP NOV.; BACTERIUM; ENZYMES; STARCH; EXOPOLYSACCHARIDE; CLASSIFICATION</t>
  </si>
  <si>
    <t>Background The genus Microbacterium belongs to the family Microbacteriaceae and phylum Actinobacteria. A detailed study on the complete genome and systematic comparative analysis of carbohydrate-active enzyme (CAZyme) among the Microbacterium species would add knowledge on metabolic and environmental adaptation. Here we present the comparative genomic analysis of CAZyme using the complete genome of Antarctic Microbacterium sp. PAMC28756 with other complete genomes of 31 Microbacterium species available. Objective The genomic and CAZyme comparison of Microbacterium species and to rule out the specific features of CAZyme for the environmental and metabolic adaptation. Methods Bacterial source were collected from NCBI database, CAZyme annotation of Microbacterium species was analyzed using dbCAN2 Meta server. Cluster of orthologous groups (COGs) analysis was performed using the eggNOG4.5 database. Whereas, KEGG database was used to compare and obtained the functional genome annotation information in carbohydrate metabolism and glyoxylate cycle. Results Out of 32 complete genomes of Microbacterium species, strain No. 7 isolated from Activated Sludge showed the largest genomic size at 4.83 Mb. The genomic size of PAMC28756 isolated from Antarctic lichen species Stereocaulons was 3.54 Mb, the G + C content was 70.4% with 3,407 predicted genes, of which 3.36% were predicted CAZyme. In addition, while comparing the Glyoxylate cycle among 32 bacteria, except 10 strains, all other, including our strain have Glyoxylate pathway. PAMC28756 contained the genes that degrade cellulose, hemicellulose, amylase, pectinase, chitins and other exo-and endo glycosidases. Utilizing these polysaccharides can provides source of energy in an extreme environment. In addition, PAMC28756 assigned the (10.15%) genes in the carbohydrate transport and metabolism functional group closely related to the CAZyme for polysaccharides degradation. Conclusions The genomic content and CAZymes distribution was varied in Microbacterium species. There was the presence of more than 10% genes in the carbohydrate transport and metabolism functional group closely related to the CAZyme for polysaccharides degradation. In addition, occurrence of glyoxylate cycle for alternative utilization of carbon sources suggest the adaptation of PAMC28756 in the harsh microenvironment.</t>
  </si>
  <si>
    <t>[Gupta, Sushma; Han, So-Ra; Kim, Byeollee; Oh, Tae-Jin] SunMoon Univ, Grad Sch, Dept Life Sci &amp; Biochem Engn, Asan 31460, South Korea; [Lee, Chang-Muk] Rural Dev Adm, Agr Microbiol Div, Natl Inst Agr Sci, Jeonju 55365, South Korea; [Oh, Tae-Jin] Genome Based BioIT Convergence Inst, Asan 31460, South Korea; [Oh, Tae-Jin] SunMoon Univ, Dept Pharmaceut Engn &amp; Biotechnol, Asan 31460, South Korea</t>
  </si>
  <si>
    <t>Sun Moon University; National Institute of Agricultural Sciences; Rural Development Administration (RDA), Republic of Korea; Sun Moon University</t>
  </si>
  <si>
    <t>Oh, TJ (corresponding author), SunMoon Univ, Grad Sch, Dept Life Sci &amp; Biochem Engn, Asan 31460, South Korea.;Oh, TJ (corresponding author), Genome Based BioIT Convergence Inst, Asan 31460, South Korea.;Oh, TJ (corresponding author), SunMoon Univ, Dept Pharmaceut Engn &amp; Biotechnol, Asan 31460, South Korea.</t>
  </si>
  <si>
    <t>tjoh3782@sunmoon.ac.kr</t>
  </si>
  <si>
    <t>Lee, ChangMuk/C-9988-2010</t>
  </si>
  <si>
    <t>Ministry of Oceans and Fisheries, Korea [15250103, PM21030]</t>
  </si>
  <si>
    <t>Ministry of Oceans and Fisheries, Korea</t>
  </si>
  <si>
    <t>This research was a part of the project titled Development of potential antibiotic compounds using polar organism resources (15250103, KOPRI Grant PM21030), funded by the Ministry of Oceans and Fisheries, Korea.</t>
  </si>
  <si>
    <t>1976-9571</t>
  </si>
  <si>
    <t>2092-9293</t>
  </si>
  <si>
    <t>GENES GENOM</t>
  </si>
  <si>
    <t>Genes Genom.</t>
  </si>
  <si>
    <t>10.1007/s13258-022-01254-9</t>
  </si>
  <si>
    <t>Biochemistry &amp; Molecular Biology; Biotechnology &amp; Applied Microbiology; Genetics &amp; Heredity</t>
  </si>
  <si>
    <t>1J5UK</t>
  </si>
  <si>
    <t>WOS:000789006900001</t>
  </si>
  <si>
    <t>Marshall, GJ; Fogt, RL; Turner, J; Clem, KR</t>
  </si>
  <si>
    <t>Marshall, Gareth J.; Fogt, Ryan L.; Turner, John; Clem, Kyle R.</t>
  </si>
  <si>
    <t>Can current reanalyses accurately portray changes in Southern Annular Mode structure prior to 1979?</t>
  </si>
  <si>
    <t>Southern Annular Mode (SAM); Climate change; Antarctica; Temperature; Reanalysis; Validation</t>
  </si>
  <si>
    <t>ATLANTIC MULTIDECADAL OSCILLATION; ANTARCTIC PENINSULA; HEMISPHERE; CLIMATE; TRENDS; SAM; CMIP5; TEMPERATURES; VARIABILITY; SIGNATURES</t>
  </si>
  <si>
    <t>Early reanalyses are less than optimal for investigating the regional effects of ozone depletion on Southern Hemisphere (SH) high-latitude climate because the availability of satellite sounder data from 1979 significantly improved their accuracy in data sparse regions, leading to a coincident inhomogeneity. To determine whether current reanalyses are better at SH high-latitudes in the pre-satellite era, here we examine the capabilities of the European Centre for Medium-range Weather Forecasts (ECMWF) fifth generation reanalysis (ERA5), the Twentieth Century Reanalysis version 3 (20CRv3), and the Japanese Meteorological Agency (JMA) 55-year reanalysis (JRA-55) to reproduce and help explain the pronounced change in the relationship between the Southern Annular Mode (SAM) and Antarctic near-surface air temperatures (SAT) between 1950 and 1979 (EARLY period) and 1980-2020 (LATE period). We find that ERA5 best reproduces Antarctic SAT in the EARLY period and is also the most homogeneous reanalysis across the EARLY and LATE periods. ERA5 and 20CRv3 provide a good representation of SAM in both periods with JRA-55 only similarly skilful in the LATE period. Nevertheless, all three reanalyses show the marked change in Antarctic SAM-SAT relationships between the two periods. In particular, ERA5 and 20CRv3 demonstrate the observed switch in the sign of the SAM-SAT relationship in the Antarctic Peninsula: analysis of changes in SAM structure and associated meridional wind anomalies reveal that in these reanalyses positive SAM is linked to cold southerly winds during the EARLY period and warm northerly winds in the LATE period, thus providing a simple explanation for the regional SAM-SAT relationship reversal.</t>
  </si>
  <si>
    <t>[Marshall, Gareth J.; Turner, John] British Antarctic Survey, UK Res &amp; Innovat, Cambridge, England; [Fogt, Ryan L.] Ohio Univ, Dept Geog, Athens, OH 45701 USA; [Clem, Kyle R.] Victoria Univ Wellington, Sch Geog Environm &amp; Earth Sci, Wellington, New Zealand</t>
  </si>
  <si>
    <t>UK Research &amp; Innovation (UKRI); Natural Environment Research Council (NERC); NERC British Antarctic Survey; University System of Ohio; Ohio University; Victoria University Wellington</t>
  </si>
  <si>
    <t>Marshall, GJ (corresponding author), British Antarctic Survey, UK Res &amp; Innovat, Cambridge, England.</t>
  </si>
  <si>
    <t>gjma@bas.ac.uk</t>
  </si>
  <si>
    <t>Fogt, Ryan L/B-6989-2008; Clem, Kyle/AAG-6626-2021</t>
  </si>
  <si>
    <t>Fogt, Ryan L/0000-0002-5398-3990; Clem, Kyle/0000-0002-1419-2758; Marshall, Gareth/0000-0001-8887-7314</t>
  </si>
  <si>
    <t>NSF Office of Polar Programs [1744998]; Royal Society of New Zealand Marsden Fund [MFP-VUW2010]; Office of Polar Programs (OPP); Directorate For Geosciences [1744998] Funding Source: National Science Foundation</t>
  </si>
  <si>
    <t>NSF Office of Polar Programs(National Science Foundation (NSF)); Royal Society of New Zealand Marsden Fund(Royal Society of New ZealandMarsden Fund (NZ)); Office of Polar Programs (OPP); Directorate For Geosciences(National Science Foundation (NSF)NSF - Directorate for Geosciences (GEO))</t>
  </si>
  <si>
    <t>RFL acknowledges partial support from NSF Office of Polar Programs grant 1744998. KRC acknowledges support from the Royal Society of New Zealand Marsden Fund grant MFP-VUW2010.</t>
  </si>
  <si>
    <t>11-12</t>
  </si>
  <si>
    <t>10.1007/s00382-022-06292-3</t>
  </si>
  <si>
    <t>5S9TC</t>
  </si>
  <si>
    <t>Green Submitted, hybrid, Green Accepted</t>
  </si>
  <si>
    <t>WOS:000788963300001</t>
  </si>
  <si>
    <t>Feng, JL; Liu, LL; Liu, QL; Zhao, L</t>
  </si>
  <si>
    <t>Feng, Jianlong; Liu, Lulu; Liu, Qiulin; Zhao, Liang</t>
  </si>
  <si>
    <t>The potential distribution of adult Antarctic krill in the Amundsen Sea</t>
  </si>
  <si>
    <t>JOURNAL OF OCEANOLOGY AND LIMNOLOGY</t>
  </si>
  <si>
    <t>krill; Amundsen Sea; Maxent; potential distribution</t>
  </si>
  <si>
    <t>EUPHAUSIA-SUPERBA; SOUTHERN-OCEAN; FOOD-WEB; HABITAT; MARINE; ICE; ECOSYSTEM; CLIMATE; MODELS; PHYTOPLANKTON</t>
  </si>
  <si>
    <t>Antarctic krill is the key species of ecological system in the Amundsen Sea. At present, the suitable distribution is unobtainable by scientific surveys or data from the fishery. In this paper, the maximum entropy algorithm (Maxent) was used to obtain the potential distribution of adult Antarctic krill in order to provide useful information and reasonable reference for the policy on protecting potential krill habitats around the Amundsen Sea. Occurrence points and 17 environmental variables were used to simulate the distributions. Results show that the high and moderate suitable habitats lie between 65 degrees S and 72 degrees S in the Amundsen Sea. The high suitable habitat accounts for 8.1% of the total area of the Amundsen Sea. The sea ice persistence (ICE), total phytoplankton (PHYC), and the minimum value of dissolved iron (Fe_min) are the three dominant contributors to the model. Results from the response curves show that Antarctic krill preferred habitats with ICE of 0.42-0.93, PHYC of 2.48-2.77 mmol/m(3) and Fe_min of (7.10x10(-5))-(9.45x10(-5)) mmol/m(3). Positive trends existed in the PHYC of the high and moderate suitable habitat, and a positive trend existed in the Fe_min of moderate suitable habitat. However, the probability of presence of Antarctic krill will decrease if the increase of the PHYC and Fe_min continues.</t>
  </si>
  <si>
    <t>[Feng, Jianlong; Liu, Lulu; Zhao, Liang] Tianjin Univ Sci &amp; Technol, Key Lab Marine Resource Chem &amp; Food Technol TUST, Minist Educ, Tianjin 300457, Peoples R China; [Liu, Qiulin] Natl Marine Data &amp; Informat Serv, Tianjin 300457, Peoples R China; [Liu, Lulu] Tianjin Univ Sci &amp; Technol, Coll Marine &amp; Environm Sci, Tianjin 300457, Peoples R China</t>
  </si>
  <si>
    <t>Tianjin University Science &amp; Technology; National Marine Data &amp; Information Service; Tianjin University Science &amp; Technology</t>
  </si>
  <si>
    <t>Zhao, L (corresponding author), Tianjin Univ Sci &amp; Technol, Key Lab Marine Resource Chem &amp; Food Technol TUST, Minist Educ, Tianjin 300457, Peoples R China.</t>
  </si>
  <si>
    <t>Liu, lulu/GWZ-1538-2022; Wang, Xingyi/KHT-7171-2024; Liu, Qiulin/M-4021-2014</t>
  </si>
  <si>
    <t>Liu, Qiulin/0000-0002-2423-4472</t>
  </si>
  <si>
    <t>Impact and Response of Antarctic Seas to Climate Change from Polar Research Institute of China [RFSOCC2020-2022, 18]; National Science Foundation of Tianjin [19JCZDJC40600]; National Natural Science Foundation of China [42176198]</t>
  </si>
  <si>
    <t>Impact and Response of Antarctic Seas to Climate Change from Polar Research Institute of China; National Science Foundation of Tianjin(Natural Science Foundation of Tianjin); National Natural Science Foundation of China(National Natural Science Foundation of China (NSFC))</t>
  </si>
  <si>
    <t>Supported by the Impact and Response of Antarctic Seas to Climate Change from Polar Research Institute of China (No. RFSOCC2020-2022-No.18), the National Science Foundation of Tianjin (No. 19JCZDJC40600), and the National Natural Science Foundation of China (No. 42176198)</t>
  </si>
  <si>
    <t>16 DONGHUANGCHENGGEN NORTH ST, Building 5, Room 411, BEIJING, 100009, PEOPLES R CHINA</t>
  </si>
  <si>
    <t>2096-5508</t>
  </si>
  <si>
    <t>2523-3521</t>
  </si>
  <si>
    <t>J OCEANOL LIMNOL</t>
  </si>
  <si>
    <t>J. Oceanol. Limnol.</t>
  </si>
  <si>
    <t>10.1007/s00343-021-1181-z</t>
  </si>
  <si>
    <t>Limnology; Oceanography</t>
  </si>
  <si>
    <t>3W1DY</t>
  </si>
  <si>
    <t>WOS:000788455800003</t>
  </si>
  <si>
    <t>Huck, T; Bajon, R; Grima, N; Portela, E; Molines, JM; Penduff, T</t>
  </si>
  <si>
    <t>Huck, Thierry; Bajon, Raphael; Grima, Nicolas; Portela, Esther; Molines, Jean-Marc; Penduff, Thierry</t>
  </si>
  <si>
    <t>Three-Dimensional Dispersion of Neutral Plastic Particles in a Global Ocean Model</t>
  </si>
  <si>
    <t>FRONTIERS IN ANALYTICAL SCIENCE</t>
  </si>
  <si>
    <t>marine debris; microplastics; nanoplastics; Lagrangian analysis; dispersion; global ocean</t>
  </si>
  <si>
    <t>FLOATING DEBRIS; CIRCULATION MODEL; LABRADOR SEA; STOKES DRIFT; NORTH; ACCUMULATION; TRAJECTORIES; ADVECTION; TRANSPORT; PATHWAYS</t>
  </si>
  <si>
    <t>The fate of plastics entering the 3D ocean circulation from rivers discharge is examined through the Lagrangian analysis of neutrally buoyant particles. Particles are released continuously over 1991-2010 at the surface along the coasts according to monthly estimates of rivers plastic waste input. They are advected by daily currents from a state-of-the-art global ocean model at 1/12 degrees resolution. At the end of the simulation (year 2010), particles remaining in the surface layer of 1 m thickness represent less than 2% of the total particles released. These are concentrated in the center of subtropical gyres, mostly in the South Indian Ocean, and the North Pacific, in relation with the large sources from Asia, and in good agreement with previous 2D numerical experiments in the surface layer. These patterns remain similar down to about 30 m depth, this upper layer strongly influenced by Ekman currents trapping about 20% of the total released particles. About 50% of the total released particles remain in the upper 100 m, and up to 90% are found in the upper 400 m at the end of the experiment. Below the mixed layer, they are more widely dispersed horizontally and follow the main global pathways of ocean ventilation of mode and deep water masses. Plastic particles, neutrally buoyant because of their small size or biofouling, are thus expected to be strongly dispersed in the global ocean thermocline following mode waters patterns, and reach the deeper layers following the North Atlantic Deep Water formation path. Two major source regions have a global impact. Particles from the western North Pacific spread over the whole Pacific Ocean poleward of 20 degrees S, whereas particles from Indonesia spread over the whole latitude band from 60 degrees S to 20 degrees S.</t>
  </si>
  <si>
    <t>[Huck, Thierry; Bajon, Raphael; Grima, Nicolas; Portela, Esther] Univ Brest, CNRS, Lab Oceanog Phys &amp; Spatiale LOPS, IRD,IUEM,Ifremer,UMR 6523, Plouzane, France; [Portela, Esther] Univ Tasmania, Inst Marine &amp; Antarctic Studies, Hobart, Tas, Australia; [Molines, Jean-Marc; Penduff, Thierry] Univ Grenoble Alpes, Inst Geosci Environm IGE, CNRS, IRD,Grenoble INP, Grenoble, France</t>
  </si>
  <si>
    <t>Centre National de la Recherche Scientifique (CNRS); Ifremer; Institut de Recherche pour le Developpement (IRD); CNRS - National Institute for Earth Sciences &amp; Astronomy (INSU); Universite de Bretagne Occidentale; Institut Universitaire Europeen de la Mer (IUEM); University of Tasmania; Institut de Recherche pour le Developpement (IRD); Communaute Universite Grenoble Alpes; Universite Grenoble Alpes (UGA); Centre National de la Recherche Scientifique (CNRS); Institut National Polytechnique de Grenoble</t>
  </si>
  <si>
    <t>Huck, T (corresponding author), Univ Brest, CNRS, Lab Oceanog Phys &amp; Spatiale LOPS, IRD,IUEM,Ifremer,UMR 6523, Plouzane, France.</t>
  </si>
  <si>
    <t>thuck@univ-brest.fr</t>
  </si>
  <si>
    <t>Agence Nationale de la Recherche10.13039/501100001665</t>
  </si>
  <si>
    <t>Agence Nationale de la Recherche10.13039/501100001665(Agence Nationale de la Recherche (ANR))</t>
  </si>
  <si>
    <t>Special thanks to IDRIS support for their help and tolerance with postprocessing usage. We wish to acknowledge the very detailed and constructive comments from the two reviewers who did a remarkable job to improve and complement the original version of the paper.</t>
  </si>
  <si>
    <t>2673-9283</t>
  </si>
  <si>
    <t>FRONT ANAL SCI</t>
  </si>
  <si>
    <t>Front. Anal. Sci.</t>
  </si>
  <si>
    <t>10.3389/frans.2022.868515</t>
  </si>
  <si>
    <t>Chemistry, Analytical</t>
  </si>
  <si>
    <t>LV0X9</t>
  </si>
  <si>
    <t>WOS:001189469500001</t>
  </si>
  <si>
    <t>Meyer, N; Wisshak, M; Edinger, EN; Azetsu-Scott, K; Freiwald, A</t>
  </si>
  <si>
    <t>Meyer, Neele; Wisshak, Max; Edinger, Evan N.; Azetsu-Scott, Kumiko; Freiwald, Andre</t>
  </si>
  <si>
    <t>Ichnodiversity in the eastern Canadian Arctic in the context of polar microbioerosion patterns</t>
  </si>
  <si>
    <t>POLAR RESEARCH</t>
  </si>
  <si>
    <t>Ichnotaxa; trace fossil assemblage; polar environment; Antarctic; ichnocoenoses; barnacles</t>
  </si>
  <si>
    <t>GREAT-BARRIER-REEF; BIOEROSION PATTERNS; OCEAN ACIDIFICATION; COOL-WATER; SEA; SEDIMENTATION; TEMPERATE; ISLAND; SHELF; SCLERACTINIA</t>
  </si>
  <si>
    <t>Studies of marine microbioerosion in polar environments are scarce. They include our recent investigations of bioerosion traces preserved in sessile balanid skeletons from the Arctic Svalbard archipelago and the Antarctic Ross Sea. Here, we present results from a third study site, Frobisher Bay, in the eastern Canadian Arctic, together with a synthesis of our current knowledge of polar bioerosion in both hemispheres. Barnacles from 62 to 94 m water depth in Frobisher Bay were prepared using the cast-embedding technique to enable visualization of microboring traces by scanning electron microscopy. In total, six ichnotaxa of traces produced by organotrophic bioeroders were found. All recorded ichnotaxa were also present in Mosselbukta, Svalbard, and most in the Ross Sea. Frobisher Bay contrasts with Mosselbukta in that it is a siliciclastic-dominated environment and shows a lower ichnodiversity, which may be accounted for by the limited bathymetrical range and a high turbidity and sedimentation rate. We evaluate potential key ichnotaxa for the cold-temperate and polar regions, of which the most suitable are Flagrichnus baiulus and Saccomorpha guttulata, and propose adapted index ichnocoenoses for the interpretation of palaeobathymetry accordingly. Together, the three studies allow us to make provisional considerations about the biogeographical distribution of polar microbioerosion traces reflecting the ecophysiological limits of their makers.</t>
  </si>
  <si>
    <t>[Meyer, Neele; Freiwald, Andre] Univ Bremen, Fac Geosci, Bibliothekstr 1, DE-28359 Bremen, Germany; [Meyer, Neele; Wisshak, Max; Freiwald, Andre] Senckenberg Meer, Marine Res Dept, Wilhelmshaven, Germany; [Edinger, Evan N.] Mem Univ Newfoundland, Dept Geog, St John, NF, Canada; [Azetsu-Scott, Kumiko] Fisheries &amp; Oceans Canada, Bedford Inst Oceanog, Dartmouth, NS, Canada</t>
  </si>
  <si>
    <t>University of Bremen; Senckenberg Gesellschaft fur Naturforschung (SGN); Memorial University Newfoundland; Bedford Institute of Oceanography; Fisheries &amp; Oceans Canada</t>
  </si>
  <si>
    <t>Meyer, N (corresponding author), Univ Bremen, Fac Geosci, Bibliothekstr 1, DE-28359 Bremen, Germany.</t>
  </si>
  <si>
    <t>neele.meyer@uni-bremen.de</t>
  </si>
  <si>
    <t>Wisshak, Max/A-3418-2011</t>
  </si>
  <si>
    <t>Wisshak, Max/0000-0001-7531-3317</t>
  </si>
  <si>
    <t>Natural Science and Engineering Research Council of Canada; Aquatic Climate Change Adaptation Services Programme from Fisheries and Oceans, Canada; German Research Foundation [WI 3754/3-1]</t>
  </si>
  <si>
    <t>Natural Science and Engineering Research Council of Canada(Natural Sciences and Engineering Research Council of Canada (NSERC)); Aquatic Climate Change Adaptation Services Programme from Fisheries and Oceans, Canada; German Research Foundation(German Research Foundation (DFG))</t>
  </si>
  <si>
    <t>Fieldwork was supported by the ArcticNet Network of Centres of Excellence, Amundsen Science Canadian Foundation for Innovation ship time support, and a Ship Time grant from the Natural Science and Engineering Research Council of Canada. The research work by Kumiko Azetsu-Scott was funded by Aquatic Climate Change Adaptation Services Programme from Fisheries and Oceans, Canada. The study was also funded by the German Research Foundation (grant no. WI 3754/3-1).</t>
  </si>
  <si>
    <t>OPEN ACADEMIA AB</t>
  </si>
  <si>
    <t>SPANGA</t>
  </si>
  <si>
    <t>STORMBYVAGEN 6, SPANGA, SE-163 55, SWEDEN</t>
  </si>
  <si>
    <t>0800-0395</t>
  </si>
  <si>
    <t>1751-8369</t>
  </si>
  <si>
    <t>POLAR RES-SWEDEN</t>
  </si>
  <si>
    <t>Polar Res.</t>
  </si>
  <si>
    <t>10.33265/polar.v41.8083</t>
  </si>
  <si>
    <t>Ecology; Geosciences, Multidisciplinary; Oceanography</t>
  </si>
  <si>
    <t>Environmental Sciences &amp; Ecology; Geology; Oceanography</t>
  </si>
  <si>
    <t>AV6J3</t>
  </si>
  <si>
    <t>WOS:001121263200001</t>
  </si>
  <si>
    <t>Berneira, LM; Poletti, T; de Freitas, SC; Maron, GK; Carreno, NLV; de Pereira, CMP</t>
  </si>
  <si>
    <t>Berneira, Lucas M.; Poletti, Tais; de Freitas, Samantha C.; Maron, Guilherme K.; Carreno, Neftali L., V; de Pereira, Claudio M. P.</t>
  </si>
  <si>
    <t>Novel application of sub-Antarctic macroalgae as zinc oxide nanoparticles biosynthesizers</t>
  </si>
  <si>
    <t>MATERIALS LETTERS</t>
  </si>
  <si>
    <t>Biomaterials; Nanoparticles; Spectroscopy; X-ray techniques</t>
  </si>
  <si>
    <t>GOLD</t>
  </si>
  <si>
    <t>The search for novel starting materials in the biological synthesis of zinc oxide nanoparticles (ZnO NPs) is crucial to develop synthetic procedures using environment-friendly approaches. In this sense, the aim of this study was to synthesize and evaluate ZnO NPs using green approaches produced from three sub-Antarctic macroalgae. It is worth noting that this was the first time that sub-Antarctic macroalgae were used for this purpose. Results showed that band intensity of polar bands that included hydroxyl (3779-3002 cm(-1)) and carbonyl groups (1770-1639 cm(-1)) decreased with the formation of ZnO NPs while the band associated to the zinc-oxygen bond appeared at 450 cm(-1) in the synthesized nanomaterials. Further analysis confirmed the formation of ZnO NPs as the product was mostly composed of zinc (&gt;= 97.27%) in the form of nanoparticles. Finally, X-Ray Diffraction indicated the zincite phase present in the hexagonal structures of ZnO NPs while SEM analysis confirmed that the nanomaterials were homogeneous and well-compacted. Therefore, sub-Antarctic could be promising sources of phytochemicals to produce nanomaterials under environment-friendly approaches.</t>
  </si>
  <si>
    <t>[Berneira, Lucas M.; Poletti, Tais; de Freitas, Samantha C.; de Pereira, Claudio M. P.] Univ Fed Pelotas, Ctr Chem Pharmaceut &amp; Food Sci, BR-96900010 Pelotas, RS, Brazil; [Maron, Guilherme K.; Carreno, Neftali L., V] Univ Fed Pelotas, Technol Dev Ctr, BR-96010000 Pelotas, RS, Brazil; [Maron, Guilherme K.] Univ Fed Pelotas, Technol Dev Ctr, Postgrad Program Biotechnol, BR-96010900 Pelotas, RS, Brazil</t>
  </si>
  <si>
    <t>Universidade Federal de Pelotas; Universidade Federal de Pelotas; Universidade Federal de Pelotas</t>
  </si>
  <si>
    <t>de Pereira, CMP (corresponding author), Univ Fed Pelotas, Ctr Chem Pharmaceut &amp; Food Sci, BR-96900010 Pelotas, RS, Brazil.</t>
  </si>
  <si>
    <t>lahbbioufpel@gmail.com</t>
  </si>
  <si>
    <t>Carreño, Neftali Lenin Villarreal/C-2100-2016</t>
  </si>
  <si>
    <t>Carreño, Neftali Lenin Villarreal/0000-0002-5780-817X</t>
  </si>
  <si>
    <t>CAPES [PGCI-99999.002378/2015]</t>
  </si>
  <si>
    <t>CAPES(Coordenacao de Aperfeicoamento de Pessoal de Nivel Superior (CAPES))</t>
  </si>
  <si>
    <t>The authors are thankful to the Forensic INCT, CNPq, CAPES (PGCI-99999.002378/2015) and FAPERGS.</t>
  </si>
  <si>
    <t>0167-577X</t>
  </si>
  <si>
    <t>1873-4979</t>
  </si>
  <si>
    <t>MATER LETT</t>
  </si>
  <si>
    <t>Mater. Lett.</t>
  </si>
  <si>
    <t>10.1016/j.matlet.2022.132341</t>
  </si>
  <si>
    <t>Materials Science, Multidisciplinary; Physics, Applied</t>
  </si>
  <si>
    <t>Materials Science; Physics</t>
  </si>
  <si>
    <t>3E8ED</t>
  </si>
  <si>
    <t>WOS:000830211000006</t>
  </si>
  <si>
    <t>Xie, ZY; Zhang, P; Wu, ZL; Zhang, S; Wei, LJ; Mi, LJ; Kuester, A; Gandrass, J; Ebinghaus, R; Yang, RQ; Wang, Z; Mi, WY</t>
  </si>
  <si>
    <t>Xie, Zhiyong; Zhang, Peng; Wu, Zilan; Zhang, Shuang; Wei, Lijia; Mi, Lijie; Kuester, Anette; Gandrass, Juergen; Ebinghaus, Ralf; Yang, Ruiqiang; Wang, Zhen; Mi, Wenying</t>
  </si>
  <si>
    <t>Legacy and emerging organic contaminants in the polar regions</t>
  </si>
  <si>
    <t>Emerging organic contaminants; Persistent organic pollutants; Arctic; Antarctica; Long-range environmental transport; Climate change</t>
  </si>
  <si>
    <t>POLYCYCLIC AROMATIC-HYDROCARBONS; POLYBROMINATED DIPHENYL ETHERS; POLYCHLORINATED-BIPHENYLS PCBS; CHAIN CHLORINATED PARAFFINS; LONG-RANGE TRANSPORT; PERSONAL CARE PRODUCTS; KING GEORGE ISLAND; PERFLUOROCARBOXYLIC ACIDS PFCAS; BROMINATED FLAME RETARDANTS; WESTERN ANTARCTIC PENINSULA</t>
  </si>
  <si>
    <t>The presence of numerous emerging organic contaminants (EOCs) and remobilization of legacy persistent organic pollutants (POPs) in polar regions have become significant concerns of the scientific communities, public groups and stakeholders. This work reviews the occurrences of ROCS and POPs and their long-range environmental transport (I.RET) processes via atmosphere and ocean currents from continental sources to polar regions. Concentrations of classic POPs have been systematically monitored in air at several Arctic stations and showed seasonal variations and declining trends. These chemicals were also the major POPs reported in the Antarctica, while their concentrations were lower than those in the Arctic, illustrating the combination of remoteness and lack of potential local sources for the Antarctica. EOCs were investigated in air, water, snow, ice and organisms in the Arctic. Data in the Antarctica are rare. Reemission of legacy POPs and EOCs accumulated in glaciers, sea ice and snow may alter the concentrations and amplify their effects in polar regions. Thus, future research will need to understand the various biogeochemical and geophysical processes under climate change and anthropogenic pressures.</t>
  </si>
  <si>
    <t>[Xie, Zhiyong; Mi, Lijie; Gandrass, Juergen; Ebinghaus, Ralf] Helmholtz Zentrum Hereon, Inst Coastal Environm Chem, D-21502 Geesthacht, Germany; [Zhang, Peng] Shaanxi Univ Sci &amp; Technol, Sch Environm Sci &amp; Technol, Xian 710021, Peoples R China; [Wu, Zilan; Zhang, Shuang; Wang, Zhen] Natl Marine Environm Monitoring Ctr, Dalian 116023, Peoples R China; [Wei, Lijia] UCAS, Hangzhou Inst Adv Study, Sch Environm, Hangzhou 310024, Peoples R China; [Kuester, Anette] German Environm Agcy Umweltbundesamt, Worlitzer Pl 1, D-06844 Dessau Rosslau, Germany; [Yang, Ruiqiang] Chinese Acad Sci, Res Ctr Ecoenvironm Sci, State Key Lab Environm Chem &amp; Ecotoxicol, Beijing 100085, Peoples R China; [Mi, Wenying] MINJIE Inst Environm Sci &amp; Hlth Res, D-21025 Geesthacht, Germany</t>
  </si>
  <si>
    <t>Helmholtz Association; Helmholtz-Zentrum Hereon; Shaanxi University of Science &amp; Technology; National Marine Environmental Monitoring Center; Chinese Academy of Sciences; Research Center for Eco-Environmental Sciences (RCEES)</t>
  </si>
  <si>
    <t>Xie, ZY (corresponding author), Helmholtz Zentrum Hereon, Inst Coastal Environm Chem, D-21502 Geesthacht, Germany.</t>
  </si>
  <si>
    <t>zhiyong.xie@hereon.de</t>
  </si>
  <si>
    <t>Xie, Zhiyong/0000-0001-8997-3930; Gandrass, Juergen/0000-0001-6083-4494; Kuster, Anette/0000-0002-1003-1906</t>
  </si>
  <si>
    <t>German Environment Agency (UBA) [152522]; Helmholtz Association; National Key Research and Development Program of China [2020YFA0608503]; Chinese Scholarship Council (CSC) [NE/R012857/1]; EISPAC project [NE/R012857/1]; UKRI Natural Environment Research Council (NERC); German Federal Ministry of Education and Research (BMBF); European Union via project iCUPE (Integrative and Comprehensive Understanding on Polar Environments) [689443]</t>
  </si>
  <si>
    <t>German Environment Agency (UBA); Helmholtz Association(Helmholtz Association); National Key Research and Development Program of China; Chinese Scholarship Council (CSC)(China Scholarship Council); EISPAC project; UKRI Natural Environment Research Council (NERC)(UK Research &amp; Innovation (UKRI)Natural Environment Research Council (NERC)); German Federal Ministry of Education and Research (BMBF)(Federal Ministry of Education &amp; Research (BMBF)); European Union via project iCUPE (Integrative and Comprehensive Understanding on Polar Environments)</t>
  </si>
  <si>
    <t>This project was funded by the German Environment Agency (UBA, No. 152522), and the fourth Program-oriented Funding Period (PoF IV) of the Helmholtz Association. Ruiqiang Yang acknowledges the National Key Research and Development Program of China (2020YFA0608503). Lijie Mi acknowledges the award by Chinese Scholarship Council (CSC). Zhiyong Xie acknowledges the support by the EISPAC project (NE/R012857/1), jointly funded by the UKRI Natural Environment Research Council (NERC) and the German Federal Ministry of Education and Research (BMBF), and the European Union's Horizon 2020 research and innovation programme under grant agreement no. 689443 via project iCUPE (Integrative and Comprehensive Understanding on Polar Environments).</t>
  </si>
  <si>
    <t>10.1016/j.scitotenv.2022.155376</t>
  </si>
  <si>
    <t>1J2IL</t>
  </si>
  <si>
    <t>WOS:000797745600007</t>
  </si>
  <si>
    <t>Li, GG; Bu, RY; Yi, L; Hu, BQ; Li, YH; Ji, YJ; Li, YX; Wang, L</t>
  </si>
  <si>
    <t>Li, Guogang; Bu, Ruyuan; Yi, Liang; Hu, Bangqi; Li, Yunhai; Ji, Youjun; Li, Yixin; Wang, Liang</t>
  </si>
  <si>
    <t>Geochronology and Paleoenvironmental Changes of Late Pleistocene Sediments in the Ross Sea, Antarctica</t>
  </si>
  <si>
    <t>Ross Sea; Late Pleistocene; paleomagnetism; Th-230 dating; ice-rafted debris; biogenic silica</t>
  </si>
  <si>
    <t>RELATIVE GEOMAGNETIC PALEOINTENSITY; ICE-SHEET SYSTEM; SOUTHERN-OCEAN; CIRCUMPOLAR CURRENT; HOLOCENE RETREAT; PACIFIC-OCEAN; SCOTIA SEA; SHELF; MARINE; RECORD</t>
  </si>
  <si>
    <t>The palaeoceanographic studies are largely limited by poor carbonate preservation in high-latitude regions. To improve our knowledge in this key area, we studied a sediment core (ANT32-RA05C) in terms of paleomagnetic and Th-230 dating and geochemical properties, collected from the continental slope of the Ross Sea, Antarctica. The two major results are as follows: 1) the sedimentation rate based on Th-230 isotopes is 1.37 cm/kyr, agreeing well with the correlation of the relative paleomagnetic intensity of the core ANT32-RA05C to changes in Earth's magnetic intensity and 2) the sediments contain ice-rafted debris (IRD) over 30%, with a considerable contribution of siliceous deposits. Integrating geochronological and geochemical properties of the studied core, a correlation of the regional paleoenvironmental process to the EPICA Dome C (EDC) Antarctic temperature is established, inferring that the IRD input and primary productivity are both enhanced in a warm climate. Moreover, a leading phase of biogenic processes to changes in the ice sheet in the Ross Ice Shelf is observed, highlighting a dominant role of the oceanic circulation in the ice-sheet retreat during the last deglaciation. Overall, the sedimentary record in the Ross Sea documents some key features of the paleoenvironmental processes in the Late Pleistocene, which could be correlated with large-scale changes in Antarctica and thus are worthy of further investigation in the future.</t>
  </si>
  <si>
    <t>[Li, Guogang; Bu, Ruyuan; Li, Yixin] Minist Nat Resources, North China Sea Adm, Qingdao, Peoples R China; [Yi, Liang] Tongji Univ, Lab Marine Geol, Shanghai, Peoples R China; [Hu, Bangqi] Qingdao Inst Marine Geol, China Geol Survey, Qingdao, Peoples R China; [Li, Yunhai; Wang, Liang] Minist Nat Resources, Inst Oceanog 3, Xiamen, Peoples R China; [Ji, Youjun] Minist Nat Resources, Inst Oceanog 2, Hangzhou, Peoples R China</t>
  </si>
  <si>
    <t>Ministry of Natural Resources of the People's Republic of China; Tongji University; China Geological Survey; Qingdao Institute of Marine Geology (QIMG); Ministry of Natural Resources of the People's Republic of China; Third Institute of Oceanography, Ministry of Natural Resources; Ministry of Natural Resources of the People's Republic of China</t>
  </si>
  <si>
    <t>Bu, RY (corresponding author), Minist Nat Resources, North China Sea Adm, Qingdao, Peoples R China.;Yi, L (corresponding author), Tongji Univ, Lab Marine Geol, Shanghai, Peoples R China.</t>
  </si>
  <si>
    <t>121012564@qq.com; yiliang@tongji.edu.cn</t>
  </si>
  <si>
    <t>Yi, Liang/AAM-9737-2020; yang, zhuo/JPK-3133-2023; Li, Guo/JNR-1700-2023; xiao, wei/KCK-6954-2024</t>
  </si>
  <si>
    <t>Yi, Liang/0000-0003-3377-8591;</t>
  </si>
  <si>
    <t>APR 28</t>
  </si>
  <si>
    <t>10.3389/feart.2022.863336</t>
  </si>
  <si>
    <t>1E2TN</t>
  </si>
  <si>
    <t>WOS:000794347900001</t>
  </si>
  <si>
    <t>SURGING SKY RIVERS COLLAPSE ANTARCTIC ICE SHELVES</t>
  </si>
  <si>
    <t>0T9WY</t>
  </si>
  <si>
    <t>WOS:000787313200002</t>
  </si>
  <si>
    <t>Câmara, PEAS; Bones, FLV; Lopes, FAC; Oliveira, FS; Barreto, CC; Henriques, DK; Campos, LP; Carvalho-Silva, M; Convey, P; Rosa, LH</t>
  </si>
  <si>
    <t>Camara, Paulo E. A. S.; Bones, Fabio Leal Viana; Cardoso Lopes, Fabyano Alvares; Oliveira, Fabio S.; Barreto, Cristine Chaves; Henriques, Diego Knop; Campos, Larissa Paraguassu; Carvalho-Silva, Micheline; Convey, Peter; Rosa, Luiz Henrique</t>
  </si>
  <si>
    <t>DNA Metabarcoding Reveals Cryptic Diversity in Forest Soils on the Isolated Brazilian Trindade Island, South Atlantic</t>
  </si>
  <si>
    <t>MICROBIAL ECOLOGY</t>
  </si>
  <si>
    <t>Conservation; Environmental DNA; Soil; South Atlantic islands</t>
  </si>
  <si>
    <t>MOLECULAR PHYLOGENY; OCEAN; MORTIERELLA; COMMUNITIES; DESTRUCTANS; SUCCESSIONS; VAHLKAMPFIA; ANTARCTICA; ABUNDANCE; PATTERNS</t>
  </si>
  <si>
    <t>Located 1140 km from the South American coastline in the South Atlantic Ocean and with an age of 4 million years, Trindade Island is the most recent volcanic component of Brazilian territory. Its original native vegetation has been severely damaged by human influence, in particular through the introduction of exotic grazing animals such as goats. However, since the complete eradication of goats and other feral animals in the late 1990s, the island's vegetation has been recovering, and even some endemic species that had been considered extinct have been rediscovered. In this study, we set out to characterize the contemporary cryptic diversity in soils of the recovering native forest of Trindade Island using metabarcoding by high throughput sequencing (HTS). The sequence diversity obtained was dominated by microorganisms, including three domains (Bacteria, Archaea, and Eukarya) and five kingdoms (Fungi, Metazoa, Protozoa, Chromista, and Viridiplantae). Bacteria were represented by 20 phyla and 116 taxa, with Archaea by only one taxon. Fungi were represented by seven phyla and 250 taxa, Viridiplantae by five phyla and six taxa, Protozoa by five phyla and six taxa, Metazoa by three phyla and four taxa and Chromista by two phyla and two taxa. Even after the considerable anthropogenic impacts and devastation of the island's natural forest, our sequence data reveal the presence of a rich and complex diversity of microorganisms, invertebrates, and plants and provide important baseline biodiversity information that will contribute to ecological restoration efforts on the island.</t>
  </si>
  <si>
    <t>[Camara, Paulo E. A. S.; Henriques, Diego Knop; Carvalho-Silva, Micheline] Univ Brasilia, Dept Bot, Brasilia, DF, Brazil; [Camara, Paulo E. A. S.; Bones, Fabio Leal Viana] Univ Fed Santa Catarina, Pos Grad Plantas Fungos &amp; Algas, Florianopolis, SC, Brazil; [Cardoso Lopes, Fabyano Alvares] Univ Fed Tocantins, Lab Microbiol, Palmas, Brazil; [Oliveira, Fabio S.] Univ Fed Minas Gerais, Dept Geog, Belo Horizonte, MG, Brazil; [Barreto, Cristine Chaves] Univ Catolica Brasilia, Brasilia, DF, Brazil; [Campos, Larissa Paraguassu] Univ Fed Ouro Preto, Dept Geol, Ouro Preto, Brazil; [Convey, Peter] British Antarctic Survey, Cambridge, England; [Convey, Peter] Univ Johannesburg, Dept Zool, Johannesburg, South Africa; [Rosa, Luiz Henrique] Univ Fed Minas Gerais, Dept Microbiol, Belo Horizonte, MG, Brazil</t>
  </si>
  <si>
    <t>Universidade de Brasilia; Universidade Federal de Santa Catarina (UFSC); Universidade Federal do Tocantins (UFT); Universidade Federal de Minas Gerais; Universidade Catolica de Brasilia; Universidade Federal de Ouro Preto; UK Research &amp; Innovation (UKRI); Natural Environment Research Council (NERC); NERC British Antarctic Survey; University of Johannesburg; Universidade Federal de Minas Gerais</t>
  </si>
  <si>
    <t>Câmara, PEAS (corresponding author), Univ Brasilia, Dept Bot, Brasilia, DF, Brazil.;Câmara, PEAS (corresponding author), Univ Fed Santa Catarina, Pos Grad Plantas Fungos &amp; Algas, Florianopolis, SC, Brazil.</t>
  </si>
  <si>
    <t>pcamara@unb.br</t>
  </si>
  <si>
    <t>Lopes, Fabyano/F-7558-2018; Oliveira, Fabio/AAJ-7764-2021; Camara, Paulo/GPP-2054-2022; Convey, Peter/AAV-5728-2020; Barreto, Cristine Chaves/G-2846-2013; Campos, Larissa/HNJ-0414-2023</t>
  </si>
  <si>
    <t>Lopes, Fabyano/0000-0002-4565-9103; Oliveira, Fabio/0000-0002-1450-7609; Camara, Paulo/0000-0002-3944-996X; Convey, Peter/0000-0001-8497-9903; Barreto, Cristine Chaves/0000-0001-5067-1329;</t>
  </si>
  <si>
    <t>CNPq; CAPES; FAPEMIG; NERC</t>
  </si>
  <si>
    <t>CNPq(Conselho Nacional de Desenvolvimento Cientifico e Tecnologico (CNPQ)); CAPES(Coordenacao de Aperfeicoamento de Pessoal de Nivel Superior (CAPES)); FAPEMIG(Fundacao de Amparo a Pesquisa do Estado de Minas Gerais (FAPEMIG)); NERC(UK Research &amp; Innovation (UKRI)Natural Environment Research Council (NERC))</t>
  </si>
  <si>
    <t>This study received financial support from CNPq, CAPES, and FAPEMIG. Peter Convey is supported by NERC core funding to the BAS Biodiversity, Evolution, and Adaptation Team.</t>
  </si>
  <si>
    <t>0095-3628</t>
  </si>
  <si>
    <t>1432-184X</t>
  </si>
  <si>
    <t>MICROB ECOL</t>
  </si>
  <si>
    <t>Microb. Ecol.</t>
  </si>
  <si>
    <t>APR</t>
  </si>
  <si>
    <t>10.1007/s00248-022-02018-4</t>
  </si>
  <si>
    <t>Ecology; Marine &amp; Freshwater Biology; Microbiology</t>
  </si>
  <si>
    <t>Environmental Sciences &amp; Ecology; Marine &amp; Freshwater Biology; Microbiology</t>
  </si>
  <si>
    <t>F4FJ4</t>
  </si>
  <si>
    <t>WOS:000788509900001</t>
  </si>
  <si>
    <t>Libera, S; Hobbs, W; Klocker, A; Meyer, A; Matear, R</t>
  </si>
  <si>
    <t>Libera, Stephy; Hobbs, Will; Klocker, Andreas; Meyer, Amelie; Matear, Richard</t>
  </si>
  <si>
    <t>Ocean-Sea Ice Processes and Their Role in Multi-Month Predictability of Antarctic Sea Ice</t>
  </si>
  <si>
    <t>sea ice; Antarctic; Southern Ocean; predictability; ice-ocean interaction; Weddell Sea</t>
  </si>
  <si>
    <t>MODEL; VARIABILITY; ATMOSPHERE</t>
  </si>
  <si>
    <t>Antarctic sea ice is a critical component of the climate system and a vital habitat for Southern Ocean ecosystems. Understanding the underlying physical processes and improving Antarctic sea ice prediction is of broad interest. Using the model data, we investigate sea ice and upper ocean predictability at interannual timescales in the Weddell Sea region. We find that oceanic predictability is largely confined to the Winter Water layer and responds to seasonal modifications of the water column, mainly driven by sea ice processes. Predictability depends not only on the depth of the Winter Water layer, but also on how strongly stratified its base is. Predictability is lost when warm Circumpolar Deep Water with no sea ice-related memory entrains into the mixed layer. We show the strong dependence of sea ice predictability on the local upper ocean vertical structure, which suggests that both are likely to change in a warming climate.</t>
  </si>
  <si>
    <t>[Libera, Stephy; Meyer, Amelie] Univ Tasmania, Inst Marine &amp; Antarctic Studies, Hobart, Tas, Australia; [Libera, Stephy; Hobbs, Will; Meyer, Amelie] Australian Res Council, Ctr Excellence Climate Extremes, Sydney, NSW, Australia; [Hobbs, Will] Univ Tasmania, Inst Marine &amp; Antarctic Studies, Australian Antarctic Program Partnership, Hobart, Tas, Australia; [Klocker, Andreas] Univ Oslo, Dept Geosci, Oslo, Norway; [Matear, Richard] CSIRO Oceans &amp; Atmosphere, Hobart, Tas, Australia</t>
  </si>
  <si>
    <t>University of Tasmania; University of Tasmania; University of Oslo; Commonwealth Scientific &amp; Industrial Research Organisation (CSIRO)</t>
  </si>
  <si>
    <t>Libera, S (corresponding author), Univ Tasmania, Inst Marine &amp; Antarctic Studies, Hobart, Tas, Australia.;Libera, S (corresponding author), Australian Res Council, Ctr Excellence Climate Extremes, Sydney, NSW, Australia.</t>
  </si>
  <si>
    <t>stephy.libera@utas.edu.au</t>
  </si>
  <si>
    <t>; Hobbs, Will/G-5116-2014; matear, richard/C-5133-2011; Klocker, Andreas/E-4632-2011</t>
  </si>
  <si>
    <t>Meyer, Amelie/0000-0003-0447-795X; Hobbs, Will/0000-0002-2061-0899; matear, richard/0000-0002-3225-0800; Libera, Stephy/0000-0003-1730-4572; Klocker, Andreas/0000-0002-2038-7922</t>
  </si>
  <si>
    <t>Australian Government as part of the Antarctic Science Collaboration Initiative program; Australian Antarctic Division, CSIRO Oceans and Atmosphere, Geoscience Australia; Bureau of Meteorology; Australian Research Council Center of Excellence for Climate Extremes [CE170100023]; Australian Research Council [DE200100414]; CSIRO Postgraduate scheme; Australian government - Australian Research Council through its Linkage Program [LP160100073]; University of Tasmania, as part of the Wiley - University of Tasmania agreement via the Council of Australian University Librarians; Australian Research Council [DE200100414, LP160100073] Funding Source: Australian Research Council</t>
  </si>
  <si>
    <t>Australian Government as part of the Antarctic Science Collaboration Initiative program(Australian Government); Australian Antarctic Division, CSIRO Oceans and Atmosphere, Geoscience Australia; Bureau of Meteorology(Bureau of Meteorology - Australia); Australian Research Council Center of Excellence for Climate Extremes(Australian Research Council); Australian Research Council(Australian Research Council); CSIRO Postgraduate scheme; Australian government - Australian Research Council through its Linkage Program; University of Tasmania, as part of the Wiley - University of Tasmania agreement via the Council of Australian University Librarians; Australian Research Council(Australian Research Council)</t>
  </si>
  <si>
    <t>This project received grant funding from the Australian Government as part of the Antarctic Science Collaboration Initiative program.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SL and AM acknowledge support from the Australian Research Council Center of Excellence for Climate Extremes (CE170100023). A. Meyer was supported by the Australian Research Council Discovery Early Career Research Award project DE200100414. S. Libera acknowledges Quantitative Marine Science (QMS) research scholarship (including support from the CSIRO Postgraduate scheme), University of Tasmania tuition fee scholarship. This research was undertaken with the assistance of resources from the National Computational Infrastructure (NCI), which is supported by the Australian government. We thank the Consortium for Ocean-Sea Ice Modeling in Australia (COSIMA; ), funded by the Australian Research Council through its Linkage Program (LP160100073), for making the ACCESS-OM2 suite of models available. Open access publishing facilitated by University of Tasmania, as part of the Wiley - University of Tasmania agreement via the Council of Australian University Librarians.</t>
  </si>
  <si>
    <t>e2021GL097047</t>
  </si>
  <si>
    <t>10.1029/2021GL097047</t>
  </si>
  <si>
    <t>0U5DX</t>
  </si>
  <si>
    <t>WOS:000787672200001</t>
  </si>
  <si>
    <t>Wu, YM; Liao, J; Guo, F; Wang, XC; Shen, YQ</t>
  </si>
  <si>
    <t>Wu, Yangming; Liao, Jie; Guo, Feng; Wang, Xuan-Ce; Shen, Yongqiang</t>
  </si>
  <si>
    <t>Styles of Trench-Parallel Mid-Ocean Ridge Subduction Affect Cenozoic Geological Evolution in Circum-Pacific Continental Margins</t>
  </si>
  <si>
    <t>subduction; mid-ocean ridge; slab dips; numerical modeling</t>
  </si>
  <si>
    <t>RUSSIAN FAR-EAST; ALIN OROGENIC BELT; SHIMANTO ACCRETIONARY COMPLEX; ACTIVE SPREADING RIDGE; SLAB WINDOW MAGMAS; LAGO BUENOS-AIRES; CRUSTAL GROWTH; SOUTH-AMERICA; ALKALINE VOLCANISM; BAJA-CALIFORNIA</t>
  </si>
  <si>
    <t>Distinct signatures are present in the circum-Pacific continental margins (e.g., kinematics, magmatism, and basin evolution), possibly influenced by the input of mid-ocean ridge. It remains enigmatic why the circum-Pacific continental margins that have experienced trench-parallel mid-ocean ridge subduction show diverse geological evolution. Here we present geodynamic modeling results investigating trench-parallel mid-ocean ridge subduction and demonstrate two distinct types of model evolution. Type-I model includes a two-stage steep subduction and is featured by slab detachment preceding the arrival of ridge at the trench. Type-II model is marked by a continuous flat subduction of mid-ocean ridge with the opening of a slab window beneath intracontinental lithosphere. These two subduction styles produce diverse tectono-magmatic responses. Our results could explain the magmatic gap and forearc uplift during the Izanagi-Pacific ridge subduction and the intraplate magmatic flare-ups and tectonic uplift during the Nazca-Antarctic ridge subduction, respectively.</t>
  </si>
  <si>
    <t>[Wu, Yangming; Liao, Jie; Shen, Yongqiang] Sun Yat Sen Univ, Sch Earth Sci &amp; Engn, Guangzhou, Peoples R China; [Wu, Yangming; Liao, Jie] Southern Marine Sci &amp; Engn Guangdong Lab Zhuhai, Zhuhai, Peoples R China; [Liao, Jie] Guangdong Prov Key Lab Geodynam &amp; Geohazards, Guangzhou, Peoples R China; [Guo, Feng] Chinese Acad Sci, Guangzhou Inst Geochem, State Key Lab Isotope Geochem, Guangzhou, Peoples R China; [Wang, Xuan-Ce] Yunnan Univ, Key Lab Crit Minerals Metallogeny Univ Yunnan Pro, Sch Earth Sci, Kunming, Yunnan, Peoples R China</t>
  </si>
  <si>
    <t>Sun Yat Sen University; Southern Marine Science &amp; Engineering Guangdong Laboratory; Southern Marine Science &amp; Engineering Guangdong Laboratory (Zhuhai); Chinese Academy of Sciences; Guangzhou Institute of Geochemistry, CAS; Yunnan University</t>
  </si>
  <si>
    <t>Liao, J (corresponding author), Sun Yat Sen Univ, Sch Earth Sci &amp; Engn, Guangzhou, Peoples R China.;Liao, J (corresponding author), Southern Marine Sci &amp; Engn Guangdong Lab Zhuhai, Zhuhai, Peoples R China.;Liao, J (corresponding author), Guangdong Prov Key Lab Geodynam &amp; Geohazards, Guangzhou, Peoples R China.</t>
  </si>
  <si>
    <t>liaojie5@mail.sysu.edu.cn</t>
  </si>
  <si>
    <t>Shen, Yongqiang/N-7902-2013; GUO, FENG/JRX-3555-2023; Wu, Yangming/JAD-1403-2023; Wang, Xuan-Ce/F-1516-2010</t>
  </si>
  <si>
    <t>Guo, Feng/0000-0001-7035-4806; Wang, Xuan-Ce/0000-0001-7276-6273; Liao, Jie/0000-0002-1106-2536; Wu, Yangming/0000-0002-5833-3743</t>
  </si>
  <si>
    <t>China Postdoctoral Science Foundation [2020M683026]; National Natural Science Foundation of China [42104093, 42021002, U1901214, 41974104, 91855208]; Innovation Group Project of Southern Marine Science and Engineering Guangdong Laboratory (Zhuhai) [311021003]</t>
  </si>
  <si>
    <t>China Postdoctoral Science Foundation(China Postdoctoral Science Foundation); National Natural Science Foundation of China(National Natural Science Foundation of China (NSFC)); Innovation Group Project of Southern Marine Science and Engineering Guangdong Laboratory (Zhuhai)</t>
  </si>
  <si>
    <t>This work was supported by the China Postdoctoral Science Foundation (2020M683026), National Natural Science Foundation of China (42104093, 42021002, U1901214, 41974104, 91855208), and project supported by Innovation Group Project of Southern Marine Science and Engineering Guangdong Laboratory (Zhuhai) (311021003). We thank Taras Gerya for his long-lasting guidance on geodynamic modeling. We thank Qingwen Zhang and Jianfeng Yang for their fruitful discussions. We are also thankful to two anonymous reviewers for their valuable comments and suggestions for improving the manuscript, and the Editor, Lucy Flesch. Numerical simulations were run with the clusters of National Supercomputer Center in Guangzhou (Tianhe-II).</t>
  </si>
  <si>
    <t>e2022GL098428</t>
  </si>
  <si>
    <t>10.1029/2022GL098428</t>
  </si>
  <si>
    <t>0U5FK</t>
  </si>
  <si>
    <t>WOS:000787676100001</t>
  </si>
  <si>
    <t>Závacká, K; Nedela, V; Olbert, M; Tihlaríková, E; Vetrakova, L; Yang, X; Heger, D</t>
  </si>
  <si>
    <t>Zavacka, Kamila; Nedela, Vilem; Olbert, Martin; Tihlarikova, Eva; Vetrakova, L'ubica; Yang, Xin; Heger, Dominik</t>
  </si>
  <si>
    <t>Temperature and Concentration Affect Particle Size Upon Sublimation of Saline Ice: Implications for Sea Salt Aerosol Production in Polar Regions</t>
  </si>
  <si>
    <t>sea salt aerosols; ozone depletion; sublimation; microscopy; eutectic temperature; bromine explosion</t>
  </si>
  <si>
    <t>SCANNING-ELECTRON-MICROSCOPE; SPRAY AEROSOL; SNOW; OZONE; BRINE; AIR; METAMORPHISM; MORPHOLOGY; INCLUSIONS; SURFACE</t>
  </si>
  <si>
    <t>Using an environmental scanning electron microscope, we quantified for the first time aerosol-sized salt particles formed during the sublimation of sea ice as a function of temperature and concentration. The sublimation temperature of the ice is a dominating physical factor to determine the size of the residua: Below -20 degrees C, micron-sized pieces of salt emerge, whereas above the temperature large chunks of salt are detected. Another such aspect influencing the distribution of sizes in salt particles is the concentration: Micron-sized particles are observed exclusively at salinities below 3.5 psu, while below 0.085 psu particles with a median smaller than 6 mu m arise from sea ices at any subzero temperature. Moreover, when a chunk of salt sublimes at less than -30 degrees C to be dried and warmed later, a large number of sub-micron crystals will appear. We relate our findings to the production of the polar atmospheric sea salt aerosols.</t>
  </si>
  <si>
    <t>[Zavacka, Kamila; Nedela, Vilem; Olbert, Martin; Tihlarikova, Eva; Vetrakova, L'ubica] Czech Acad Sci, Environm Electron Microscopy Grp, Inst Sci Instruments, Brno, Czech Republic; [Yang, Xin] NERC, British Antarctic Survey, Cambridge, England; [Heger, Dominik] Masaryk Univ, Dept Chem, Brno, Czech Republic</t>
  </si>
  <si>
    <t>Czech Academy of Sciences; Institute of Scientific Instruments of the Czech Academy of Sciences; UK Research &amp; Innovation (UKRI); Natural Environment Research Council (NERC); NERC British Antarctic Survey; Masaryk University Brno</t>
  </si>
  <si>
    <t>Heger, D (corresponding author), Masaryk Univ, Dept Chem, Brno, Czech Republic.</t>
  </si>
  <si>
    <t>hegerd@chemi.muni.cz</t>
  </si>
  <si>
    <t>Olbert, Martin/AGD-0568-2022; Heger, Dominik/V-4369-2019; Vetráková, Ľubica/F-5040-2017; Tihlarikova, Eva/F-8211-2014</t>
  </si>
  <si>
    <t>Olbert, Martin/0000-0003-2280-3341; Heger, Dominik/0000-0002-6881-8699; Vetráková, Ľubica/0000-0003-3536-1706; Yang, Xin/0000-0002-3838-9758</t>
  </si>
  <si>
    <t>Czech Science Foundation [19-08239S, 22-25799S]; UK Natural Environment Research Council Arctic office via the UK-Canada bursary program (2018/2019)</t>
  </si>
  <si>
    <t>Czech Science Foundation(Grant Agency of the Czech Republic); UK Natural Environment Research Council Arctic office via the UK-Canada bursary program (2018/2019)</t>
  </si>
  <si>
    <t>This project was supported by Czech Science Foundation grants no. 19-08239S and no. 22-25799S; further funding was provided by the UK Natural Environment Research Council Arctic office via the UK-Canada bursary program (2018/2019).</t>
  </si>
  <si>
    <t>e2021GL097098</t>
  </si>
  <si>
    <t>10.1029/2021GL097098</t>
  </si>
  <si>
    <t>0S5TQ</t>
  </si>
  <si>
    <t>Bronze, Green Accepted</t>
  </si>
  <si>
    <t>WOS:000786336300001</t>
  </si>
  <si>
    <t>Mohrmann, M; Swart, S; Heuzé, C</t>
  </si>
  <si>
    <t>Mohrmann, M.; Swart, S.; Heuze, C.</t>
  </si>
  <si>
    <t>Observed Mixing at the Flanks of Maud Rise in the Weddell Sea</t>
  </si>
  <si>
    <t>frontal intrusions; Maud Rise; vertical profiling float observations; interleaving; upwelling of heat</t>
  </si>
  <si>
    <t>THERMOHALINE INTRUSIONS; OCEAN; CIRCULATION; POLYNYAS</t>
  </si>
  <si>
    <t>Maud Rise is a seamount in the eastern Weddell Sea and the location of polynyas and a persistent halo of reduced sea ice. We present novel in situ data from two profiling floats with up to daily resolved hydrographic profiles in this region. The water properties below the mixed layer of the Maud Rise region are significantly correlated with bathymetric depth; thus, the Maud Rise flank defines the front between the Warm Deep Water of the abyssal ocean and the colder Taylor cap over Maud Rise. We analyze the spiciness curvature in density space to quantify the observed frequency or magnitude of intrusions, which are substantially increased along the flanks of Maud Rise. These intrusions are indicative of enhanced lateral and vertical mixing along heavily sloping isopycnals, creating favorable conditions for thermobaric and double diffusive convection and likely facilitating the formation of the Maud Rise halo and polynyas.</t>
  </si>
  <si>
    <t>[Mohrmann, M.; Swart, S.] Univ Gothenburg, Dept Marine Sci, Gothenburg, Sweden; [Swart, S.] Univ Cape Town, Dept Oceanog, Rondebosch, South Africa; [Heuze, C.] Univ Gothenburg, Dept Earth Sci, Gothenburg, Sweden</t>
  </si>
  <si>
    <t>University of Gothenburg; University of Cape Town; University of Gothenburg</t>
  </si>
  <si>
    <t>Mohrmann, M (corresponding author), Univ Gothenburg, Dept Marine Sci, Gothenburg, Sweden.</t>
  </si>
  <si>
    <t>martin.mohrmann@gu.se</t>
  </si>
  <si>
    <t>Heuzé, Céline/U-5058-2017; Swart, Sebastiaan/U-5498-2017</t>
  </si>
  <si>
    <t>Heuzé, Céline/0000-0002-8850-5868; Swart, Sebastiaan/0000-0002-2251-8826; Mohrmann, Martin/0000-0001-8056-4866</t>
  </si>
  <si>
    <t>University of Gothenburg Climate Fund; Swedish National Space Agency [DNR 164/18]; Wallenberg Academy Fellowship [WAF 2015.0186]; Swedish Research Council [VR 2019-04400]; STINT-NRF Mobility Grant [STNT180910357293]; European Union [821001 SO-CHIC]</t>
  </si>
  <si>
    <t>University of Gothenburg Climate Fund; Swedish National Space Agency(Swedish National Space Agency (SNSA)); Wallenberg Academy Fellowship; Swedish Research Council(Swedish Research Council); STINT-NRF Mobility Grant; European Union(European Union (EU))</t>
  </si>
  <si>
    <t>We thank two anonymous reviewers for their comments, which helped us improve the presentation of our results and frame the presented research in a wider scientific context. We thank Hannah Joy-Warren and Aditya Narayanan for helpful comments on the draft of the paper. The University of Gothenburg Climate Fund kindly supported the purchase of one of our profiling floats. Funding for C.H. was provided by the Swedish National Space Agency (DNR 164/18). Funding for S.S. was provided by a Wallenberg Academy Fellowship (WAF 2015.0186), Swedish Research Council (VR 2019-04400), STINT-NRF Mobility Grant (STNT180910357293) and the European Union's Horizon 2020 research and innovation program (821001 SO-CHIC). We are grateful for the assistance in deploying high-frequency profiling floats by the officers and crew of the S.A. Agulhas II and the South African National Antarctic Programme.</t>
  </si>
  <si>
    <t>e2022GL098036</t>
  </si>
  <si>
    <t>10.1029/2022GL098036</t>
  </si>
  <si>
    <t>0O0DK</t>
  </si>
  <si>
    <t>WOS:000783199000001</t>
  </si>
  <si>
    <t>Xie, YH; Tamsitt, V; Bach, LT</t>
  </si>
  <si>
    <t>Xie, Yinghuan; Tamsitt, Veronica; Bach, Lennart T.</t>
  </si>
  <si>
    <t>Localizing the Southern Ocean Biogeochemical Divide</t>
  </si>
  <si>
    <t>meridional overturning circulation; Antarctic bottom water; Lagrangian experiment; Ekman transport; Antarctic intermediate water; Antarctic Polar Front</t>
  </si>
  <si>
    <t>SEA-ICE; NUTRIENTS</t>
  </si>
  <si>
    <t>The meridional overturning circulation consists of an upper and lower cell. The Southern Ocean Biogeochemical Divide (SOBD) is the boundary between the two cells in the surface of the Southern Ocean, but its location is poorly constrained. Localizing the SOBD is important because biological nutrient utilization north and south of the SOBD have fundamentally different consequences for global ocean primary production and carbon sequestration. Here, we aim to localize the SOBD by releasing virtual Lagrangian particles south of 40 degrees S in an eddying ocean sea-ice model and compare simulation results with observations. We find that the SOBD is a circumpolar band, where different sectors are shaped by different oceanographic features: (a) Ekman transport, (b) the gamma = 27.6 kg m(-3) neutral density outcrop, and (c) fronts associated with the Antarctic Circumpolar Current. Our findings help to understand how nutrient utilization in different parts of the Southern Ocean affects the biologically driven carbon sequestration.</t>
  </si>
  <si>
    <t>[Xie, Yinghuan; Bach, Lennart T.] Univ Tasmania, Inst Marine &amp; Antarctic Studies, Hobart, Tas, Australia; [Xie, Yinghuan] Ocean Univ China, Coll Ocean &amp; Atmospher Sci, Qingdao, Peoples R China; [Tamsitt, Veronica] Univ S Florida, Coll Marine Sci, St Petersburg, FL USA</t>
  </si>
  <si>
    <t>University of Tasmania; Ocean University of China; State University System of Florida; University of South Florida</t>
  </si>
  <si>
    <t>Xie, YH (corresponding author), Univ Tasmania, Inst Marine &amp; Antarctic Studies, Hobart, Tas, Australia.;Xie, YH (corresponding author), Ocean Univ China, Coll Ocean &amp; Atmospher Sci, Qingdao, Peoples R China.</t>
  </si>
  <si>
    <t>Yinghuan.Xie@utas.edu.au</t>
  </si>
  <si>
    <t>Bach, Lennart/0000-0003-0202-3671; Xie, Yinghuan/0000-0001-6809-1920</t>
  </si>
  <si>
    <t>Australian Commonwealth Government; Centre for Southern Hemisphere Oceans Research (CSHOR); Australian Research Council [FT200100846]; Australian Research Council [FT200100846] Funding Source: Australian Research Council</t>
  </si>
  <si>
    <t>Australian Commonwealth Government(Australian Government); Centre for Southern Hemisphere Oceans Research (CSHOR); Australian Research Council(Australian Research Council); Australian Research Council(Australian Research Council)</t>
  </si>
  <si>
    <t>We thank Helen Phillips and Pete Strutton for helpful comments on an earlier version of this manuscript. This research was undertaken on the National Computational Infrastructure (NCI) in Canberra, Australia, which is supported by the Australian Commonwealth Government. V. Tamsitt acknowledges support from the Centre for Southern Hemisphere Oceans Research (CSHOR). CSHOR is a joint research Centre for Southern Hemisphere Oceans Research between QNLM, CSIRO, UNSW and UTAS. L. T. Bach acknowledges funding from the Australian Research Council received through a Future Fellowship (FT200100846). Open access publishing facilitated by University of Tasmania, as part of the Wiley University of Tasmania agreement via the Council of Australian University Librarians.</t>
  </si>
  <si>
    <t>e2022GL098260</t>
  </si>
  <si>
    <t>10.1029/2022GL098260</t>
  </si>
  <si>
    <t>0O8FP</t>
  </si>
  <si>
    <t>WOS:000783759600001</t>
  </si>
  <si>
    <t>Mak, J; Marshall, DP; Madec, G; Maddison, JR</t>
  </si>
  <si>
    <t>Mak, J.; Marshall, D. P.; Madec, G.; Maddison, J. R.</t>
  </si>
  <si>
    <t>Acute Sensitivity of Global Ocean Circulation and Heat Content to Eddy Energy Dissipation Timescale</t>
  </si>
  <si>
    <t>eddy parameterization; ocean modeling; Southern Ocean; global overturning circulation; eddy energetics</t>
  </si>
  <si>
    <t>SOUTHERN-OCEAN; OVERTURNING CIRCULATION; SATURATION; EDDIES; PARAMETERIZATION; VARIABILITY; BACKSCATTER; FRAMEWORK; GHENT; FLOW</t>
  </si>
  <si>
    <t>The global ocean overturning circulation, critically dependent on the global density stratification, plays a central role in regulating climate evolution. While it is well known that the global stratification profile exhibits a strong dependence to Southern Ocean dynamics and in particular to wind and buoyancy forcing, we demonstrate here that the stratification is also acutely sensitive to the mesoscale eddy energy dissipation timescale. Within the context of a global ocean circulation model with an energy constrained mesoscale eddy parameterization, it is shown that modest variations in the eddy energy dissipation timescale lead to significant variations in key metrics relating to ocean circulation, namely the Antarctic Circumpolar Current transport, Atlantic Meridional Overturning Circulation strength, and global ocean heat content, over long timescales. The results highlight a need to constrain uncertainties associated with eddy energy dissipation for climate model projections over centennial timescales and also for paleoclimate simulations over millennial timescales.</t>
  </si>
  <si>
    <t>[Mak, J.; Marshall, D. P.] Univ Oxford, Dept Phys, Oxford, England; [Mak, J.] Hong Kong Univ Sci &amp; Technol, Dept Ocean Sci, Hong Kong, Peoples R China; [Mak, J.] Hong Kong Univ Sci &amp; Technol, Ctr Ocean Res Hong Kong &amp; Macau, Hong Kong, Peoples R China; [Madec, G.] Univ Pierre &amp; Marie Curie Paris 6, LOCEAN Lab, Sorbonne Univ, CNRS,IRD,MNHN, Paris, France; [Maddison, J. R.] Univ Edinburgh, Sch Math, Edinburgh, Midlothian, Scotland; [Maddison, J. R.] Univ Edinburgh, Maxwell Inst Math Sci, Edinburgh, Midlothian, Scotland</t>
  </si>
  <si>
    <t>University of Oxford; Hong Kong University of Science &amp; Technology; Hong Kong University of Science &amp; Technology; Museum National d'Histoire Naturelle (MNHN); Centre National de la Recherche Scientifique (CNRS); Institut de Recherche pour le Developpement (IRD); Sorbonne Universite; University of Edinburgh; University of Edinburgh; Heriot Watt University</t>
  </si>
  <si>
    <t>Mak, J (corresponding author), Univ Oxford, Dept Phys, Oxford, England.;Mak, J (corresponding author), Hong Kong Univ Sci &amp; Technol, Dept Ocean Sci, Hong Kong, Peoples R China.;Mak, J (corresponding author), Hong Kong Univ Sci &amp; Technol, Ctr Ocean Res Hong Kong &amp; Macau, Hong Kong, Peoples R China.</t>
  </si>
  <si>
    <t>julian.c.l.mak@googlemail.com</t>
  </si>
  <si>
    <t>madec, gurvan/E-7825-2010; Marshall, David Philip/B-6767-2009</t>
  </si>
  <si>
    <t>madec, gurvan/0000-0002-6447-4198; Marshall, David Philip/0000-0002-5199-6579; Mak, Julian/0000-0001-5862-6469</t>
  </si>
  <si>
    <t>UK Natural Environment Research Council [NE/R000999/1]; Hong Kong RGC Early Career Scheme [2630020]; Center for Ocean Research in Hong Kong and Macau; NERC [NE/R000999/1] Funding Source: UKRI</t>
  </si>
  <si>
    <t>UK Natural Environment Research Council(UK Research &amp; Innovation (UKRI)Natural Environment Research Council (NERC)); Hong Kong RGC Early Career Scheme; Center for Ocean Research in Hong Kong and Macau; NERC(UK Research &amp; Innovation (UKRI)Natural Environment Research Council (NERC))</t>
  </si>
  <si>
    <t>This work was funded by the UK Natural Environment Research Council grant NE/R000999/1 and utilized the ARCHER UK National Supercomputing Service. JM also acknowledges financial support from the Hong Kong RGC Early Career Scheme 2630020 and the Center for Ocean Research in Hong Kong and Macau, a joint research center between the Qingdao National Laboratory for Marine Science and Technology and Hong Kong University of Science and Technology. The authors would like to thank Andrew Coward for providing access to the ORCA0083-N01 data set through the ARCHER RDF service, Xiaoming Zhai for discussions relating to observational inferences of the eddy energy residence timescale, George Nurser for discussions in relation to the GEOMETRIC implementation and outlooks, and Baylor Fox-Kemper as well as an anonymous referee for their review comments that led to improvements to the article.</t>
  </si>
  <si>
    <t>e2021GL097259</t>
  </si>
  <si>
    <t>10.1029/2021GL097259</t>
  </si>
  <si>
    <t>0M8XH</t>
  </si>
  <si>
    <t>Green Published, hybrid, Green Submitted</t>
  </si>
  <si>
    <t>WOS:000782431200001</t>
  </si>
  <si>
    <t>Xia, ZY; Chen, LJ; Horne, RB; Bortnik, J</t>
  </si>
  <si>
    <t>Xia, Zhiyang; Chen, Lunjin; Horne, Richard B.; Bortnik, Jacob</t>
  </si>
  <si>
    <t>Whistler Waves Above the Lower Hybrid Frequency in the Ionosphere and Their Counterparts in the Magnetosphere</t>
  </si>
  <si>
    <t>whistler mode waves; plasmaspheric hiss; lower hybrid resonance; M-I coupling; magnetospheric reflection; ray tracing</t>
  </si>
  <si>
    <t>PROCESSING ONBOARD DEMETER; PLASMASPHERIC HISS; SCIENTIFIC OBJECTIVES; RESONANT SCATTERING; ENERGETIC ELECTRONS; FIELD EXPERIMENT; VLF WAVES; PROPAGATION; GENERATION; ANGLE</t>
  </si>
  <si>
    <t>In this study, we report the statistical properties of whistler mode lower hybrid (LH) emissions in the ionosphere, which have structureless spectra with a lower frequency boundary that matches the variation of the local lower hybrid resonance frequency f(LHR). A potential source for the LH emissions is identified as the high-frequency plasmaspheric hiss (HFPH) in the magnetosphere. We use Detection of Electromagnetic Emissions Transmitted from Earthquake Regions and Van Allen Probes data to perform a statistical study of the wave power distribution of the LH emissions and HFPH. Both LH and HFPH emissions show a similar frequency range, a similar invariant magnetic latitude range, and have similar trends in magnetic local time (stronger wave intensity on the dayside) and in the auroral electrojet (AE) index (stronger wave intensity for higher AE condition). A ray tracing simulation is also performed to demonstrate the propagation of HFPH waves from the magnetosphere into the ionosphere as LH waves.</t>
  </si>
  <si>
    <t>[Xia, Zhiyang; Chen, Lunjin] Univ Texas Dallas, Dept Phys, Richardson, TX 75083 USA; [Horne, Richard B.] British Antarctic Survey, Cambridge, England; [Bortnik, Jacob] UCLA, Dept Atmospher &amp; Ocean Sci, Los Angeles, CA USA</t>
  </si>
  <si>
    <t>University of Texas System; University of Texas Dallas; UK Research &amp; Innovation (UKRI); Natural Environment Research Council (NERC); NERC British Antarctic Survey; University of California System; University of California Los Angeles</t>
  </si>
  <si>
    <t>Xia, ZY; Chen, LJ (corresponding author), Univ Texas Dallas, Dept Phys, Richardson, TX 75083 USA.</t>
  </si>
  <si>
    <t>Zhiyang.Xia@utdallas.edu; lunjin.chen@gmail.com</t>
  </si>
  <si>
    <t>Horne, Richard B/U-3764-2019; Chen, Lunjin/L-1250-2013</t>
  </si>
  <si>
    <t>Horne, Richard B/0000-0002-0412-6407; Chen, Lunjin/0000-0003-2489-3571; Xia, Zhiyang/0000-0001-8922-6484</t>
  </si>
  <si>
    <t>National Aeronautics and Space Administration [80NSSC19K0282, 80NSSC20K1324, 80NSSC21K1688, 80NSSC21K0728]; Natural Environment Research Council (NERC) Highlight Topic Grant [NE/P01738X/1]; NERC [NE/V00249X/1]; SPF [NE/V00249X/1] Funding Source: UKRI</t>
  </si>
  <si>
    <t>National Aeronautics and Space Administration(National Aeronautics &amp; Space Administration (NASA)); Natural Environment Research Council (NERC) Highlight Topic Grant(UK Research &amp; Innovation (UKRI)Natural Environment Research Council (NERC)); NERC(UK Research &amp; Innovation (UKRI)Natural Environment Research Council (NERC)); SPF</t>
  </si>
  <si>
    <t>The work at the University of Texas at Dallas was supported by National Aeronautics and Space Administration grants 80NSSC19K0282, 80NSSC20K1324, 80NSSC21K1688, and 80NSSC21K0728. R. B. Horne was supported by Natural Environment Research Council (NERC) Highlight Topic Grant NE/P01738X/1 (Rad-Sat) and NERC grant NE/V00249X/1 (Sat-Risk). This study is related to data that was recorded by the Detection of Electromagnetic Emissions Transmitted from Earthquake Regions microsatellite, which was operated thanks to the French Centre National D'Etudes Spatiales. We also thank J. J. Berthelier and J. P. Lebreton, who are the Principal Investigators of Instrument Champ Electrique and Instrument Sonde de Langmuir, respectively.</t>
  </si>
  <si>
    <t>e2022GL098294</t>
  </si>
  <si>
    <t>10.1029/2022GL098294</t>
  </si>
  <si>
    <t>0M0SV</t>
  </si>
  <si>
    <t>WOS:000781875100001</t>
  </si>
  <si>
    <t>Vineeth, C; Ambili, KM; Pant, TK</t>
  </si>
  <si>
    <t>Vineeth, C.; Ambili, K. M.; Pant, T. K.</t>
  </si>
  <si>
    <t>Signature of the midnight temperature maximum in thermospheric oxygen airglow emissions: Results from the ship-borne airglow measurements from the Indian region</t>
  </si>
  <si>
    <t>Equatorial Ionosphere; Airglow; Midnight Temperature Maximum</t>
  </si>
  <si>
    <t>F-REGION; EQUATORIAL; IONOSPHERE; DYNAMICS; DENSITY</t>
  </si>
  <si>
    <t>This paper discusses the results from the aeronomy experiment carried out using a multiwavelength photometer operated onboard Sagar Kanya ship from the Indian region, which covered a latitude region from 14.5 N to 2S (7 degrees to -10 degrees Dip latitudes) along the same longitude region (-72-75E). It has been found that the thermospheric airglows, especially the OI 630.0 nm emission near to the geographic equator exhibits 'Midnight Brightness' on different days of observations. Though the magnitudes were found to be less, the OI 777.4 nm and OI 557.7 nm emissions also exhibited intensity variations on those days, indicating a common causative mechanism for the same. The simulation studies using a quasi-two dimensional ionospheric model, revealed that such an enhancement could be due to the F-region collapse associated with the Midnight Temperature Maximum (MTM) phenomenon. (c) 2022 COSPAR. Published by Elsevier B.V. All rights reserved.</t>
  </si>
  <si>
    <t>[Vineeth, C.; Ambili, K. M.; Pant, T. K.] ISRO, VSSC, Space Phys Lab, Trivandrum 695022, India</t>
  </si>
  <si>
    <t>Department of Space (DoS), Government of India; Indian Space Research Organisation (ISRO); Vikram Sarabhai Space Center (VSSC)</t>
  </si>
  <si>
    <t>Vineeth, C (corresponding author), ISRO, VSSC, Space Phys Lab, Trivandrum 695022, India.</t>
  </si>
  <si>
    <t>cnvins@gmail.com</t>
  </si>
  <si>
    <t>Indian Space Research Organization</t>
  </si>
  <si>
    <t>The authors thank National Centre for Antarctic and Ocean Research, Goa, Director-Vikram Sarabhai Space Centre, Director-Space Physics Laboratory and Chief Sci-entist Dr. S. Suresh Babu for providing an opportunity to conduct this aeronomy experiment onboard Sagar Kanya experimental ship. This work was supported by Indian Space Research Organization.</t>
  </si>
  <si>
    <t>10.1016/j.asr.2022.03.015</t>
  </si>
  <si>
    <t>1H7PX</t>
  </si>
  <si>
    <t>WOS:000796732500004</t>
  </si>
  <si>
    <t>Mathon, L; Marques, V; Mouillot, D; Albouy, C; Andrello, M; Baletaud, F; Borrero-Perez, GH; Dejean, T; Edgar, GJ; Grondin, J; Guerin, PE; Hocde, R; Juhel, JB; Kadarusman, E; Maire, E; Mariani, G; McLean, M; F., AP; Pouyaud, LD; Stuart-Smith, R; Sugeha, HY; Valentini, A; Vigliola, LB; Vimono, I; Pellissier, L</t>
  </si>
  <si>
    <t>Mathon, Laetitia; Marques, Virginie; Mouillot, David; Albouy, Camille; Andrello, Marco; Baletaud, Florian; Borrero-Perez, Giomar H.; Dejean, Tony; Edgar, Graham J.; Grondin, Jonathan; Guerin, Pierre-Edouard; Hocde, Regis; Juhel, Jean-Baptiste; Kadarusman, Eva; Maire, Eva; Mariani, Gael; McLean, Matthew; Polanco F., Andrea; Pouyaud, Laurent D.; Stuart-Smith, Rick; Sugeha, Hagi Yulia; Valentini, Alice; Vigliola, Laurent B.; Vimono, Indra; Pellissier, Loic</t>
  </si>
  <si>
    <t>Cross-ocean patterns and processes in fish biodiversity on coral reefs through the lens of eDNA metabarcoding</t>
  </si>
  <si>
    <t>eDNA metabarcoding; coral reef fish; biogeographic patterns; visual census</t>
  </si>
  <si>
    <t>EXTINCTION RISK; GLOBAL PATTERNS; DIVERSITY; COASTAL; ASSEMBLAGES</t>
  </si>
  <si>
    <t>Increasing speed and magnitude of global change threaten the world's biodiversity and particularly coral reef fishes. A better understanding of large-scale patterns and processes on coral reefs is essential to prevent fish biodiversity decline but it requires new monitoring approaches. Here, we use environmental DNA metabarcoding to reconstruct well-known patterns of fish biodiversity on coral reefs and uncover hidden patterns on these highly diverse and threatened ecosystems. We analysed 226 environmental DNA (eDNA) seawater samples from 100 stations in five tropical regions (Caribbean, Central and Southwest Pacific, Coral Triangle and Western Indian Ocean) and compared those to 2047 underwater visual censuses from the Reef Life Survey in 1224 stations. Environmental DNA reveals a higher (16%) fish biodiversity, with 2650 taxa, and 25% more families than underwater visual surveys. By identifying more pelagic, reef-associated and crypto-benthic species, eDNA offers a fresh view on assembly rules across spatial scales. Nevertheless, the reef life survey identified more species than eDNA in 47 shared families, which can be due to incomplete sequence assignment, possibly combined with incomplete detection in the environment, for some species. Combining eDNA metabarcoding and extensive visual census offers novel insights on the spatial organization of the richest marine ecosystems.</t>
  </si>
  <si>
    <t>[Mathon, Laetitia; Marques, Virginie; Guerin, Pierre-Edouard] PSL Univ, Univ Montpellier, CEFE, CNRS,EPHE, Montpellier, France; [Mathon, Laetitia; Baletaud, Florian; Vimono, Indra] Univ Reunion, Inst Rech Dev IRD, ENTROPIE, UNC,Q1 IFREMER,CNRS, Noumea, New Caledonia, France; [Marques, Virginie; Mouillot, David; Andrello, Marco; Baletaud, Florian; Hocde, Regis; Juhel, Jean-Baptiste; Mariani, Gael; McLean, Matthew] Univ Montpellier, MARBEC, CNRS, IFREMER,IRD, Montpellier, France; [Mouillot, David] Inst Univ France, Vesoul, France; [Albouy, Camille] Inst Agroagrocampus Ouest, DECOD Ecosyst Dynam &amp; Sustainabil, IFREMER, INRAE, Nantes, France; [Baletaud, Florian] SOPRONER, Grp GINGER, F-98000 Noumea, New Caledonia, France; [Borrero-Perez, Giomar H.; Pouyaud, Laurent D.] Museo Hist Nat Marina Colombia MHNMC, Programa Biodivers &amp; Ecosistemas Marinos, Inst Invest Marinas &amp; Costeras INVEMAR, Santa Marta, Colombia; [Dejean, Tony; Grondin, Jonathan; Vigliola, Laurent B.] SPYGEN, Le Bourget du lac, France; [Edgar, Graham J.; Sugeha, Hagi Yulia] Univ Tasmania, Inst Marine, Antarctic Studies, Hobart, Tas, Australia; [Maire, Eva] Politeknik Kelautan dan Perikanan Sorong, KKD BP Sumberdaya Genetik, Konservasi dan Domestikasi, Papua Barat, Indonesia; [Mariani, Gael] Univ Lancaster, Lancaster Environm Ctr, Lancaster LA1 4YQ, England; [Polanco F., Andrea] Dalhousie Univ, Dept Biol, Halifax B3H4R2 A, NS, Canada; [Stuart-Smith, Rick] Univ Montpellier, ISEM, CNRS, EPHE,IRD, Montpellier, France; [Valentini, Alice; Pellissier, Loic] Res Ctr Oceanog, Natl Res &amp; Innovat Agcy, Jl Pasir Putih 1, Ancol Timur, Jakarta Utara 14430, Indonesia; Swiss Fed Inst Technol, Dept Environm Syst Sci, Landscape Ecol, Inst Terr Ecosyst, Zurich, Switzerland; Swiss Fed Res Inst WSL, Unit Land Change Sci, Birmensdorf, Switzerland; [Andrello, Marco] Natl Res Council CNR IAS, Inst study Anthrop Impacts &amp; Sustainabil marine En, Rome, Italy</t>
  </si>
  <si>
    <t>Universite PSL; Ecole Pratique des Hautes Etudes (EPHE); Institut Agro; Montpellier SupAgro; CIRAD; Centre National de la Recherche Scientifique (CNRS); Institut de Recherche pour le Developpement (IRD); Universite Paul-Valery; Universite de Montpellier; University of La Reunion; Centre National de la Recherche Scientifique (CNRS); Institut de Recherche pour le Developpement (IRD); Universite de Montpellier; Institut de Recherche pour le Developpement (IRD); Ifremer; Centre National de la Recherche Scientifique (CNRS); Institut Universitaire de France; Institut Agro; Ifremer; INRAE; University of Tasmania; Lancaster University; Dalhousie University; Universite PSL; Ecole Pratique des Hautes Etudes (EPHE); Centre National de la Recherche Scientifique (CNRS); Institut de Recherche pour le Developpement (IRD); Universite de Montpellier; Swiss Federal Institutes of Technology Domain; ETH Zurich; Swiss Federal Institutes of Technology Domain; Swiss Federal Institute for Forest, Snow &amp; Landscape Research; Consiglio Nazionale delle Ricerche (CNR); Istituto per lo Studio degli Impatti Antropici Sostenibilita in Ambiente Marino (IAS-CNR)</t>
  </si>
  <si>
    <t>Mathon, L (corresponding author), PSL Univ, Univ Montpellier, CEFE, CNRS,EPHE, Montpellier, France.;Mathon, L (corresponding author), Univ Reunion, Inst Rech Dev IRD, ENTROPIE, UNC,Q1 IFREMER,CNRS, Noumea, New Caledonia, France.</t>
  </si>
  <si>
    <t>laetitia.mathon@gmail.com</t>
  </si>
  <si>
    <t>Edgar, Graham/AAY-3797-2020; Maire, Eva/T-1934-2019; Mariani, Gaël/HZL-5628-2023; Stuart-Smith, Rick/I-5214-2019; albouy, camille/ABD-2206-2021; Andrello, Marco/G-4197-2016; Vigliola, Laurent/J-7107-2016; Marques, Virginie/AAE-1507-2020</t>
  </si>
  <si>
    <t>Edgar, Graham/0000-0003-0833-9001; Maire, Eva/0000-0002-1032-3394; Stuart-Smith, Rick/0000-0002-8874-0083; albouy, camille/0000-0003-1629-2389; Andrello, Marco/0000-0001-7590-2736; Vigliola, Laurent/0000-0003-4715-7470; Marques, Virginie/0000-0002-5142-4191; Mariani, Gael/0000-0003-3816-5583; Mouillot, David/0000-0003-0402-2605; Mathon, Laetitia/0000-0001-8147-8177; Juhel, Jean-Baptiste/0000-0003-2627-394X</t>
  </si>
  <si>
    <t>APR 27</t>
  </si>
  <si>
    <t>10.1098/rspb.2022.0162</t>
  </si>
  <si>
    <t>0Z7XD</t>
  </si>
  <si>
    <t>Green Submitted, Green Accepted, Green Published</t>
  </si>
  <si>
    <t>WOS:000791285600004</t>
  </si>
  <si>
    <t>Jennings, SJA; Hambrey, MJ; Moorman, BJ; Holt, TO; Glasser, NF</t>
  </si>
  <si>
    <t>Jennings, Stephen J. A.; Hambrey, Michael J.; Moorman, Brian J.; Holt, Tom O.; Glasser, Neil F.</t>
  </si>
  <si>
    <t>Upscaling ground-based structural glaciological investigations via satellite remote sensing to larger-scale ice masses: Bylot Island, Canadian Arctic</t>
  </si>
  <si>
    <t>EARTH SURFACE PROCESSES AND LANDFORMS</t>
  </si>
  <si>
    <t>Antarctica; Arctic; Bylot Island; Canadian Arctic; foliation; image resolution; remote sensing; structural glaciology; upscaling</t>
  </si>
  <si>
    <t>LONGITUDINAL SURFACE-STRUCTURES; DEBRIS ENTRAINMENT; VALLEY GLACIER; BASAL ICE; SHELF; DYNAMICS; FOLIATION</t>
  </si>
  <si>
    <t>Using satellite remote sensing, this study aims to assess the validity of upscaling ground-based structural observations of small valley glaciers, to larger-scale ice masses that are too vast or inaccessible for field-study or ground-truthing. Focusing on four adjacent valley glaciers on Bylot Island, Nunavut, Arctic Canada, we establish that ground-based structural observations from two smaller (Stagnation and Fountain Glaciers) can be used to interpret the structures visible in optical satellite imagery in two much larger glaciers (Aktineq and Sermilik Glaciers). All the glaciers investigated have prominent longitudinal lineations, which are interpreted from ground observations to be longitudinal foliation. Other structures that were identified include primary stratification, crevasses, crevasse traces, and thrust-faults. Strong longitudinal foliation is concentrated at flow-unit boundaries, with differential ablation of ice facies commonly resulting in a ridge-and-furrow supraglacial topography that controls supraglacial streams and debris concentrations. Consequently, areas of strong foliation appear darker than areas of weak foliation in satellite imagery. As coarser resolution imagery is utilized to map large-scale ice masses, sub-pixel structural information is lost. Individual lineations mapped in coarser resolution imagery therefore probably comprise groups of clustered foliation at the sub-pixel scale. Lateral narrowing measurements and calculated one-dimensional strain across zones of longitudinal foliation are assessed as a tool for identifying large-scale surface strain patterns, in particular large-scale pure shear regimes. These one-dimensional strain measurements suggest that flow-unit boundaries are areas that undergo considerable cumulative strains. The upscaling approach used here can be applied to the largest ice masses, notably the Antarctic Ice Sheet.</t>
  </si>
  <si>
    <t>[Jennings, Stephen J. A.] Masaryk Univ, Dept Geog, Polar Geo Lab, Fac Sci, Kotlarska 2, Brno 61137, Czech Republic; [Hambrey, Michael J.; Holt, Tom O.; Glasser, Neil F.] Aberystwyth Univ, Dept Geog &amp; Earth Sci, Ctr Glaciol, Aberystwyth, Dyfed, Wales; [Moorman, Brian J.] Univ Calgary, Dept Geog, Calgary, AB, Canada</t>
  </si>
  <si>
    <t>Masaryk University Brno; Aberystwyth University; University of Calgary</t>
  </si>
  <si>
    <t>Jennings, SJA (corresponding author), Masaryk Univ, Dept Geog, Polar Geo Lab, Fac Sci, Kotlarska 2, Brno 61137, Czech Republic.</t>
  </si>
  <si>
    <t>242540@mail.muni.cz</t>
  </si>
  <si>
    <t>Jennings, Stephen J. A./ABD-2966-2021</t>
  </si>
  <si>
    <t>Jennings, Stephen J. A./0000-0003-4255-4522; Holt, Tom/0000-0001-8361-0688; Glasser, Neil/0000-0002-8245-2670; Moorman, Brian/0000-0001-7565-5309; Hambrey, Michael/0000-0003-0662-1783</t>
  </si>
  <si>
    <t>Natural Environment Research Council [J65727D]</t>
  </si>
  <si>
    <t>Natural Environment Research Council(UK Research &amp; Innovation (UKRI)Natural Environment Research Council (NERC))</t>
  </si>
  <si>
    <t>Natural Environment Research Council, Grant/Award Number: J65727D</t>
  </si>
  <si>
    <t>0197-9337</t>
  </si>
  <si>
    <t>1096-9837</t>
  </si>
  <si>
    <t>EARTH SURF PROC LAND</t>
  </si>
  <si>
    <t>Earth Surf. Process. Landf.</t>
  </si>
  <si>
    <t>JUN 30</t>
  </si>
  <si>
    <t>10.1002/esp.5367</t>
  </si>
  <si>
    <t>2M5DT</t>
  </si>
  <si>
    <t>WOS:000788371200001</t>
  </si>
  <si>
    <t>Sergienko, OV</t>
  </si>
  <si>
    <t>Sergienko, Olga, V</t>
  </si>
  <si>
    <t>No general stability conditions for marine ice-sheet grounding lines in the presence of feedbacks</t>
  </si>
  <si>
    <t>SURFACE MASS-BALANCE; ELEVATION FEEDBACK</t>
  </si>
  <si>
    <t>Using theoretical, numerical and data analyses, this study finds that there are no general stability conditions for marine ice sheets if feedbacks caused by interactions of ice sheets with atmosphere, ocean and lithosphere are taken into account. The marine ice-sheet instability hypothesis continues to be used to interpret the observed mass loss from the Antarctic and Greenland ice sheets. This hypothesis has been developed for conditions that do not account for feedbacks between ice sheets and environmental conditions. However, snow accumulation and the ice-sheet surface melting depend on the surface temperature, which is a strong function of elevation. Consequently, there is a feedback between precipitation, atmospheric surface temperature and ice-sheet surface elevation. Here, we investigate stability conditions of a marine-based ice sheet in the presence of such a feedback. Our results show that no general stability condition similar to one associated with the marine ice-sheet instability hypothesis can be determined. Stability of individual configurations can be established only on a case-by-case basis. These results apply to a wide range of feedbacks between marine ice sheets and atmosphere, ocean and lithosphere.</t>
  </si>
  <si>
    <t>[Sergienko, Olga, V] Princeton Univ, Program Atmospher &amp; Ocean Sci, Princeton, NJ 08544 USA</t>
  </si>
  <si>
    <t>Princeton University; National Oceanic Atmospheric Admin (NOAA) - USA</t>
  </si>
  <si>
    <t>Sergienko, OV (corresponding author), Princeton Univ, Program Atmospher &amp; Ocean Sci, Princeton, NJ 08544 USA.</t>
  </si>
  <si>
    <t>osergien@princeton.edu</t>
  </si>
  <si>
    <t>Sergienko, Olga/HII-8500-2022</t>
  </si>
  <si>
    <t>Sergienko, Olga/0000-0002-5764-8815</t>
  </si>
  <si>
    <t>National Oceanic and Atmospheric Administration, U.S. Department of Commerce [NA18OAR4320123]</t>
  </si>
  <si>
    <t>National Oceanic and Atmospheric Administration, U.S. Department of Commerce(National Oceanic Atmospheric Admin (NOAA) - USA)</t>
  </si>
  <si>
    <t>This study is supported by award NA18OAR4320123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t>
  </si>
  <si>
    <t>10.1038/s41467-022-29892-3</t>
  </si>
  <si>
    <t>0V8LW</t>
  </si>
  <si>
    <t>WOS:000788592600001</t>
  </si>
  <si>
    <t>Liu, JY; Luo, YY; Liu, FK</t>
  </si>
  <si>
    <t>Liu, Jianyu; Luo, Yiyong; Liu, Fukai</t>
  </si>
  <si>
    <t>Externally forced symmetric warming in the Arctic and Antarctic during the second half of the twentieth century</t>
  </si>
  <si>
    <t>GEOSCIENCE LETTERS</t>
  </si>
  <si>
    <t>Arctic; Antarctic; Surface temperature; Ozone depletion; Lapse rate feedback; Atmospheric heat transport</t>
  </si>
  <si>
    <t>POLAR AMPLIFICATION; STRATOSPHERIC OZONE; CLIMATE-CHANGE; TEMPERATURE FEEDBACKS; PART II; SEA-ICE; SURFACE; OCEAN; SIMULATIONS; CIRCULATION</t>
  </si>
  <si>
    <t>In recent decades, the two polar regions have exhibited strikingly different changes, with much greater warming in the Arctic than the Antarctic. However, the warming asymmetry between the two polar regions is quite small during the second half of the twentieth century. By using a multi-member ensemble of simulations with the Community Earth System Model, this study investigates the relative contributions of greenhouse gases, aerosol, and ozone forcings to the responses of Arctic and Antarctic surface temperature during 1955-2000. Results show that both the greenhouse gases- and aerosols-induced changes are greater in the Arctic than in the Antarctic, yet they are opposite and act to balance each other, leaving a limited warming in the Arctic and hence a small bipolar asymmetry. Using a radiative kernel, feedback analysis reveals that both greenhouse gases and aerosol forcings influence the polar surface temperature through albedo feedback related to sea ice changes and lapse rate feedback related to strong surface temperature inversion. The ozone forcing can hardly excite any surface temperature changes over the polar regions even in the Antarctic with the strongest ozone depletion, which is due to a cancellation between the cooling effect from radiative forcing and cloud radiative feedback, and the warming effect from lapse rate feedback and enhanced atmospheric heat transport from lower latitudes.</t>
  </si>
  <si>
    <t>[Liu, Jianyu; Luo, Yiyong; Liu, Fukai] Ocean Univ China, Frontier Sci Ctr Deep Ocean Multispheres &amp; Earth, Qingdao, Peoples R China; [Liu, Jianyu; Luo, Yiyong; Liu, Fukai] Qingdao Natl Lab Marine Sci &amp; Technol, Qingdao, Peoples R China; [Liu, Jianyu; Luo, Yiyong; Liu, Fukai] Ocean Univ China, Coll Ocean &amp; Atmospher Sci, Qingdao, Peoples R China</t>
  </si>
  <si>
    <t>Ocean University of China; Laoshan Laboratory; Ocean University of China</t>
  </si>
  <si>
    <t>Luo, YY; Liu, FK (corresponding author), Ocean Univ China, Frontier Sci Ctr Deep Ocean Multispheres &amp; Earth, Qingdao, Peoples R China.</t>
  </si>
  <si>
    <t>yiyongluo@ouc.edu.cn; fliu@ouc.edu.cn</t>
  </si>
  <si>
    <t>Liu, Fukai/F-8131-2018; Liu, Jianyu/C-9564-2019</t>
  </si>
  <si>
    <t>Liu, Fukai/0000-0002-0687-9568;</t>
  </si>
  <si>
    <t>NSFC [41976006, 91858210, 41906002]</t>
  </si>
  <si>
    <t>NSFC(National Natural Science Foundation of China (NSFC))</t>
  </si>
  <si>
    <t>This work is supported by NSFC through grants of 41976006, 91858210, and 41906002.</t>
  </si>
  <si>
    <t>2196-4092</t>
  </si>
  <si>
    <t>GEOSCI LETT</t>
  </si>
  <si>
    <t>Geosci. Lett.</t>
  </si>
  <si>
    <t>10.1186/s40562-022-00226-x</t>
  </si>
  <si>
    <t>0V4OY</t>
  </si>
  <si>
    <t>WOS:000788325300001</t>
  </si>
  <si>
    <t>Gilbert, E; Orr, A; King, JC; Renfrew, IA; Lachlan-Cope, T</t>
  </si>
  <si>
    <t>Gilbert, Ella; Orr, Andrew; King, John C.; Renfrew, Ian A.; Lachlan-Cope, Thomas</t>
  </si>
  <si>
    <t>A 20-Year Study of Melt Processes Over Larsen C Ice Shelf Using a High-Resolution Regional Atmospheric Model: 1. Model Configuration and Validation</t>
  </si>
  <si>
    <t>ice shelves; Antarctic Peninsula; regional climate modeling; surface melt; meteorology; model hindcast</t>
  </si>
  <si>
    <t>ANTARCTIC PENINSULA; SURFACE MELT; ENERGY BUDGET; FOHN WINDS; CLIMATE; JULES; FLOW</t>
  </si>
  <si>
    <t>Following collapses of the neighboring Larsen A and B ice shelves, Larsen C has become a focus of increased attention. Determining how the prevailing meteorological conditions influence its surface melt regime is of paramount importance for understanding the dominant processes causing melt and ultimately for predicting its future. To this end, a new, high-resolution (4 km grid spacing) Met Office Unified Model (MetUM) hindcast of atmospheric conditions and surface melt processes over the central Antarctic Peninsula is introduced. The hindcast is capable of simulating observed near-surface meteorology and surface melt conditions over Larsen C. In contrast with previous model simulations, the MetUM captures the observed east-west gradient in surface melting associated with foehn winds, as well as the interannual variability in melt shown in previous observational studies. As exemplars, we focus on two case studies-the months preceding the collapse of the Larsen B ice shelf in March 2002 and the high foehn, high melt period of March-May 2016-to test the hindcast's ability to reproduce the atmospheric effects that contributed to considerable melting during those periods. The results suggest that the MetUM hindcast is a useful tool with which to explore the dominant causes of surface melting on Larsen C.</t>
  </si>
  <si>
    <t>[Gilbert, Ella; Orr, Andrew; King, John C.; Lachlan-Cope, Thomas] British Antarctic Survey, Cambridge, England; [Gilbert, Ella; Renfrew, Ian A.] Univ East Anglia, Sch Environm Sci, Norwich, Norfolk, England</t>
  </si>
  <si>
    <t>UK Research &amp; Innovation (UKRI); Natural Environment Research Council (NERC); NERC British Antarctic Survey; University of East Anglia</t>
  </si>
  <si>
    <t>Gilbert, E (corresponding author), British Antarctic Survey, Cambridge, England.;Gilbert, E (corresponding author), Univ East Anglia, Sch Environm Sci, Norwich, Norfolk, England.</t>
  </si>
  <si>
    <t>ellgil82@bas.ac.uk</t>
  </si>
  <si>
    <t>Renfrew, Ian A/E-4057-2010</t>
  </si>
  <si>
    <t>King, John/0000-0003-3315-7568; Gilbert, Ella/0000-0001-5272-8894; Renfrew, Ian/0000-0001-9379-8215</t>
  </si>
  <si>
    <t>Natural Environment Research Council through the EnvEast Doctoral Training Partnership [NE/L002582/1]; Natural Environment Research Council</t>
  </si>
  <si>
    <t>Natural Environment Research Council through the EnvEast Doctoral Training Partnership(UK Research &amp; Innovation (UKRI)Natural Environment Research Council (NERC)); Natural Environment Research Council(UK Research &amp; Innovation (UKRI)Natural Environment Research Council (NERC))</t>
  </si>
  <si>
    <t>The authors declare no conflicts of interest. This work was supported by the Natural Environment Research Council through the EnvEast Doctoral Training Partnership (Grant No. NE/L002582/1). The authors also acknowledge use of the MONSooN system, a collaborative facility supplied under the Joint Weather and Climate Research Programme, a strategic partnership between the Met Office and the Natural Environment Research Council. The authors gratefully acknowledge Prof. Michiel R. van den Broeke, who kindly provided AWS data. The manuscript was greatly improved by the comments of R. Tri Datta, J. Lenaerts and two anonymous reviewers.</t>
  </si>
  <si>
    <t>e2021JD034766</t>
  </si>
  <si>
    <t>10.1029/2021JD034766</t>
  </si>
  <si>
    <t>0U4UF</t>
  </si>
  <si>
    <t>WOS:000787646100001</t>
  </si>
  <si>
    <t>Libert, L; Wuite, J; Nagler, T</t>
  </si>
  <si>
    <t>Libert, Ludivine; Wuite, Jan; Nagler, Thomas</t>
  </si>
  <si>
    <t>Automatic delineation of cracks with Sentinel-1 interferometry for monitoring ice shelf damage and calving</t>
  </si>
  <si>
    <t>RADAR INTERFEROMETRY; CONTINENT-WIDE; ANTARCTICA; SHEET; DYNAMICS; FILCHNER; FRACTURE; FRONT; MODEL; FLOW</t>
  </si>
  <si>
    <t>Monitoring the evolution of ice shelf damage such as crevasses and rifts is important for a better understanding of the mechanisms controlling the breakup of ice shelves and for improving predictions about iceberg calving and ice shelf disintegration. Nowadays, the previously existing observational gap has been reduced by the Copernicus Sentinel-1 synthetic aperture radar (SAR) mission that provides a continuous coverage of the Antarctic margins with a 6 or 12 d repeat period. The unprecedented coverage and temporal sampling enables, for the first time, a year-round systematic monitoring of ice shelf fracturing and iceberg calving, as well as the detection of precursor signs of calving events. In this paper, a novel method based on SAR interferometry is presented for an automatic detection and delineation of active cracks on ice shelves. Propagating cracks cause phase discontinuities that are extracted automatically by applying a Canny edge detection procedure to the spatial phase gradient derived from a SAR interferogram. The potential of the proposed method is demonstrated in the case of Brunt Ice Shelf, Antarctica, using a stack of 6 d repeat-pass Sentinel-1 interferograms acquired between September 2020 and March 2021. The full life cycle of the North Rift is monitored, including the rift detection, its propagation at rates varying between 0.25 and 1.30 km d(-1), and the final calving event that gave birth to the iceberg A74 on 26 February 2021. The automatically delineated cracks agree well with the North Rift location in Landsat 8 images and with the eventual location of the ice shelf edge after the iceberg broke off. The strain variations observed in the interferograms are attributed to a rigid-body rotation of the ice about the expanding tip of the North Rift in response to the rifting activity. The extent of the North Rift is captured by SAR interferometry well before it becomes visible in SAR backscatter images and a few days before it could be identified in optical images, hence highlighting the high sensitivity of SAR interferometry to small variations in the ice shelf strain pattern and its potential for detecting early signs of natural calving events, ice shelf fracturing and damage development.</t>
  </si>
  <si>
    <t>[Libert, Ludivine; Wuite, Jan; Nagler, Thomas] ENVEO IT GmbH, A-6020 Innsbruck, Austria</t>
  </si>
  <si>
    <t>Libert, L (corresponding author), ENVEO IT GmbH, A-6020 Innsbruck, Austria.</t>
  </si>
  <si>
    <t>ludivine.libert@enveo.at</t>
  </si>
  <si>
    <t>Wuite, Jan/0000-0001-9333-1586</t>
  </si>
  <si>
    <t>European Space Agency [4000132186/20/I-EF]</t>
  </si>
  <si>
    <t>European Space Agency(European Space Agency)</t>
  </si>
  <si>
    <t>This research has been supported by the European Space Agency (grant no. 4000132186/20/I-EF).</t>
  </si>
  <si>
    <t>10.5194/tc-16-1523-2022</t>
  </si>
  <si>
    <t>0U7BA</t>
  </si>
  <si>
    <t>WOS:000787802700001</t>
  </si>
  <si>
    <t>Almela, P; Casero, C; Justel, A; Quesada, A</t>
  </si>
  <si>
    <t>Almela, Pablo; Casero, Cristina; Justel, Ana; Quesada, Antonio</t>
  </si>
  <si>
    <t>Ubiquity of dominant cyanobacterial taxa along glacier retreat in the Antarctic Peninsula</t>
  </si>
  <si>
    <t>FEMS MICROBIOLOGY ECOLOGY</t>
  </si>
  <si>
    <t>cyanobacteria; deglaciation; glacial forefield; microbial mats; primary succession; soils</t>
  </si>
  <si>
    <t>MULTIPLE SEQUENCE ALIGNMENT; SOUTH SHETLAND ISLANDS; MICROBIAL MATS; BACTERIAL COMMUNITIES; BYERS PENINSULA; VICTORIA LAND; ECOSYSTEM PROCESSES; CLIMATE-CHANGE; DIVERSITY; SUCCESSION</t>
  </si>
  <si>
    <t>A few common genera of Cyanobacteria, not all restricted to polar regions, might play a key role in the Antarctic ecosystem, due to its ubiquitous presence in soils and microbial mats. Cyanobacteria are key organisms in the Antarctic ecosystem, but the primary succession of its communities in recently deglaciated soils remains poorly understood. In this study, we surveyed the primary succession of cyanobacterial communities with an in-depth Next Generation Sequencing approach in three Antarctic recently glacier forefields. Despite the similar physicochemical characteristics of the soils, we did not find a common pattern in the distribution of the cyanobacterial communities at the finest level of taxonomic resolution. However, the metabarcoding analysis revealed a common community of 14 cyanobacterial identical sequences in all the studied soils, whose lineages were not restricted to polar or alpine biotopes. These ASVs comprised a relative abundance within the cyanobacterial community of 51.5%-81.7% among the three locations and were also found in two cyanobacterial mats from the Antarctic Peninsula. Our results suggest that (micro)biotic interactions act as a key driver of the community composition and dynamics of Cyanobacteria during the early stages of succession in recently deglaciated soils of Antarctica. A few common genera might play a key role in the ecosystem, due to its ubiquitous presence not only in these soils but also in microbial mats, conforming probably the most widely disperse and dominant single genotypes in Antarctic soils.</t>
  </si>
  <si>
    <t>[Almela, Pablo; Casero, Cristina; Quesada, Antonio] Univ Autonoma Madrid, Dept Biol, Madrid, Spain; [Justel, Ana] Univ Autonoma Madrid, Dept Math, Madrid, Spain</t>
  </si>
  <si>
    <t>Autonomous University of Madrid; Autonomous University of Madrid</t>
  </si>
  <si>
    <t>Quesada, A (corresponding author), Univ Autonoma Madrid, Dept Biol, Madrid, Spain.</t>
  </si>
  <si>
    <t>antonio.quesada@uam.es</t>
  </si>
  <si>
    <t>Quesada, Antonio/L-2430-2013; CASERO, MARÍA CRISTINA/AAQ-1735-2020; Justel, Ana/A-3955-2010; Almela, Pablo/KHC-9273-2024</t>
  </si>
  <si>
    <t>CASERO, MARÍA CRISTINA/0000-0002-0611-4776; Justel, Ana/0000-0003-3335-0579; Almela, Pablo/0000-0001-8200-861X</t>
  </si>
  <si>
    <t>Spanish Agencia Estatal de Investigacion (AEI); Fondo Europeo de Desarrollo Regional (FEDER) [PID2020-116520RB-I00, CTM2016-79741-R, PCIN-2016-001]; FPI from MINECO [BES-2017-080558]</t>
  </si>
  <si>
    <t>Spanish Agencia Estatal de Investigacion (AEI)(Spanish Government); Fondo Europeo de Desarrollo Regional (FEDER)(European Union (EU)Spanish Government); FPI from MINECO(Spanish Government)</t>
  </si>
  <si>
    <t>This work was supported by the Spanish Agencia Estatal de Investigacion (AEI) and Fondo Europeo de Desarrollo Regional (FEDER), Grants PID2020-116520RB-I00, CTM2016-79741-R and PCIN-2016-001. PA was supported by a FPI-contract fellowship (BES-2017-080558) from MINECO.</t>
  </si>
  <si>
    <t>0168-6496</t>
  </si>
  <si>
    <t>1574-6941</t>
  </si>
  <si>
    <t>FEMS MICROBIOL ECOL</t>
  </si>
  <si>
    <t>FEMS Microbiol. Ecol.</t>
  </si>
  <si>
    <t>fiac029</t>
  </si>
  <si>
    <t>10.1093/femsec/fiac029</t>
  </si>
  <si>
    <t>0V3QP</t>
  </si>
  <si>
    <t>WOS:000788260600003</t>
  </si>
  <si>
    <t>Zeising, O; Steinhage, D; Nicholls, KW; Corr, HFJ; Stewart, CL; Humbert, A</t>
  </si>
  <si>
    <t>Zeising, Ole; Steinhage, Daniel; Nicholls, Keith W.; Corr, Hugh F. J.; Stewart, Craig L.; Humbert, Angelika</t>
  </si>
  <si>
    <t>Basal melt of the southern Filchner Ice Shelf, Antarctica</t>
  </si>
  <si>
    <t>CONTINENT-WIDE; MASS-BALANCE; STRAIN RATES; RADAR; ROSS; PHASE; CAVITY</t>
  </si>
  <si>
    <t>Basal melt of ice shelves is a key factor governing discharge of ice from the Antarctic Ice Sheet as a result of its effects on buttressing. Here, we use radio echo sounding to determine the spatial variability of the basal melt rate of the southern Filchner Ice Shelf, Antarctica, along the inflow of Support Force Glacier. We find moderate melt rates with a maximum of 1.13 ma(-1) about 50 km downstream of the grounding line. The variability of the melt rates over distances of a few kilometres is low (all but one &lt; 0.15 ma(-1) at &lt; 2 km distance), indicating that measurements on coarse observational grids are able to yield a representative melt rate distribution. A comparison with remote-sensing-based melt rates revealed that, for the study area, large differences were due to inaccuracies in the estimation of vertical strain rates from remote sensing velocity fields. These inaccuracies can be overcome by using modern velocity fields.</t>
  </si>
  <si>
    <t>[Zeising, Ole; Steinhage, Daniel; Humbert, Angelika] Helmholtz Zentrum Polar &amp; Meeresforsch, Alfred Wegener Inst, Bremerhaven, Germany; [Zeising, Ole; Humbert, Angelika] Univ Bremen, Dept Geosci, Bremen, Germany; [Nicholls, Keith W.; Corr, Hugh F. J.] NERC, British Antarctic Survey, Cambridge, England; [Stewart, Craig L.] Univ Cambridge, Scott Polar Res Inst, Cambridge, England; [Stewart, Craig L.] Natl Inst Water &amp; Atmospher Res, Wellington, New Zealand</t>
  </si>
  <si>
    <t>Helmholtz Association; Alfred Wegener Institute, Helmholtz Centre for Polar &amp; Marine Research; University of Bremen; UK Research &amp; Innovation (UKRI); Natural Environment Research Council (NERC); NERC British Antarctic Survey; University of Cambridge; National Institute of Water &amp; Atmospheric Research (NIWA) - New Zealand</t>
  </si>
  <si>
    <t>Zeising, O (corresponding author), Helmholtz Zentrum Polar &amp; Meeresforsch, Alfred Wegener Inst, Bremerhaven, Germany.;Zeising, O (corresponding author), Univ Bremen, Dept Geosci, Bremen, Germany.</t>
  </si>
  <si>
    <t>ole.zeising@awi.de</t>
  </si>
  <si>
    <t>Corr, Hugh/C-5398-2011</t>
  </si>
  <si>
    <t>Zeising, Ole/0000-0002-1284-8098; Humbert, Angelika/0000-0002-0244-8760</t>
  </si>
  <si>
    <t>AWI strategy fund project FISP; UK Natural Environment Research Council large grant Ice shelves in a warming world: Filchner Ice Shelf System [NE/L013770/1]</t>
  </si>
  <si>
    <t>AWI strategy fund project FISP; UK Natural Environment Research Council large grant Ice shelves in a warming world: Filchner Ice Shelf System</t>
  </si>
  <si>
    <t>This work was funded by the AWI strategy fund project FISP. Support for this work came from the UK Natural Environment Research Council large grant Ice shelves in a warming world: Filchner Ice Shelf System (NE/L013770/1). We acknowledge provision of data products by Susheel Adusumilli (Scripps Institution of Oceanography, University of California San Diego, La Jolla, CA, USA), that have been published in Adusumilli et al. (2020a). We want to thank Graham Niven and Bradley Morrell for their support in the field. We are grateful for discussions with Veit Helm and Niklas Neckel (AWI) on remote-sensing-derived vertical strain rates and our results. We thank the two anonymous reviewers for careful reading and very helpful suggestions.</t>
  </si>
  <si>
    <t>10.5194/tc-16-1469-2022</t>
  </si>
  <si>
    <t>0U6UO</t>
  </si>
  <si>
    <t>gold, Green Accepted, Green Submitted</t>
  </si>
  <si>
    <t>WOS:000787785400001</t>
  </si>
  <si>
    <t>Gilbert, E; Orr, A; Renfrew, IA; King, JC; Lachlan-Cope, T</t>
  </si>
  <si>
    <t>Gilbert, E.; Orr, A.; Renfrew, I. A.; King, J. C.; Lachlan-Cope, T.</t>
  </si>
  <si>
    <t>A 20-Year Study of Melt Processes Over Larsen C Ice Shelf Using a High-Resolution Regional Atmospheric Model: 2. Drivers of Surface Melting</t>
  </si>
  <si>
    <t>Larsen C ice shelf; Antarctic peninsula; regional climate modeling; surface melt; meteorology; model hindcast</t>
  </si>
  <si>
    <t>HEMISPHERE ANNULAR MODE; ANTARCTIC PENINSULA; FOHN WINDS; CLIMATE; VARIABILITY; IMPACT; FOEHN; ENSO; SAM</t>
  </si>
  <si>
    <t>Quantifying the relative importance of the atmospheric drivers of surface melting on the Larsen C ice shelf is critical in the context of recent and future climate change. Here, we present analysis of a new multidecadal, high-resolution model hindcast using the Met Office Unified Model, described in Part 1 of this study. We evaluate the contribution of various atmospheric conditions in order to identify and rank, for the first time, the most significant causes of melting over the recent past. We find the primary driver of surface melting on Larsen C is solar radiation. Foehn events are the second most important contributor to surface melting, especially in nonsummer seasons when less solar radiation is received at the surface of the ice shelf. Third, cloud influences surface melting via its impact on the surface energy balance (SEB); when the surface temperature is warm enough, cloud can initiate or prolong periods of melting. Lastly, large-scale circulation patterns such as the Southern Annular Mode (SAM), El Nino Southern Oscillation, and Amundsen Sea Low control surface melting on Larsen C by influencing the local meteorological conditions and SEB. These drivers of melting interact and overlap, e.g., the SAM influences the frequency of foehn, commonly associated with leeside cloud clearances and sunnier conditions. Ultimately, these drivers matter because sustained surface melting on Larsen C could destabilize the ice shelf via hydrofracturing, which would have consequences for the fate of the ice shelf and sea levels worldwide.</t>
  </si>
  <si>
    <t>[Gilbert, E.; Orr, A.; King, J. C.; Lachlan-Cope, T.] British Antarctic Survey, Cambridge, England; [Gilbert, E.; Renfrew, I. A.] Univ East Anglia, Sch Environm Sci, Norwich, Norfolk, England</t>
  </si>
  <si>
    <t>Gilbert, Ella/0000-0001-5272-8894; King, John/0000-0003-3315-7568</t>
  </si>
  <si>
    <t>Natural Environment Research Council</t>
  </si>
  <si>
    <t>This work was supported by the Natural Environment Research Council through the EnvEast Doctoral Training Partnership (Grant NE/L002582/1). The authors also acknowledge use of the MONSooN system, a collaborative facility supplied under the Joint Weather and Climate Research Programme, a strategic partnership between the Met Office and the Natural Environment Research Council. The authors gratefully acknowledge Prof. Michiel R. van den Broeke, who kindly provided AWS data. The authors are grateful to R. T. Datta and one anonymous reviewer for helpful comments on an earlier version of this manuscript.</t>
  </si>
  <si>
    <t>e2021JD036012</t>
  </si>
  <si>
    <t>10.1029/2021JD036012</t>
  </si>
  <si>
    <t>0U4TF</t>
  </si>
  <si>
    <t>WOS:000787643500001</t>
  </si>
  <si>
    <t>Cerri, RI; Warren, LV; Spencer, CJ; Varejao, FG; Promenzio, P; Luvizotto, GL; Assine, ML</t>
  </si>
  <si>
    <t>Cerri, Rodrigo, I; Warren, Lucas, V; Spencer, Christopher J.; Varejao, Filipe G.; Promenzio, Paloma; Luvizotto, George L.; Assine, Mario L.</t>
  </si>
  <si>
    <t>Using detrital zircon and rutile to constrain sedimentary provenance of Early Paleozoic fluvial systems of the Araripe Basin, Western Gondwana</t>
  </si>
  <si>
    <t>Provenance; Western gondwana; Basin evolution; U-Pb geochronology; Detrital rutile geochemistry</t>
  </si>
  <si>
    <t>EASTERN BORBOREMA PROVINCE; PERNAMBUCO-ALAGOAS DOMAIN; U-PB GEOCHRONOLOGY; NEOPROTEROZOIC SERGIPANO BELT; NE-BRAZIL IMPLICATIONS; ALTO MOXOTO TERRANE; NORTHEASTERN BRAZIL; SUPRACRUSTAL SEQUENCES; TECTONIC IMPLICATIONS; TRANSVERSAL ZONE</t>
  </si>
  <si>
    <t>The Early Paleozoic of the NE Brazilian sedimentary basins are key to understanding the primeval depositional environments and paleogeography of Western Gondwana after its final assembly. In this context, determining the sedimentary provenance of the Early Paleozoic Cariri Formation (basal unit of the Araripe Basin) may improve paleogeographic reconstructions and stratigraphic correlations. Despite the Araripe Basin being one of the beststudied interior basins of northeastern Brazil, the Cariri Formation lacks detailed geochronological and sedimentary provenance analyses, which hamper precise definitions of its depositional age, sedimentary source areas and paleogeography. Considering this scenario, we performed a combined multiproxy approach, including sedimentologic and stratigraphic analysis, detrital zircon U-Pb dating and provenance studies based on trace elements in detrital rutile. The maximum depositional age for the Cariri Formation suggests that its sedimentation started after the Late Cambrian. Detrital zircon ages and detrital rutile provenance indicate that the primary source areas for the Cariri Formation fluvial system were the orogenic terranes related to the Brasiliano Orogeny, located at the SE of the Borborema Province (e.g., Sergipano Belt), with secondary, but also important, the contribution of Cambrian sources. Records of this event are also found in northern Africa, where units related to the Neoproterozoic East African-Antarctic and Pan African orogens provided sediments for basin-scale fluvial systems.</t>
  </si>
  <si>
    <t>[Cerri, Rodrigo, I; Warren, Lucas, V; Promenzio, Paloma; Luvizotto, George L.; Assine, Mario L.] Univ Estadual Paulista Unesp, Inst Geociencias &amp; Ciencias Exatas, Dept Geol, Ave 24A,Bela Vista 1515, BR-13506900 Rio Claro, SP, Brazil; [Spencer, Christopher J.] Queens Univ, Dept Geol Sci &amp; Geol Engn, Kingston, ON, Canada; [Varejao, Filipe G.] Univ Fed Ouro Preto UFOP, Dept Geol, Campus Morro Do Cruzeiro S-N, BR-35430000 Ouro Preto, MG, Brazil</t>
  </si>
  <si>
    <t>Universidade Estadual Paulista; Queens University - Canada</t>
  </si>
  <si>
    <t>Cerri, RI (corresponding author), Univ Estadual Paulista Unesp, Inst Geociencias &amp; Ciencias Exatas, Dept Geol, Ave 24A,Bela Vista 1515, BR-13506900 Rio Claro, SP, Brazil.</t>
  </si>
  <si>
    <t>roocerri@gmail.com</t>
  </si>
  <si>
    <t>Varejão, Filipe/J-3015-2015; Spencer, Christopher J/E-4345-2013; Varejão, Filipe/GYD-3727-2022; Varejão, Filipe Giovanini/O-1943-2019</t>
  </si>
  <si>
    <t>Varejão, Filipe/0000-0002-3776-9476; Varejão, Filipe/0000-0002-3776-9476; Varejão, Filipe Giovanini/0000-0002-3776-9476</t>
  </si>
  <si>
    <t>Sao Paulo Research Foundation (FAPESP) [2017/19550-1, 2020/10739-7]; Petrobras [2014/00519-9]</t>
  </si>
  <si>
    <t>Sao Paulo Research Foundation (FAPESP)(Fundacao de Amparo a Pesquisa do Estado de Sao Paulo (FAPESP)); Petrobras(Fundacao de Amparo a Pesquisa do Amapa (FAPEAP)Petrobras)</t>
  </si>
  <si>
    <t>The authors thank the Sao Paulo Research Foundation (FAPESP) (grant number 2017/19550-1 and 2020/10739-7) for R.I. Cerri scholarship, and Petrobras (2014/00519-9). We also thank the Instituto de Geociencias e Ciencias Exatas, Universidade Estadual Paulista -Unesp, Rio Claro, for providing laboratory facilities. L.V. Warren and M.L. Assine are research fellows of the National Council for Scientific and Technological Development (CNPq/Brazil).</t>
  </si>
  <si>
    <t>10.1016/j.jsames.2022.103821</t>
  </si>
  <si>
    <t>2S6NA</t>
  </si>
  <si>
    <t>WOS:000821905800001</t>
  </si>
  <si>
    <t>McCarthy, C; Skarbek, RM; Savage, HM</t>
  </si>
  <si>
    <t>McCarthy, Christine; Skarbek, Rob M.; Savage, Heather M.</t>
  </si>
  <si>
    <t>Tidal Modulation of Ice Streams: Effect of Periodic Sliding Velocity on Ice Friction and Healing</t>
  </si>
  <si>
    <t>tidal modulation; ice friction; basal sliding; stability; healing</t>
  </si>
  <si>
    <t>STICK-SLIP MOTION; DEPENDENT FRICTION; ROCK FRICTION; STATE FRICTION; EARTH TIDES; FAULT; FLOW; ANTARCTICA; MECHANISM; GLACIER</t>
  </si>
  <si>
    <t>Basal slip along glaciers and ice streams can be significantly modified by external time-dependent forcing, although it is not clear why some systems are more sensitive to tidal stresses. We have conducted a series of laboratory experiments to explore the effect of time varying load point velocity on ice-on-rock friction. Varying the load point velocity induces shear stress forcing, making this an analogous simulation of aspects of ice stream tidal modulation. Ambient pressure, double-direct shear experiments were conducted in a cryogenic servo-controlled biaxial deformation apparatus at temperatures between -2 degrees C and -16 degrees C. In addition to a background, median velocity (1 and 10 mu m/s), a sinusoidal velocity was applied to the central sliding sample over a range of periods and amplitudes. Normal stress was held constant over each run (0.1, 0.5 or 1 MPa) and the shear stress was measured. Over the range of parameters studied, the full spectrum of slip behavior from creeping to slow-slip to stick-slip was observed, similar to the diversity of sliding styles observed in Antarctic and Greenland ice streams. Under conditions in which the amplitude of oscillation is equal to the median velocity, significant healing occurs as velocity approaches zero, causing a high-amplitude change in friction. The amplitude of the event increases with increasing period (i.e. hold time). At high normal stress, velocity oscillations force an otherwise stable system to behave unstably, with consistently-timed events during every cycle. Rate-state friction parameters determined from velocity steps show that the ice-rock interface is velocity strengthening. A companion paper describes a method of analyzing the oscillatory data directly. Forward modeling of a sinusoidally-driven slider block, using rate-and-state dependent friction formulation and experimentally derived parameters, successfully predicts the experimental output in all but a few cases.</t>
  </si>
  <si>
    <t>mccarthy@ldeo.columbia.edu</t>
  </si>
  <si>
    <t>APR 26</t>
  </si>
  <si>
    <t>10.3389/feart.2022.719074</t>
  </si>
  <si>
    <t>1V2SE</t>
  </si>
  <si>
    <t>WOS:000805945100001</t>
  </si>
  <si>
    <t>Straume, EO; Nummelin, A; Gaina, C; Nisancioglu, KH</t>
  </si>
  <si>
    <t>Straume, Eivind O.; Nummelin, Aleksi; Gaina, Carmen; Nisancioglu, Kerim H.</t>
  </si>
  <si>
    <t>Climate transition at the Eocene-Oligocene influenced by bathymetric changes to the Atlantic-Arctic oceanic gateways</t>
  </si>
  <si>
    <t>paleoclimate; paleogeography; oceanic gateways; tectonics; ocean circulation</t>
  </si>
  <si>
    <t>MERIDIONAL OVERTURNING CIRCULATION; ANTARCTIC GLACIATION; GREENLAND; ONSET; ICE; ICELAND; INITIATION; SUBSIDENCE; INSIGHTS; CLOSURE</t>
  </si>
  <si>
    <t>The Eocene-Oligocene Transition (similar to 33.9 Ma) marks the largest step transformation within the Cenozoic cooling trend and is characterized by a sudden growth of the Antarctic ice sheets, cooling of the interior ocean, and the establishment of strong meridional temperature gradients. Here we examine the climatic impact of oceanic gateway changes at the Eocene-Oligocene Transition by implementing detailed paleogeographic reconstructions with realistic paleobathymetric models for the Atlantic-Arctic basins in a state-of-the-art earth system model (the Norwegian Earth System Model [NorESM-F]). We demonstrate that the warm Eocene climate is highly sensitive to depth variations of the Greenland-Scotland Ridge and the proto-Fram Strait as they control the freshwater leakage from the Arctic to the North Atlantic. Our results, and proxy evidence, suggest that changes in these gateways controlled the ocean circulation and played a critical role in the growth of land-based ice sheets, alongside CO2-driven global cooling. Specifically, we suggest that a shallow connection between the Arctic and North Atlantic restricted the southward flow of fresh surface waters during the Late Eocene allowing for a North Atlantic overturning circulation. Consequently, the Southern Hemisphere cooled by several degrees paving the way for the glaciation of Antarctica. Shortly after, the connection to the Arctic deepened due to weakening dynamic support from the Iceland Mantle Plume. This weakened the North Atlantic overturning and cooled the Northern Hemisphere, thereby promoting glaciations there. Our study points to a controlling role of the Northeast Atlantic gateways and decreasing atmospheric CO2 in the onset of glaciations in both hemispheres.</t>
  </si>
  <si>
    <t>[Straume, Eivind O.; Nummelin, Aleksi; Gaina, Carmen; Nisancioglu, Kerim H.] Univ Oslo, Ctr Earth Evolut &amp; Dynam, Dept Geosci, N-0371 Oslo, Norway; [Straume, Eivind O.] Univ Texas Austin, Jackson Sch Geosci, Austin, TX 78712 USA; [Nummelin, Aleksi; Nisancioglu, Kerim H.] Bjerknes Ctr Climate Res, NORCE Norwegian Res Ctr AS, N-5838 Bergen, Norway; [Gaina, Carmen] Queensland Univ Technol, Sch Earth &amp; Atmospher Sci, Brisbane, Qld 4072, Australia; [Nisancioglu, Kerim H.] Univ Bergen, Dept Earth Sci, N-7803 Bergen, Norway</t>
  </si>
  <si>
    <t>University of Oslo; University of Texas System; University of Texas Austin; Bjerknes Centre for Climate Research; Norwegian Research Centre (NORCE); Queensland University of Technology (QUT); University of Bergen</t>
  </si>
  <si>
    <t>Straume, EO (corresponding author), Univ Oslo, Ctr Earth Evolut &amp; Dynam, Dept Geosci, N-0371 Oslo, Norway.;Straume, EO (corresponding author), Univ Texas Austin, Jackson Sch Geosci, Austin, TX 78712 USA.</t>
  </si>
  <si>
    <t>e.o.straume@geo.uio.no</t>
  </si>
  <si>
    <t>Nisancioglu, Kerim/AAW-9315-2021</t>
  </si>
  <si>
    <t>Nisancioglu, Kerim/0000-0002-5737-5765; Straume, Eivind/0000-0003-2787-0906; Nummelin, Aleksi/0000-0002-7591-3504</t>
  </si>
  <si>
    <t>Research Council of Norway through its Centers of Excellence funding scheme [223272, 246929]; MatNat Faculty at the University of Oslo; Jackson School of Geosciences at University of Texas at Austin; [EAR-1853856]</t>
  </si>
  <si>
    <t>Research Council of Norway through its Centers of Excellence funding scheme(Research Council of Norway); MatNat Faculty at the University of Oslo; Jackson School of Geosciences at University of Texas at Austin;</t>
  </si>
  <si>
    <t>O.S., C.G., A.N., and K.H.N. acknowledge support from the Research Council of Norway through its Centers of Excellence funding scheme, Project 223272 (The Centre for Earth Evolution and Dynamics), and Project 246929 (Coupled climate, volcanism, and ocean tectonics in deep time [ClimVoTe]). E.O.S. acknowledges support from the MatNat Faculty at the University of Oslo, the Jackson School of Geosciences at University of Texas at Austin, and Project EAR-1853856. A.N. would like to thank Zhongshi Zhang and Mats Bentsen for help with the NorESM-F setup.</t>
  </si>
  <si>
    <t>e2115346119</t>
  </si>
  <si>
    <t>10.1073/pnas.2115346119</t>
  </si>
  <si>
    <t>1B9RC</t>
  </si>
  <si>
    <t>WOS:000792766500008</t>
  </si>
  <si>
    <t>Oster, SE; Albert, MR</t>
  </si>
  <si>
    <t>Oster, Simon E.; Albert, Mary R.</t>
  </si>
  <si>
    <t>Thermal conductivity of polar firn</t>
  </si>
  <si>
    <t>Glaciological instruments and methods; polar firn; remote sensing</t>
  </si>
  <si>
    <t>SNOW; AIR; SVALBARD; SUMMIT; PROBE</t>
  </si>
  <si>
    <t>The vast Greenland and Antarctic Ice Sheets are covered by many tens of meters of polar firn, which is snow that is years to centuries old and has experienced significant metamorphism. Both ice-sheet modeling and decoding satellite data require knowledge of the thermal conductivity of polar firn with depth, yet direct measurements are not available for depths below the top several meters. We present the first direct measurements of the effective thermal conductivity of polar firn over depths down to 48 m. A custom guarded hot plate has been designed and constructed, and validation of this device using materials of known thermal conductivity is presented. Using the validated device, measurements were made on firn core samples spanning depths from 4 to 48 m from an undisturbed site near the South Pole, Antarctica. Results show that the thermal conductivity of polar firn at South Pole increases with depth and with density. The thermal conductivity of polar firn from the surface to 48 m depth is well-explained as a function of density by the relationship k(firn)(rho) = 0.144 e(0.00308 center dot rho) and as a function of depth by the relationship k(firn)(z) = 0.536 e(0.0144 center dot z). The associated thermal diffusivities range from 19.0 to 28.5 m(2) a(-1).</t>
  </si>
  <si>
    <t>[Oster, Simon E.; Albert, Mary R.] Dartmouth Coll, Thayer Sch Engn, Hanover, NH 03755 USA</t>
  </si>
  <si>
    <t>Dartmouth College</t>
  </si>
  <si>
    <t>Albert, MR (corresponding author), Dartmouth Coll, Thayer Sch Engn, Hanover, NH 03755 USA.</t>
  </si>
  <si>
    <t>Mary.R.Albert@Dartmouth.edu</t>
  </si>
  <si>
    <t>Oster, Simon/0000-0002-5073-8420</t>
  </si>
  <si>
    <t>Kaminsky Undergraduate Research Award [NSF-OPP 1443341, 2024163]; Kanoff Family Fund for Undergraduate Research in Engineering and Science at Dartmouth College; [1836328]</t>
  </si>
  <si>
    <t>Kaminsky Undergraduate Research Award; Kanoff Family Fund for Undergraduate Research in Engineering and Science at Dartmouth College;</t>
  </si>
  <si>
    <t>We thank Sergey Marchenko for promptly providing his data set of thermal conductivity estimations from Lomonosovfanna, Svalbard. We thank the National Science Foundation for enabling this research through grants NSF-OPP 1443341 and 2024163. This research was supported by funding to S.O. by the Kaminsky Undergraduate Research Award and the Kanoff Family Fund for Undergraduate Research in Engineering and Science at Dartmouth College. We thank the US Ice Drilling Program for support activities through NSF-OPP 1836328.</t>
  </si>
  <si>
    <t>PII S0022143022000284</t>
  </si>
  <si>
    <t>10.1017/jog.2022.28</t>
  </si>
  <si>
    <t>WOS:000792179900001</t>
  </si>
  <si>
    <t>da Rosa, CN; Pereira, W; Bremer, UF; Putzke, J; de Andrade, AM; Kramer, G; Hillebrand, FL; de Jesus, JB</t>
  </si>
  <si>
    <t>da Rosa, Cristiano Niederauer; Pereira Filho, Waterloo; Bremer, Ulisses Franz; Putzke, Jair; de Andrade, Andre Medeiros; Kramer, Gisieli; Hillebrand, Fernando Luis; de Jesus, Janisson Batista</t>
  </si>
  <si>
    <t>Spectral behavior of vegetation in Harmony Point, Nelson Island, Antarctica</t>
  </si>
  <si>
    <t>BIODIVERSITY AND CONSERVATION</t>
  </si>
  <si>
    <t>Spectral pattern; Biodiversity of lichens and bryophytes; Maritime Antarctica; Vegetation index; Hyperespectral mesurment</t>
  </si>
  <si>
    <t>IMAGING SPECTROSCOPY; REFLECTANCE SPECTRA; CHLOROPHYLL CONTENT; PENINSULA; RESPONSES; LICHENS; HEALTH; FIELD</t>
  </si>
  <si>
    <t>The present article aims to identify the spectral pattern of several species of mosses, lichens, and of an alga found in Maritime Antarctica from hyperspectral data obtained in situ. Spectral data from 17 species of Antarctic vegetation were collected in Harmony Point, between February 8th and 15th, 2019. To evaluate the possibility of distinguishing the species of vegetation obtained in the field from satellite images, band simulations have been performed, in addition to spectral vegetation indices calculation and statistical analyses for the comparison of results. The results show that the first record of the spectral pattern of species as Andreaea gainii, Haematomma erythromma, and Polytrichum juniperinum. The sensors with a better spectral resolution, such as MultiSpectral Instrument (MSI) and RedEdge-MX Dual Camera Imaging System, revealed a greater capacity of species differentiation. In this regard, it is possible to conclude that the spectral resolution of the simulated sensors is capable of identifying most of the analyzed species.</t>
  </si>
  <si>
    <t>[da Rosa, Cristiano Niederauer; Bremer, Ulisses Franz; Hillebrand, Fernando Luis] Univ Fed Rio Grande do Sul, Polar &amp; Climate Ctr, Grad Program Remote Sensing, Ave Bento Goncalves 9500,Bldg 43136, BR-91501970 Porto Alegre, RS, Brazil; [Pereira Filho, Waterloo] Univ Fed Santa Maria, Dept Geosci, Av Roraima 1000, BR-97105900 Santa Maria, RS, Brazil; [Putzke, Jair] Fed Univ Pampa, Av Antonio Trilha 1847, BR-97300162 Sao Gabriel, RS, Brazil; [de Andrade, Andre Medeiros] Fed Univ Vales Jequitinhonha &amp; Mucuri, Inst Agr Sci, Av Univ 1-000, BR-38610000 Unai, MG, Brazil; [Kramer, Gisieli] Univ Fed Santa Maria, Av Roraima 1000, BR-97105900 Santa Maria, RS, Brazil; [de Jesus, Janisson Batista] Univ Fed Rio Grande do Sul, Grad Program Remote Sensing, Ave Bento Goncalves 9500, BR-91501970 Porto Alegre, RS, Brazil</t>
  </si>
  <si>
    <t>Universidade Federal do Rio Grande do Sul; Universidade Federal de Santa Maria (UFSM); Universidade Federal do Pampa; Universidade Federal dos Vales do Jequitinhonha e Mucuri (UFVJM); Universidade Federal de Santa Maria (UFSM); Universidade Federal do Rio Grande do Sul</t>
  </si>
  <si>
    <t>da Rosa, CN (corresponding author), Univ Fed Rio Grande do Sul, Polar &amp; Climate Ctr, Grad Program Remote Sensing, Ave Bento Goncalves 9500,Bldg 43136, BR-91501970 Porto Alegre, RS, Brazil.</t>
  </si>
  <si>
    <t>cristianonrd@gmail.com; waterloopf@gmail.com; bremer@ufrgs.br; jrputzkebr@yahoo.com; andre.medeiros@ufvjm.edu.br; gisieli@outlook.com.br; fernando.hillebrand@rolante.ifrs.edu.br; janisson.eng@gmail.com</t>
  </si>
  <si>
    <t>Hillebrand, Fernando Luis/AAK-5772-2020; Pereira Filho, Waterloo/L-5187-2016; Putzke, Jair/P-9380-2019; Bremer, Ulisses F/D-3308-2013; Bremer, Ulisses/AAT-8733-2021</t>
  </si>
  <si>
    <t>Hillebrand, Fernando Luis/0000-0002-0182-8526; Bremer, Ulisses/0000-0003-0519-5807; Kramer, Gisieli/0000-0003-0784-3898; Rosa, Cristiano Niederauer da/0000-0003-3693-4764; Pereira Filho, Waterloo/0000-0001-6449-6322; , jair/0000-0002-9018-9024; Andrade, Andre Medeiros/0000-0003-3502-7847</t>
  </si>
  <si>
    <t>LNational Institute of Science and Technology of the Cryospher, National Council for Scientific and Technological Development, Coordination for the Improvement of Higher-Level Personnel -Brazil</t>
  </si>
  <si>
    <t>LNational Institute of Science and Technology of the Cryospher, National Council for Scientific and Technological Development, Coordination for the Improvement of Higher-Level Personnel -Brazil.</t>
  </si>
  <si>
    <t>0960-3115</t>
  </si>
  <si>
    <t>1572-9710</t>
  </si>
  <si>
    <t>BIODIVERS CONSERV</t>
  </si>
  <si>
    <t>Biodivers. Conserv.</t>
  </si>
  <si>
    <t>10.1007/s10531-022-02408-7</t>
  </si>
  <si>
    <t>2L9EN</t>
  </si>
  <si>
    <t>WOS:000787669600001</t>
  </si>
  <si>
    <t>Reeves, SE; Kriegisch, N; Johnson, CR; Ling, SD</t>
  </si>
  <si>
    <t>Reeves, Simon E.; Kriegisch, Nina; Johnson, Craig R.; Ling, Scott D.</t>
  </si>
  <si>
    <t>Kelp habitat fragmentation reduces resistance to overgrazing, invasion and collapse to turf dominance</t>
  </si>
  <si>
    <t>JOURNAL OF APPLIED ECOLOGY</t>
  </si>
  <si>
    <t>aerial imagery; Ecklonia radiata; foraging behaviour; perimeter to area ratio; phase-shift; resilience; sediment trapping turfs; Undaria pinnatifida</t>
  </si>
  <si>
    <t>SURVIVAL; PATTERN; EDGES; RISK</t>
  </si>
  <si>
    <t>1. Across many temperate coastlines worldwide, kelp habitat has degraded to be replaced by alternative reef-states with consequences to ecosystem functioning. Identifying both causes of decline and mechanisms of resilience of remnant kelp habitat is critical for managing and restoring these ecosystems. 2. We use a combination of aerial imagery and field experiments to reveal dynamics of kelp habitat fragmentation during phase-shift from kelp Ecklonia radiata to overgrazed sea urchin barrens Heliocidaris erythrogramma in Port Phillip bay (Australia). 3. Analysis of aerial images spanning 6 years (2009-2014) revealed fragmentation of kelp patches to result in increase in perimeter-to-area ratio during phase-shift. 4. Sea urchin foraging behaviour also changed from the edge to interior of kelp patches, with destructive grazing at the patch edge. Multiple modes of grazing were observed, with greatest rates of kelp bed decline occurring when urchins simultaneously grazed from the 'outside-in' and inside-out' of kelp patches. Overgrazing also triggered establishment of invasive kelp Undaria pinnatifida and proliferation of turf algae. Overgrazing reinforced native kelp decline, with overgrazing exacerbated by reduced provision of drift-kelp. 5. Synthesis and applications. Perimeter-area ratio of kelp patches can predict phase-shift, with patch extinction occurring when ratios exceeded a critical ratio of similar to 0.7. Monitoring dynamics of this critical ratio using aerial imagery provides a novel and cost-effective indicator of kelp ecosystem resilience for preventing further losses. Targeted culling/harvesting of overgrazing sea urchins along patch edges will enhance native kelp survival and decrease perimeter-to-area ratio of remnant kelp patches; reducing risk of phase-shift to sediment-trapping turfs and invasive kelp, dually promoting recovery of kelp ecosystems.</t>
  </si>
  <si>
    <t>[Reeves, Simon E.; Kriegisch, Nina; Johnson, Craig R.; Ling, Scott D.] Univ Tasmania, Inst Marine &amp; Antarctic Studies, Battery Point, Tas, Australia</t>
  </si>
  <si>
    <t>Reeves, SE (corresponding author), Univ Tasmania, Inst Marine &amp; Antarctic Studies, Battery Point, Tas, Australia.</t>
  </si>
  <si>
    <t>simon.reeves@tnc.org</t>
  </si>
  <si>
    <t>; Ling, Scott/J-7161-2014</t>
  </si>
  <si>
    <t>Reeves, Simon/0000-0001-6715-466X; Ling, Scott/0000-0002-5544-8174</t>
  </si>
  <si>
    <t>Holsworth Wildlife Research Endowment; Victorian Government Department of Land Water and Planning</t>
  </si>
  <si>
    <t>0021-8901</t>
  </si>
  <si>
    <t>1365-2664</t>
  </si>
  <si>
    <t>J APPL ECOL</t>
  </si>
  <si>
    <t>J. Appl. Ecol.</t>
  </si>
  <si>
    <t>10.1111/1365-2664.14171</t>
  </si>
  <si>
    <t>1V4IE</t>
  </si>
  <si>
    <t>WOS:000787243300001</t>
  </si>
  <si>
    <t>Friedlingstein, P; Jones, MW; O'Sullivan, M; Andrew, RM; Bakker, DCE; Hauck, J; Le Quéré, C; Peters, GP; Peters, W; Pongratz, J; Sitch, S; Canadell, JG; Ciais, P; Jackson, RB; Alin, SR; Anthoni, P; Bates, NR; Becker, M; Bellouin, N; Bopp, L; Chau, TTT; Chevallier, F; Chini, LP; Cronin, M; Currie, KI; Decharme, B; Djeutchouang, LM; Dou, XY; Evans, W; Feely, RA; Feng, L; Gasser, T; Gilfillan, D; Gkritzalis, T; Grassi, G; Gregor, L; Gruber, N; Gürses, Ö; Harris, I; Houghton, RA; Hurtt, GC; Iida, Y; Ilyina, T; Luijkx, IT; Jain, A; Jones, SD; Kato, E; Kennedy, D; Goldewijk, KK; Knauer, J; Korsbakken, JI; Körtzinger, A; Landschützer, P; Lauvset, SK; Lefèvre, N; Lienert, S; Liu, JJ; Marland, G; McGuire, PC; Melton, JR; Munro, DR; Nabel, JEMS; Nakaoka, SI; Niwa, Y; Ono, T; Pierrot, D; Poulter, B; Rehder, G; Resplandy, L; Robertson, E; Rödenbeck, C; Rosan, TM; Schwinger, J; Schwingshackl, C; Séférian, R; Sutton, AJ; Sweeney, C; Tanhua, T; Tans, PP; Tian, HQ; Tilbrook, B; Tubiello, F; van der Werf, GR; Vuichard, N; Wada, C; Wanninkhof, R; Watson, AJ; Willis, D; Wiltshire, AJ; Yuan, WP; Yue, C; Yue, X; Zaehle, S; Zeng, JY</t>
  </si>
  <si>
    <t>Friedlingstein, Pierre; Jones, Matthew W.; O'Sullivan, Michael; Andrew, Robbie M.; Bakker, Dorothee C. E.; Hauck, Judith; Le Quere, Corinne; Peters, Glen P.; Peters, Wouter; Pongratz, Julia; Sitch, Stephen; Canadell, Josep G.; Ciais, Philippe; Jackson, Rob B.; Alin, Simone R.; Anthoni, Peter; Bates, Nicholas R.; Becker, Meike; Bellouin, Nicolas; Bopp, Laurent; Chau, Thi Tuyet Trang; Chevallier, Frederic; Chini, Louise P.; Cronin, Margot; Currie, Kim I.; Decharme, Bertrand; Djeutchouang, Laique M.; Dou, Xinyu; Evans, Wiley; Feely, Richard A.; Feng, Liang; Gasser, Thomas; Gilfillan, Dennis; Gkritzalis, Thanos; Grassi, Giacomo; Gregor, Luke; Gruber, Nicolas; Gurses, Ozgur; Harris, Ian; Houghton, Richard A.; Hurtt, George C.; Iida, Yosuke; Ilyina, Tatiana; Luijkx, Ingrid T.; Jain, Atul; Jones, Steve D.; Kato, Etsushi; Kennedy, Daniel; Klein Goldewijk, Kees; Knauer, Jurgen; Korsbakken, Jan Ivar; Kortzinger, Arne; Landschutzer, Peter; Lauvset, Siv K.; Lefevre, Nathalie; Lienert, Sebastian; Liu, Junjie; Marland, Gregg; McGuire, Patrick C.; Melton, Joe R.; Munro, David R.; Nabel, Julia E. M. S.; Nakaoka, Shin-Ichiro; Niwa, Yosuke; Ono, Tsuneo; Pierrot, Denis; Poulter, Benjamin; Rehder, Gregor; Resplandy, Laure; Robertson, Eddy; Rodenbeck, Christian; Rosan, Thais M.; Schwinger, Jorg; Schwingshackl, Clemens; Seferian, Roland; Sutton, Adrienne J.; Sweeney, Colm; Tanhua, Toste; Tans, Pieter P.; Tian, Hanqin; Tilbrook, Bronte; Tubiello, Francesco; van der Werf, Guido R.; Vuichard, Nicolas; Wada, Chisato; Wanninkhof, Rik; Watson, Andrew J.; Willis, David; Wiltshire, Andrew J.; Yuan, Wenping; Yue, Chao; Yue, Xu; Zaehle, Sonke; Zeng, Jiye</t>
  </si>
  <si>
    <t>Global Carbon Budget 2021</t>
  </si>
  <si>
    <t>LAND-COVER CHANGE; LEAF-AREA INDEX; SEA CO2 FLUXES; GREENHOUSE-GAS EMISSIONS; FOSSIL-FUEL COMBUSTION; SURFACE OCEAN PCO(2); ECOSYSTEM MODEL CTEM; EARTH SYSTEM MODEL; ATMOSPHERIC CO2; ANTHROPOGENIC CO2</t>
  </si>
  <si>
    <t>Accurate assessment of anthropogenic carbon dioxide (CO2) emissions and their redistribution among the atmosphere, ocean, and terrestrial biosphere in a changing climate is critical to better understand the global carbon cycle, support the development of climate policies, and project future climate change. Here we describe and synthesize datasets and methodology to quantify the five major components of the global carbon budget and their uncertainties. Fossil CO2 emissions (E-FOS) are based on energy statistics and cement production data, while emissions from land-use change (E-LUC), mainly deforestation, are based on land use and land-use change data and bookkeeping models. Atmospheric CO2 concentration is measured directly, and its growth rate (G(ATM)) is computed from the annual changes in concentration. The ocean CO2 sink (S-OCEAN) is estimated with global ocean biogeochemistry models and observation-based data products. The terrestrial CO2 sink (S-LAND) is estimated with dynamic global vegetation models. The resulting carbon budget imbalance (B-IM), the difference between the estimated total emissions and the estimated changes in the atmosphere, ocean, and terrestrial biosphere, is a measure of imperfect data and understanding of the contemporary carbon cycle. All uncertainties are reported as +/- 1 sigma. For the first time, an approach is shown to reconcile the difference in our E-LUC estimate with the one from national greenhouse gas inventories, supporting the assessment of collective countries' climate progress. For the year 2020, E-FOS declined by 5.4 % relative to 2019, with fossil emissions at 9.5 +/- 0.5 GtC yr(-1) (9.3 +/- 0.5 GtC yr(-1) when the cement carbonation sink is included), and E-LUC was 0.9 +/- 0.7 GtC yr(-1), for a total anthropogenic CO2 emission of 10.2 +/- 0.8 GtC yr(-1) (37.4 +/- 2.9 GtCO(2)). Also, for 2020, G(ATM) was 5.0 +/- 0.2 GtC yr-1 (2.4 +/- 0.1 ppm yr(-1)), S-OCEAN was 3.0 +/- 0.4 GtC yr(-1), and S-LAND was 2.9 +/- 1 GtC yr(-1), with a B-IM of -0.8 GtC yr(-1). The global atmospheric CO2 concentration averaged over 2020 reached 412.45 +/- 0.1 ppm. Preliminary data for 2021 suggest a rebound in E-FOS relative to 2020 of +4.8 % (4.2 % to 5.4 %) globally. Overall, the mean and trend in the components of the global carbon budget are consistently estimated over the period 1959-2020, but discrepancies of up to 1 GtC yr(-1) persist for the representation of annual to semi-decadal variability in CO2 fluxes. Comparison of estimates from multiple approaches and observations shows (1) a persistent large uncertainty in the estimate of land-use changes emissions, (2) a low agreement between the different methods on the magnitude of the land CO2 flux in the northern extra-tropics, and (3) a discrepancy between the different methods on the strength of the ocean sink over the last decade. This living data update documents changes in the methods and datasets used in this new global carbon budget and the progress in understanding of the global carbon cycle compared with previous publications of this dataset (Friedlingstein et al., 2020, 2019; Le Quere et al., 2018b, a, 2016, 2015b, a, 2014, 2013). The data presented in this work are available at (Friedlingstein et al., 2021).</t>
  </si>
  <si>
    <t>[Friedlingstein, Pierre; O'Sullivan, Michael] Univ Exeter, Coll Engn Math &amp; Phys Sci, Exeter EX4 4QF, Devon, England; [Friedlingstein, Pierre; Bopp, Laurent] UPMC X, Lab Meteorol Dynam, ENS, Inst Pierre Simon Laplace,CNRS, Paris, France; [Jones, Matthew W.; Le Quere, Corinne; Willis, David] Univ East Anglia, Sch Environm Sci, Tyndall Ctr Climate Change Res, Norwich Res Pk, Norwich NR4 7TJ, Norfolk, England; [Andrew, Robbie M.; Peters, Glen P.; Korsbakken, Jan Ivar] CICERO Ctr Int Climate Res, N-0349 Oslo, Norway; [Bakker, Dorothee C. E.] Univ East Anglia, Sch Environm Sci, Norwich Res Pk, Norwich NR4 7TJ, Norfolk, England; [Hauck, Judith; Gurses, Ozgur] Helmholtz Zentrum Polar &amp; Meeresforsch, Alfred Wegener Inst, Handelshafen 12, D-27570 Bremerhaven, Germany; [Peters, Wouter; Luijkx, Ingrid T.] Wageningen Univ, Environm Sci Grp, POB 47, NL-6700 AA Wageningen, Netherlands; [Peters, Wouter] Univ Groningen, Ctr Isotope Res, Groningen, Netherlands; [Pongratz, Julia; Schwingshackl, Clemens] Ludwig Maximilians Univ Munchen, Luisenstr 37, D-80333 Munich, Germany; [Pongratz, Julia; Ilyina, Tatiana; Landschutzer, Peter; Nabel, Julia E. M. S.] Max Planck Inst Meteorol, Bundesstr 55, D-20146 Hamburg, Germany; [Sitch, Stephen; Rosan, Thais M.; Watson, Andrew J.] Univ Exeter, Coll Life &amp; Environm Sci, Exeter EX4 4RJ, Devon, England; [Canadell, Josep G.; Knauer, Jurgen] CSIRO Oceans &amp; Atmosphere, Canberra, ACT 2101, Australia; [Ciais, Philippe; Chau, Thi Tuyet Trang; Chevallier, Frederic; Vuichard, Nicolas; Yue, Chao] Univ Paris Saclay, Lab Sci Climat &amp; Environm, IPSL, CEA,CNRS,UVSQ, F-91198 Gif Sur Yvette, France; [Jackson, Rob B.] Stanford Univ, Woods Inst Environm, Dept Earth Syst Sci, Stanford, CA 94305 USA; [Jackson, Rob B.] Stanford Univ, Precourt Inst Energy, Stanford, CA 94305 USA; [Alin, Simone R.; Feely, Richard A.; Sutton, Adrienne J.] NOAA, PMEL, 7600 Sand Point Way NE, Seattle, WA 98115 USA; [Anthoni, Peter] Karlsruhe Inst Technol, Inst Meteorol &amp; Climate Res Atmospher Environm Re, D-82467 Garmisch Partenkirchen, Germany; [Bates, Nicholas R.] Bermuda Inst Ocean Sci, 17 Biological Lane,GEO1, St Georges, Bermuda; [Becker, Meike; Jones, Steve D.] Univ Bergen, Geophys Inst, Bergen, Norway; [Becker, Meike; Jones, Steve D.; Lauvset, Siv K.; Schwinger, Jorg] Bjerknes Ctr Climate Res, Bergen, Norway; [Bellouin, Nicolas] Univ Reading, Dept Meteorol, Reading, Berks, England; [Chini, Louise P.; Hurtt, George C.] Univ Maryland, Dept Geog Sci, College Pk, MD 20742 USA; [Cronin, Margot] Marine Inst, Galway, Ireland; [Currie, Kim I.] NIWA, Union Pl West, Dunedin, New Zealand; [Decharme, Bertrand; Seferian, Roland] Univ Toulouse, CNRM, MeteoFrance, CNRS, Toulouse, France; [Djeutchouang, Laique M.] Univ Cape Town, Dept Oceanog, ZA-7701 Cape Town, South Africa; [Djeutchouang, Laique M.] CSIR, SOCCO, ZA-7700 Cape Town, South Africa; [Dou, Xinyu] Tsinghua Univ, Dept Earth Syst Sci, Beijing, Peoples R China; [Evans, Wiley] Hakai Inst, Heriot Bay, BC, Canada; [Feng, Liang] Univ Edinburgh, Natl Ctr Earth Observat, Edinburgh, Midlothian, Scotland; [Gasser, Thomas] Int Inst Appl Syst Anal, Schlosspl 1, A-2361 Laxenburg, Austria; [Gilfillan, Dennis] North Carolina Sch Sci &amp; Math, Durham, NC USA; [Gkritzalis, Thanos] InnovOceanSite, Flanders Marine Inst VLIZ, Wandelaarkaai 7, B-8400 Oostende, Belgium; [Grassi, Giacomo] European Commiss, Joint Res Ctr, I-21027 Ispra, VA, Italy; [Gregor, Luke; Gruber, Nicolas] Swiss Fed Inst Technol, Environm Phys Grp, Inst Biogeochem &amp; Pollutant Dynam, CH-8092 Zurich, Switzerland; [Gregor, Luke; Gruber, Nicolas] Ctr Climate Syst Modeling C2SM, CH-8092 Zurich, Switzerland; [Harris, Ian] Univ East Anglia, Climat Res Unit, Sch Environm Sci, NCAS Climate, Norwich Res Pk, Norwich NR4 7TJ, Norfolk, England; [Houghton, Richard A.] Woodwell Climate Res Ctr, Falmouth, MA 02540 USA; [Iida, Yosuke] Japan Meteorol Agcy, Atmosphere &amp; Ocean Dept, Minato Ku, Tokyo 1058431, Japan; [Jain, Atul] Univ Illinois, Dept Atmospher Sci, Urbana, IL 61821 USA; [Kato, Etsushi] Inst Appl Energy, Minato Ku, Tokyo 1050003, Japan; [Kennedy, Daniel] Natl Ctr Atmospher Res, Climate &amp; Global Dynam, Terr Sci Sect, Boulder, CO 80305 USA; [Klein Goldewijk, Kees] Univ Utrecht, Dept IMEW, Fac Geosci, Copernicus Inst Sustainable Dev, Heidelberglaan 2,POB 80115, NL-3508 TC Utrecht, Netherlands; [Knauer, Jurgen] Western Sydney Univ, Hawkesbury Inst Environm, Penrith, NSW, Australia; [Kortzinger, Arne; Tanhua, Toste] GEOMAR Helmholtz Ctr Ocean Res Kiel, Dusternbrooker Weg 20, D-24105 Kiel, Germany; [Lauvset, Siv K.; Schwinger, Jorg] NORCE Norwegian Res Ctr, Jahnebakken 5, N-5007 Bergen, Norway; [Lefevre, Nathalie] Sorbonne Univ, MNHN, IRD, LOCEAN IPSL Lab,CNRS, Paris, France; [Lienert, Sebastian] Univ Bern, Inst Phys, Climate &amp; Environm Phys, Bern, Switzerland; [Lienert, Sebastian] Univ Bern, Oeschger Ctr Climate Change Res, Bern, Switzerland; [Liu, Junjie] CALTECH, Jet Prop Lab, Pasadena, CA USA; [Marland, Gregg] Appalachian State Univ, Res Inst Environm Energy &amp; Econ, Boone, NC 28608 USA; [Marland, Gregg] Appalachian State Univ, Dept Geol &amp; Environm Sci, Boone, NC 28608 USA; [McGuire, Patrick C.] Univ Reading, Natl Ctr Atmospher Sci, Dept Geog &amp; Environm Sci, Dept Meteorol, Reading, Berks, England; [Melton, Joe R.] Environm &amp; Climate Change Canada, Climate Res Div, Victoria, BC, Canada; [Munro, David R.] Univ Colorado, Cooperat Inst Res Environm Sci, Boulder, CO 80305 USA; [Munro, David R.; Sweeney, Colm] NOAA, GML, Boulder, CO 80305 USA; [Nabel, Julia E. M. S.; Rodenbeck, Christian; Zaehle, Sonke] Max Planck Inst Biogeochem, Jena, Germany; [Nakaoka, Shin-Ichiro; Niwa, Yosuke; Wada, Chisato; Zeng, Jiye] Natl Inst Environm Studies, Earth Syst Div, 2 Onogawa, Tsukuba, Ibaraki 3058506, Japan; [Niwa, Yosuke] Meteorol Res Inst, 1-1 Nagamine, Tsukuba, Ibaraki 3050052, Japan; [Ono, Tsuneo] Japan Fisheries Res &amp; Educ Agcy, 2-12-4 Fukuura,Kanazawa Ku, Yokohama, Kanagawa 2368648, Japan; [Pierrot, Denis; Wanninkhof, Rik] NOAA, AOML, Miami, FL 33149 USA; [Poulter, Benjamin] NASA, Goddard Space Flight Ctr, Biospher Sci Lab, Greenbelt, MD 20771 USA; [Rehder, Gregor] Leibniz Inst Balt Sea Res Warnemuende IOW, Seestr 15, D-18119 Rostock, Germany; [Resplandy, Laure] Princeton Univ, Dept Geosci, Princeton, NJ 08544 USA; [Resplandy, Laure] Princeton Univ, Princeton Environm Inst, Princeton, NJ 08544 USA; [Robertson, Eddy; Wiltshire, Andrew J.] Met Off Hadley Ctr, FitzRoy Rd, Exeter EX1 3PB, Devon, England; [Tans, Pieter P.] NOAA, ESRL, Boulder, CO 80305 USA; [Tian, Hanqin] Auburn Univ, Sch Forestry &amp; Wildlife Sci, 602 Ducan Dr, Auburn, AL 36849 USA; [Tilbrook, Bronte] CSIRO Oceans &amp; Atmosphere, POB 1538, Hobart, Tas 7001, Australia; [Tilbrook, Bronte] Univ Tasmania, Australian Antarctic Partnership Program, Hobart, Tas, Australia; [Tubiello, Francesco] Food &amp; Agr Org United Nat, Stat Div, Via Terme Caracalla, I-00153 Rome, Italy; [van der Werf, Guido R.] Vrije Univ Amsterdam, Fac Earth &amp; Life Sci, Amsterdam, Netherlands; [Yuan, Wenping] Sun Yat Sen Univ, Sch Atmospher Sci, Zhuhai 510245, Guangdong, Peoples R China; [Yue, Xu] Nanjing Univ Informat Sci &amp; Technol, Sch Environm Sci &amp; Engn, Nanjing, Peoples R China</t>
  </si>
  <si>
    <t>University of Exeter; Universite Paris Cite; Centre National de la Recherche Scientifique (CNRS); CNRS - National Institute for Earth Sciences &amp; Astronomy (INSU); Universite PSL; Ecole Normale Superieure (ENS); Sorbonne Universite; Universite Paris Saclay; University of East Anglia; University of East Anglia; Helmholtz Association; Alfred Wegener Institute, Helmholtz Centre for Polar &amp; Marine Research; Wageningen University &amp; Research; University of Groningen; University of Munich; Max Planck Society; University of Exeter; Commonwealth Scientific &amp; Industrial Research Organisation (CSIRO); CEA; Centre National de la Recherche Scientifique (CNRS); Universite Paris Saclay; Universite Paris Cite; Stanford University; Stanford University; National Oceanic Atmospheric Admin (NOAA) - USA; Helmholtz Association; Karlsruhe Institute of Technology; Bermuda Institute of Ocean Sciences; University of Bergen; Bjerknes Centre for Climate Research; University of Reading; University System of Maryland; University of Maryland College Park; Marine Institute Ireland; Centre National de la Recherche Scientifique (CNRS); Meteo France; Universite de Toulouse; University of Cape Town; Council for Scientific &amp; Industrial Research (CSIR) - South Africa; Tsinghua University; Hakai Institute; University of Edinburgh; International Institute for Applied Systems Analysis (IIASA); University of North Carolina; European Commission Joint Research Centre; EC JRC ISPRA Site; Swiss Federal Institutes of Technology Domain; ETH Zurich; University of East Anglia; Japan Meteorological Agency; University of Illinois System; University of Illinois Urbana-Champaign; National Center Atmospheric Research (NCAR) - USA; Utrecht University; Western Sydney University; Helmholtz Association; GEOMAR Helmholtz Center for Ocean Research Kiel; Norwegian Research Centre (NORCE); Museum National d'Histoire Naturelle (MNHN); Centre National de la Recherche Scientifique (CNRS); Institut de Recherche pour le Developpement (IRD); Sorbonne Universite; University of Bern; University of Bern; California Institute of Technology; National Aeronautics &amp; Space Administration (NASA); NASA Jet Propulsion Laboratory (JPL); University of North Carolina; Appalachian State University; University of North Carolina; Appalachian State University; UK Research &amp; Innovation (UKRI); Natural Environment Research Council (NERC); NERC National Centre for Atmospheric Science; University of Reading; Environment &amp; Climate Change Canada; University of Colorado System; University of Colorado Boulder; National Oceanic Atmospheric Admin (NOAA) - USA; Max Planck Society; National Institute for Environmental Studies - Japan; Meteorological Research Institute - Japan; Japan Fisheries Research &amp; Education Agency (FRA); National Oceanic Atmospheric Admin (NOAA) - USA; Atlantic Oceanographic &amp; Meteorological Laboratory (AOML); National Aeronautics &amp; Space Administration (NASA); NASA Goddard Space Flight Center; Leibniz Institut fur Ostseeforschung Warnemunde; Princeton University; Princeton University; Met Office - UK; Hadley Centre; National Oceanic Atmospheric Admin (NOAA) - USA; Auburn University System; Auburn University; Commonwealth Scientific &amp; Industrial Research Organisation (CSIRO); University of Tasmania; Food &amp; Agriculture Organization of the United Nations (FAO); Vrije Universiteit Amsterdam; Sun Yat Sen University; Nanjing University of Information Science &amp; Technology</t>
  </si>
  <si>
    <t>Friedlingstein, P (corresponding author), Univ Exeter, Coll Engn Math &amp; Phys Sci, Exeter EX4 4QF, Devon, England.;Friedlingstein, P (corresponding author), UPMC X, Lab Meteorol Dynam, ENS, Inst Pierre Simon Laplace,CNRS, Paris, France.</t>
  </si>
  <si>
    <t>p.friedlingstein@exeter.ac.uk</t>
  </si>
  <si>
    <t>Jain, Atul/D-2851-2016; Andrew, Robbie/B-4204-2008; Séférian, Roland/ABD-5465-2021; Körtzinger, Arne/A-4141-2014; Le Quéré, Corinne/C-2631-2017; Hauck, Judith/AAC-3967-2019; Hurtt, George/A-8450-2012; Gruber, Nicolas/B-7013-2009; Poulter, Ben/ABB-5886-2021; Peters, Glen P/B-1012-2008; Decharme, Bertrand/Z-4563-2019; Sitch, Stephen A/F-8034-2015; Melton, Joe R./H-6803-2019; Yue, Xu/ABD-9066-2021; Tilbrook, Bronte/A-1522-2012; Peters, Wouter/B-8305-2008; Lauvset, Siv K/H-7948-2016; Yuan, Wenping/HTM-1454-2023; Zaehle, Sönke/C-9528-2017; McGuire, Patrick C./ITT-3056-2023; Friedlingstein, Pierre/H-2700-2014; Alin, Simone/J-6836-2017; Chevallier, Frederic/E-9608-2016; Canadell, Pep/E-9419-2010; Landschützer, Peter/IQU-3835-2023; Knauer, Juergen/AFD-0010-2022; OSullivan, Mike/HJY-6367-2023; Yue, Xu/ISV-0164-2023; McGuire, Patrick C./D-2962-2013; Sutton, Adrienne/C-7725-2015; Schwinger, Jörg/AAN-6573-2021; OCO, OCO/GVS-4314-2022; Chau, Thi Tuyet Trang/AAE-2386-2022; van der Werf, Guido/JXY-9197-2024; Luijkx, Ingrid/G-9169-2011; Ilyina, Tatiana/ABE-9164-2020; Kato, Etsushi/Q-2623-2018; Gasser, Thomas/E-9815-2018; Sweeney, Colm/AAE-9291-2019; Niwa, Yosuke/H-7004-2018; Shin-ichiro, Nakaoka/I-7222-2018; Tanhua, Toste/HLX-5402-2023; Liu, Junjie/F-5739-2017; Gregor, Luke/AAY-5082-2021; van der Werf, Guido/M-8260-2016; Bakker, Dorothee/E-4951-2015; Evans, Wiley/U-8250-2018; Tian, Hanqin/A-6484-2012</t>
  </si>
  <si>
    <t>Jain, Atul/0000-0002-4051-3228; Andrew, Robbie/0000-0001-8590-6431; Séférian, Roland/0000-0002-2571-2114; Le Quéré, Corinne/0000-0003-2319-0452; Hauck, Judith/0000-0003-4723-9652; Hurtt, George/0000-0001-7278-202X; Gruber, Nicolas/0000-0002-2085-2310; Poulter, Ben/0000-0002-9493-8600; Peters, Glen P/0000-0001-7889-8568; Decharme, Bertrand/0000-0002-8661-1464; Melton, Joe R./0000-0002-9414-064X; Peters, Wouter/0000-0001-8166-2070; Zaehle, Sönke/0000-0001-5602-7956; Friedlingstein, Pierre/0000-0003-3309-4739; Alin, Simone/0000-0002-8283-1910; Chevallier, Frederic/0000-0002-4327-3813; Canadell, Pep/0000-0002-8788-3218; Landschützer, Peter/0000-0002-7398-3293; Knauer, Juergen/0000-0002-4947-7067; McGuire, Patrick C./0000-0001-6592-4966; Sutton, Adrienne/0000-0002-7414-7035; Schwinger, Jörg/0000-0002-7525-6882; Chau, Thi Tuyet Trang/0000-0003-0102-7427; Ilyina, Tatiana/0000-0002-3475-4842; Kato, Etsushi/0000-0001-8814-804X; Gasser, Thomas/0000-0003-4882-2647; Shin-ichiro, Nakaoka/0000-0002-3870-1721; Gregor, Luke/0000-0001-6071-1857; Luijkx, Ingrid/0000-0002-3990-6737; Harris, Ian/0000-0003-2037-9284; Jackson, Robert/0000-0001-8846-7147; van der Werf, Guido/0000-0001-9042-8630; Gurses, Ozgur/0000-0002-0646-5760; Djeutchouang, Laique Merlin/0000-0001-7884-4586; O'Sullivan, Michael/0000-0002-6278-3392; Korsbakken, Jan Ivar/0000-0002-2939-9778; Tubiello, Francesco Nicola/0000-0003-4617-4690; Bakker, Dorothee/0000-0001-9234-5337; Evans, Wiley/0000-0002-5450-0903; Tian, Hanqin/0000-0002-1806-4091</t>
  </si>
  <si>
    <t>NERC [NE/P021417/1, NE/R016518/1] Funding Source: UKRI</t>
  </si>
  <si>
    <t>NERC(UK Research &amp; Innovation (UKRI)Natural Environment Research Council (NERC))</t>
  </si>
  <si>
    <t>10.5194/essd-14-1917-2022</t>
  </si>
  <si>
    <t>0T8YE</t>
  </si>
  <si>
    <t>Green Submitted, Green Published, Green Accepted, gold</t>
  </si>
  <si>
    <t>WOS:000787247700001</t>
  </si>
  <si>
    <t>Shabangu, FW; Kowarski, KA</t>
  </si>
  <si>
    <t>Shabangu, Fannie W.; Kowarski, Katie A.</t>
  </si>
  <si>
    <t>The Beat Goes On: Humpback Whale Song Seasonality in Antarctic and South African Waters</t>
  </si>
  <si>
    <t>seasonal occurrence; humpback whales; passive acoustics; diel-vocalizing patterns; Antarctica; South Africa; songs</t>
  </si>
  <si>
    <t>WEST-COAST; MEGAPTERA-NOVAEANGLIAE; ENVIRONMENTAL-CONDITIONS; MIGRATION; SEA; REPERTOIRE; MOVEMENTS; PATTERNS; CALLS</t>
  </si>
  <si>
    <t>Little is known of the movements and seasonal occurrence of humpback whales (Megaptera novaeangliae) of South Africa and the Antarctic, populations once brought to near extinction by historic commercial whaling. We investigated the seasonal occurrence and diel-vocalizing pattern of humpback whale songs off the west coast of South Africa (migration route and opportunistic feeding ground) and the Maud Rise, Antarctica (feeding ground), using passive acoustic monitoring data collected between early 2014 and early 2017. Data were collected using acoustic autonomous recorders deployed 200-300 m below the sea surface in waters 855, 1,118 and 4,400 m deep. Acoustic data were manually analyzed for humpback whale vocalizations. While non-song calls were never identified, humpback whale songs were detected from June through December in South African waters, with a peak in percentage of acoustic occurrence around September/October in the austral spring. In Antarctic waters, songs were detected from March through May and in July (with a peak occurrence in April) where acoustic occurrence of humpback whales was negatively correlated to distance to the sea ice extent. Humpback whales were more vocally active at night than in the day at all recording sites. Detection range modelling indicates that humpback whale vocalizations could be detected as far as 18 and 45 km from recorders in South African and Antarctic waters, respectively. This study provides a multi-year description of the offshore acoustic occurrence of humpback whales off the west coast of South Africa and Maud Rise, Antarctica, regions that should continue to be monitored to understand these recovering populations.</t>
  </si>
  <si>
    <t>[Shabangu, Fannie W.] Dept Forestry Fisheries &amp; Environm, Fisheries Management Branch, Cape Town, South Africa; [Shabangu, Fannie W.] Univ Pretoria, Mammal Res Inst, Dept Zool &amp; Entomol, Whale Unit, Pretoria, Herts, South Africa; [Kowarski, Katie A.] JASCO Appl Sci, Dartmouth, NS, Canada</t>
  </si>
  <si>
    <t>University of Pretoria</t>
  </si>
  <si>
    <t>Shabangu, FW (corresponding author), Dept Forestry Fisheries &amp; Environm, Fisheries Management Branch, Cape Town, South Africa.;Shabangu, FW (corresponding author), Univ Pretoria, Mammal Res Inst, Dept Zool &amp; Entomol, Whale Unit, Pretoria, Herts, South Africa.</t>
  </si>
  <si>
    <t>fannie.shabangu@yahoo.com</t>
  </si>
  <si>
    <t>Kowarski, Katie/HNQ-0221-2023</t>
  </si>
  <si>
    <t>Shabangu, Fannie W./0000-0002-3668-3566</t>
  </si>
  <si>
    <t>South African National Antarctic Programme; SNA [2011112500003]</t>
  </si>
  <si>
    <t>South African National Antarctic Programme; SNA</t>
  </si>
  <si>
    <t>Project data collection was funded by the South African National Antarctic Programme Grant No. SNA 2011112500003. The funder was not involved in the study analysis, interpretation of data, the writing of this article or the decision to submit it for publication.</t>
  </si>
  <si>
    <t>APR 25</t>
  </si>
  <si>
    <t>10.3389/fmars.2022.827324</t>
  </si>
  <si>
    <t>4X7VN</t>
  </si>
  <si>
    <t>WOS:000861045400001</t>
  </si>
  <si>
    <t>Liu, Y; Lin, SY; Hu, SJ; Wang, D; Yao, H; Sun, N</t>
  </si>
  <si>
    <t>Liu, Yao; Lin, Songyi; Hu, Shengjie; Wang, Di; Yao, Hui; Sun, Na</t>
  </si>
  <si>
    <t>Co-administration of Antarctic krill peptide EEEFDATR and calcium shows superior osteogenetic activity</t>
  </si>
  <si>
    <t>FOOD BIOSCIENCE</t>
  </si>
  <si>
    <t>Antarctic krill peptide; Calcium; Co-administration; Osteogenetic activity</t>
  </si>
  <si>
    <t>OSTEOBLAST DIFFERENTIATION; BINDING PEPTIDE; MC3T3-E1 CELLS; BONE; PROLIFERATION; PROMOTES; ACTIVATION</t>
  </si>
  <si>
    <t>A specific peptide (EEEFDATR) that is released during the hydrolysis of Antarctic krill contains three glutamic acids that cover calcium-binding ligands, and might act as a potential role in enhancing the osteogenetic activity. In this study, EEEFDATR and calcium alone and in combination were examined for their effects on the proliferation, differentiation, and mineralization of MC3T3-E1 osteoblastic cells. Co-administration of CaCl2 and EEEFDATR showed a superior proliferation rate (70.94%) of MC3T3-E1 cells, which was about 2.07 and 1.74 times higher than CaCl2 and EEEFDATR alone, respectively. Osteoblast proliferation improvements were associated with increased cell cycle in S phase after co-administration of CaCl2 and EEEFDATR. The CaCl2 + EEEFDATR group further exhibited a significantly higher alkaline phosphatase (ALP) activity as compared to other groups (p &lt; 0.05) and showed obvious differentiation of MC3T3-E1 cells. The magnitude of mineralization in the extracellular matrix (calcium deposition) was also higher in MC3T3-E1 cells treated with combined administration, although EEEFDATR alone did not induce significant mineralization. These data suggest that co administration of CaCl2 and EEEFDATR was superior to mono-administration in improving osteogenetic activity.</t>
  </si>
  <si>
    <t>[Liu, Yao; Lin, Songyi; Hu, Shengjie; Wang, Di; Yao, Hui; Sun, Na] Dalian Polytech Univ, Natl Engn Res Ctr Seafood, Sch Food Sci &amp; Technol, 1 Qinggongyuan, Dalian 116034, Peoples R China; [Lin, Songyi; Sun, Na] Dalian Polytech Univ, Collaborat Innovat Ctr Seafood Deep Proc, Dalian 116034, Peoples R China</t>
  </si>
  <si>
    <t>Sun, N (corresponding author), Dalian Polytech Univ, Natl Engn Res Ctr Seafood, Sch Food Sci &amp; Technol, 1 Qinggongyuan, Dalian 116034, Peoples R China.</t>
  </si>
  <si>
    <t>sunna1215@126.com</t>
  </si>
  <si>
    <t>Hu, shengjie/JCP-5531-2023; Wang, zijun/JNS-5435-2023; Zhou, Hong/JKJ-1067-2023; Lin, Song-Y i/A-1778-2012</t>
  </si>
  <si>
    <t>Hu, Shengjie/0000-0002-9374-3131</t>
  </si>
  <si>
    <t>LiaoNing Revitalization Talents Program of China [XLYC2007078]; Program for Inno-vative Talents in Higher Education of Liaoning Province of China [LR2019008]</t>
  </si>
  <si>
    <t>LiaoNing Revitalization Talents Program of China; Program for Inno-vative Talents in Higher Education of Liaoning Province of China</t>
  </si>
  <si>
    <t>Acknowledgement This work was financially supported by the LiaoNing Revitalization Talents Program of China (XLYC2007078) and the Program for Inno-vative Talents in Higher Education of Liaoning Province of China (LR2019008) .</t>
  </si>
  <si>
    <t>2212-4292</t>
  </si>
  <si>
    <t>2212-4306</t>
  </si>
  <si>
    <t>FOOD BIOSCI</t>
  </si>
  <si>
    <t>Food Biosci.</t>
  </si>
  <si>
    <t>10.1016/j.fbio.2022.101728</t>
  </si>
  <si>
    <t>1J4ZO</t>
  </si>
  <si>
    <t>WOS:000797928400004</t>
  </si>
  <si>
    <t>Cao, YF; Qiao, YD; Cui, ST; Ge, J</t>
  </si>
  <si>
    <t>Cao, Yufei; Qiao, Yida; Cui, Shitong; Ge, Jun</t>
  </si>
  <si>
    <t>Origin of Metal Cluster Tuning Enzyme Activity at the Bio-Nano Interface</t>
  </si>
  <si>
    <t>JACS AU</t>
  </si>
  <si>
    <t>metal cluster; enzyme; bio-nano interface; polymer engineering; substrate channeling</t>
  </si>
  <si>
    <t>CRYSTAL-STRUCTURE; CELLULAR UPTAKE; FORCE-FIELDS; DYNAMICS; SIMULATION; COMPLEXES; SIZE</t>
  </si>
  <si>
    <t>Detailed understanding of how the bio-nano interlace orchestrates the function of both biological components and nanomaterials remains ambiguous. Here, through a combination of experiments and molecular dynamics simulations, we investigated how the interface between Candida Antarctic lipase B and palladium (Pd) nanoparticles (NPs) tunes the structure, dynamics, and catalysis of the enzyme. Our simulations show that the metal binding to protein is a shape matching behavior and there is a transition from saturated binding to unsaturated binding along with the increase in the size of metal NPs. When we engineered the interface with the polymer, not only did the critical size of saturated binding of metal NPs become larger, but also the disturbance of the metal NPs to the enzyme function was reduced. In addition, we found that an enzyme-metal interface engineered with the polymer can boost bio-metal cascade reactions via substrate channeling. Understanding and control of the bio-nano interface at the molecular level enable us to rationally design bio-nanocomposites with prospective properties.</t>
  </si>
  <si>
    <t>[Cao, Yufei; Qiao, Yida; Cui, Shitong; Ge, Jun] Tsinghua Univ, Dept Chem Engn, Minist Educ, Key Lab Ind Biocatalysis, Beijing 100084, Peoples R China; [Ge, Jun] Tsinghua Shenzhen Int Grad Sch, Inst Biopharmaceut &amp; Hlth Engn, Shenzhen 518055, Peoples R China; [Ge, Jun] Shenzhen Bay Lab, Inst Biomed Hlth Technol &amp; Engn, Shenzhen 518107, Peoples R China</t>
  </si>
  <si>
    <t>Tsinghua University; Tsinghua Shenzhen International Graduate School; Shenzhen Bay Laboratory</t>
  </si>
  <si>
    <t>Ge, J (corresponding author), Tsinghua Univ, Dept Chem Engn, Minist Educ, Key Lab Ind Biocatalysis, Beijing 100084, Peoples R China.;Ge, J (corresponding author), Tsinghua Shenzhen Int Grad Sch, Inst Biopharmaceut &amp; Hlth Engn, Shenzhen 518055, Peoples R China.;Ge, J (corresponding author), Shenzhen Bay Lab, Inst Biomed Hlth Technol &amp; Engn, Shenzhen 518107, Peoples R China.</t>
  </si>
  <si>
    <t>junge@mail.tsinghua.edu.cn</t>
  </si>
  <si>
    <t>Ge, Jun/M-4590-2013</t>
  </si>
  <si>
    <t>Ge, Jun/0000-0001-5503-8899; Cao, Yufei/0000-0002-4742-4009</t>
  </si>
  <si>
    <t>National Key Research and Development Program of China [2021YFC2102800]; National Natural Science Foundation of China [21878174]; Institute for Guo Qiang, Tsinghua University [2022GQS1001]</t>
  </si>
  <si>
    <t>National Key Research and Development Program of China; National Natural Science Foundation of China(National Natural Science Foundation of China (NSFC)); Institute for Guo Qiang, Tsinghua University</t>
  </si>
  <si>
    <t>This work was supported by the National Key Research and Development Program of China (2021YFC2102800), the National Natural Science Foundation of China (21878174), and a grant from the Institute for Guo Qiang (2022GQS1001), Tsinghua University. The calculations were completed on the Shenzhen Bay Laboratory Computing Center and Explorer 100 cluster system of Tsinghua HPC Platform.</t>
  </si>
  <si>
    <t>2691-3704</t>
  </si>
  <si>
    <t>JACS Au</t>
  </si>
  <si>
    <t>10.1021/jacsau.2c00077</t>
  </si>
  <si>
    <t>1G0KC</t>
  </si>
  <si>
    <t>WOS:000795545200017</t>
  </si>
  <si>
    <t>Torricelli, S; Menichetti, E; Knezaurek, G</t>
  </si>
  <si>
    <t>Torricelli, Stefano; Menichetti, Elena; Knezaurek, Gabriella</t>
  </si>
  <si>
    <t>Climate-driven dinoflagellate cyst stratigraphy of the Oligocene-lower Miocene turbidite succession of the Lower Congo Basin (offshore NW Angola)</t>
  </si>
  <si>
    <t>JOURNAL OF AFRICAN EARTH SCIENCES</t>
  </si>
  <si>
    <t>Dinoflagellate cysts; Biostratigraphy; Paleoecology; Turbidites; Angola; Oligocene; Miocene</t>
  </si>
  <si>
    <t>NORTH-ATLANTIC; MIDDLE MIOCENE; EOCENE; BIOSTRATIGRAPHY; TRANSITION; MARGIN; PALEOENVIRONMENTS; PERSPECTIVE; PALYNOLOGY; ZONATION</t>
  </si>
  <si>
    <t>Biostratigraphic studies of cuttings from wells located in the Lower Congo Basin, offshore northwestern Angola, document with unprecedented wealth of data the organic-walled dinoflagellate cyst (dinocyst) assemblages of the Malembo Formation. The identification of a series of dinocyst events (highest and lowest occurrences, influxes and acmes) recurring in the same stratigraphic position in different wells and cross-calibrated by calcareous nannofossil data, provides a tool for age control and correlation of the Oligocene and lower Miocene in the equatorial and South Atlantic region.Proceeding downwards in the stratigraphy of the examined succession, the lowest occurrence of Pyxidinopsis pastilliformis, detected within the CN3 nannofossil Zone, approximates the Langhian-Burdigalian boundary, whereas the lowest occurrences of Sumatradinuim druggii and Sumatradinium hispidum occur at the base of the CN2 nannofossil Zone in the Burdigalian. The lowest occurrences of Sumatradinium soucouyantiae and Barssidinium taxandrianum fall within the Zone of acme of Hystrichokolpoma rigaudiae at the Burdigalian-Aquitanian transition, and immediately above the acmes of Cribroperidinium tenuitabulatum and Systematophora-Cleistosphaeridium group that are supposed to reflect climate cooling pulse Mi-1a. The presence of Chiropteridium spp. and Membranophoridium aspinatum is limited to the upper part of the Chattian. An influx of Tuberculodinium vancampoae, possibly related to a warmer interlude during a period of overall climate cooling, occurs in proximity of the Chattian-Rupelian boundary. The nearly synchronous highest occurrences of Gerdiocysta conopeum, Eocladopyxis peniculata and Heterosphaeridium sp. provide a robust infra-Rupelian biohorizon. Further down in the Rupelian, the influxes of Pentadinium laticinctutm and Distatodinium paradoxum are interpreted as responses to cooling pulses. The lowest occurrence of G. conopeum, detected in the basal part of the NP23 nannofossil Zone, corresponds to the global first appearance of this excellent Rupelian marker. Genera Deflandrea and Wetzeliella are noticeably missing in the studied material just as they lack in some coeval dinocyst assemblages reported in the literature from low paleolatitude Atlantic sections. The recorded alternation of influxes and acmes of Gonyaulacoid dinocyst taxa indicative of cooler and warmer water conditions was probably climate-driven, i.e. paced by cooling pulses and relatively warmer interludes characterizing the climate evolution during the Oligocene and early Miocene. Indeed, the lack of acmes of Peridinioid cysts suggests that climate, rather than constantly elevated nutrient levels ensured by the Congo River discharge, was the discriminant factor triggering the observed blooms of Gonyaulacoid cyst-forming taxa.The delivery of large volumes of sands into deepwater settings via gravity-driven fluxes was favored by sealevel drops and is ultimately associated with pulses of climate cooling and Antarctic ice-sheet growth, finally reflected by the composition of the dinocyst assemblages. In addition to paleoecological factors, hydraulic fractionation resulting from sedimentary processes that transported palynomorphs down the slope as part of turbidite fluxes, contributed to shape the palynological assemblages observed in this study.</t>
  </si>
  <si>
    <t>[Torricelli, Stefano; Menichetti, Elena; Knezaurek, Gabriella] Eni SpA Nat Resources, Upstream &amp; Tech Serv, I-20097 San Donato Milanese, Italy</t>
  </si>
  <si>
    <t>Torricelli, S (corresponding author), Eni SpA Nat Resources, Upstream &amp; Tech Serv, I-20097 San Donato Milanese, Italy.</t>
  </si>
  <si>
    <t>stefano.torricelli@eni.com; elena.menichetti@eni.com; gabriella.knezaurek@eni.com</t>
  </si>
  <si>
    <t>Torricelli, Stefano/0000-0002-1313-349X</t>
  </si>
  <si>
    <t>1464-343X</t>
  </si>
  <si>
    <t>1879-1956</t>
  </si>
  <si>
    <t>J AFR EARTH SCI</t>
  </si>
  <si>
    <t>J. Afr. Earth Sci.</t>
  </si>
  <si>
    <t>10.1016/j.jafrearsci.2022.104536</t>
  </si>
  <si>
    <t>1D5EX</t>
  </si>
  <si>
    <t>WOS:000793824700002</t>
  </si>
  <si>
    <t>Permann, C; Pierangelini, M; Remias, D; Lewis, LA; Holzinger, A</t>
  </si>
  <si>
    <t>Permann, Charlotte; Pierangelini, Mattia; Remias, Daniel; Lewis, Louise A.; Holzinger, Andreas</t>
  </si>
  <si>
    <t>Photophysiological investigations of the temperature stress responses of Zygnema spp (Zygnematophyceae) from subpolar and polar habitats (Iceland, Svalbard)</t>
  </si>
  <si>
    <t>PHYCOLOGIA</t>
  </si>
  <si>
    <t>Climate change; Green algae; Photosynthesis; rbcL phylogeny; Streptophyta; Transmission electron microscopy</t>
  </si>
  <si>
    <t>GREEN-ALGA ZYGNEMA; ECOPHYSIOLOGICAL PERFORMANCE; PHOTOPROTECTION MECHANISMS; PHENOLIC-COMPOUNDS; XANTHOPHYLL CYCLE; ANTARCTIC STRAINS; STREPTOPHYTA; PHOTOSYNTHESIS; LIGHT; EVOLUTION</t>
  </si>
  <si>
    <t>Zygnematophyceae are main primary producers in polar hydro-terrestrial habitats, characterized by extreme abiotic conditions. They are expected to be strongly impacted by climate change, leading to threats to subpolar and polar ecosystems. Two isolates of Zygnema from a subpolar (Iceland, Zygnema sp. I) and a polar Island (Svalbard, Zygnema sp. B) were compared by their photophysiological performance and phenolic content. A phylogenetic analysis was performed in a newly isolated Zygnema I where also morphology and ultrastructure were characterized. The rbcL sequence of the Icelandic Zygnema I was identical to that of Zygnema V, previously isolated from Svalbard, and phylogenetic analysis placed this strain into Zygnema clade 2. Average width of vegetative filaments (28 +/- 0.7 mu m) and ultrastructure was similar to closely related Zygnema strains. Zygnema I and Zygnema B were exposed to three different treatment temperatures (15, 20 and 25 degrees C) for two weeks, then photophysiological parameters and cellular phenol contents were acquired. The maximum electron transport rate increased significantly with elevated temperatures, but non-photochemical quenching did not change. Net photosynthetic oxygen production was higher in Zygnema B, but decreased in both strains from 10 to 15 degrees C measuring temperature. Zygnema I showed a significant decrease between 15/25 degrees C-treated cultures above 20 degrees C measuring temperature. The phenolic content did not change significantly with experimental treatments, the spectral absorption at 350 nm was significantly lower in Zygnema B when compared with Zygnema I. Taken together our results indicate that Zygnema B and Zygnema I cannot adapt to elevated temperatures.</t>
  </si>
  <si>
    <t>[Permann, Charlotte; Pierangelini, Mattia; Holzinger, Andreas] Univ Innsbruck, Dept Bot, Funct Plant Biol, Sternwartestr 15, A-6020 Innsbruck, Austria; [Remias, Daniel] Univ Appl Sci Upper Austria, Sch Engn &amp; Environm Sci, Stelzhamerstr 23, A-4600 Wels, Austria; [Lewis, Louise A.] Univ Connecticut, Dept Ecol &amp; Environm Biol, N Eagleville Rd, Storrs, CT 06269 USA</t>
  </si>
  <si>
    <t>University of Innsbruck; University of Connecticut</t>
  </si>
  <si>
    <t>Holzinger, A (corresponding author), Univ Innsbruck, Dept Bot, Funct Plant Biol, Sternwartestr 15, A-6020 Innsbruck, Austria.</t>
  </si>
  <si>
    <t>Andreas.Holzinger@uibk.ac.at</t>
  </si>
  <si>
    <t>Remias, Daniel/A-1966-2010; Holzinger, Andreas/A-6396-2008</t>
  </si>
  <si>
    <t>Remias, Daniel/0000-0003-0896-435X; Lewis, Louise/0000-0003-0695-5134; Pierangelini, Mattia/0000-0002-6166-8472; Holzinger, Andreas/0000-0002-7745-3978; Permann, Charlotte/0000-0003-0276-6053</t>
  </si>
  <si>
    <t>Austrian Science Fund FWF [1951B16, P 34181-B]; Fulbright scholarship; FWF [P 34073]; USA NSF [DEB-1541539]</t>
  </si>
  <si>
    <t>Austrian Science Fund FWF(Austrian Science Fund (FWF)); Fulbright scholarship; FWF(Austrian Science Fund (FWF)); USA NSF(National Science Foundation (NSF))</t>
  </si>
  <si>
    <t>The study was supported by Austrian Science Fund FWF project I 1951B16 and P 34181-B and a Fulbright scholarship to AH and FWF project P 34073 to DR and USA NSF DEB-1541539 to LAL.</t>
  </si>
  <si>
    <t>0031-8884</t>
  </si>
  <si>
    <t>2330-2968</t>
  </si>
  <si>
    <t>Phycologia</t>
  </si>
  <si>
    <t>10.1080/00318884.2022.2043089</t>
  </si>
  <si>
    <t>1T2HP</t>
  </si>
  <si>
    <t>WOS:000788516400001</t>
  </si>
  <si>
    <t>Martín-Martín, RP; Carcedo-Forés, M; Camacho-Bolós, P; García-Aljaro, C; Angulo-Preckler, C; Avila, C; Lluch, JR; Garreta, AG</t>
  </si>
  <si>
    <t>Martin-Martin, Rafael P.; Carcedo-Fores, Marta; Camacho-Bolos, Pablo; Garcia-Aljaro, Cristina; Angulo-Preckler, Carlos; Avila, Conxita; Rull Lluch, Jordi; Garreta, Amelia Gomez</t>
  </si>
  <si>
    <t>Experimental evidence of antimicrobial activity in Antarctic seaweeds: ecological role and antibiotic potential</t>
  </si>
  <si>
    <t>Antibiotic activity; Rhodophyta; Phaeophyceae; Chemical ecology; Pathogenic microorganisms</t>
  </si>
  <si>
    <t>CHEMICAL ECOLOGY; ANTIBACTERIAL ACTIVITY; BROWN MACROALGAE; MARINE-ALGAE; DEFENSES; DIVERSITY; EXTRACTS; BACTERIA; PALATABILITY; INHIBITION</t>
  </si>
  <si>
    <t>Seaweeds contain a wide range of secondary metabolites which serve multiple functions, including chemical and ecological mediation with microorganisms. Moreover, owing to their diverse bioactivity, including their antibiotic properties, they show potential for human use. Nonetheless, the chemical ecology of seaweeds is not equally understood across different regions; for example, Antarctic seaweeds are among the lesser studied groups. With the aim of improving our current understanding of the chemical ecology and potential bioactivity of Antarctic seaweeds, we performed a screening of antibiotic activity using crude extracts from 22 Antarctic macroalgae species. Extractions were performed separating lipophilic and hydrophilic fractions at natural concentrations. Antimicrobial activity assays were performed using the disk diffusion method against seven Antarctic bacteria and seven human pathogenic surrogates. Our results showed that red seaweeds (especially Delisea pulchra) inhibited a larger number of microorganisms compared with brown seaweeds, and that lipophilic fractions were more active than hydrophilic ones. Both types of bacteria tested (Gram negative and Gram positive) were inhibited, especially by butanolic fractions, suggesting a trend of non-specific chemical defence. However, Gram-negative bacteria and one pathogenic fungus showed greater resistance. Our study contributes to the evidence of antimicrobial chemical interactions between Antarctic seaweeds and sympatric microorganisms, as well as the potential of seaweed extracts for pharmacological applications.</t>
  </si>
  <si>
    <t>[Martin-Martin, Rafael P.; Carcedo-Fores, Marta; Camacho-Bolos, Pablo; Rull Lluch, Jordi; Garreta, Amelia Gomez] Univ Barcelona UB, Fac Pharm &amp; Food Sci, Lab Bot, Av Joan XXIII 27-31, Barcelona 08028, Spain; [Martin-Martin, Rafael P.; Angulo-Preckler, Carlos; Avila, Conxita; Rull Lluch, Jordi; Garreta, Amelia Gomez] Univ Barcelona UB, Biodivers Res Inst IRBio, Av Diagonal 643, Barcelona 08028, Spain; [Martin-Martin, Rafael P.; Rull Lluch, Jordi; Garreta, Amelia Gomez] Univ Barcelona, Plant Biodivers Resource Ctr CeDocBiv, Baldiri Reixac 2, Barcelona 08028, Spain; [Angulo-Preckler, Carlos; Avila, Conxita] Univ Barcelona UB, Fac Biol, Dept Evolutionary Biol Ecol &amp; Environm Sci, Av Diagonal 643, Barcelona 08028, Spain; [Garcia-Aljaro, Cristina] Univ Barcelona UB, Fac Biol, Dept Genet Microbiol &amp; Stat, Av Diagonal 643, Barcelona 08028, Spain; [Angulo-Preckler, Carlos] UiT Arctic Univ Norway, Norwegian Coll Fishery Sci Fac Biosci, Fac Biosci Fisheries &amp; Econ, Tromso, Norway</t>
  </si>
  <si>
    <t>University of Barcelona; University of Barcelona; University of Barcelona; University of Barcelona; University of Barcelona; UiT The Arctic University of Tromso</t>
  </si>
  <si>
    <t>Martín-Martín, RP (corresponding author), Univ Barcelona UB, Fac Pharm &amp; Food Sci, Lab Bot, Av Joan XXIII 27-31, Barcelona 08028, Spain.;Martín-Martín, RP (corresponding author), Univ Barcelona UB, Biodivers Res Inst IRBio, Av Diagonal 643, Barcelona 08028, Spain.;Martín-Martín, RP (corresponding author), Univ Barcelona, Plant Biodivers Resource Ctr CeDocBiv, Baldiri Reixac 2, Barcelona 08028, Spain.</t>
  </si>
  <si>
    <t>ginkopsida@gmail.com; mcarce01@ucm.es; pab.cambol@gmail.com; crgarcia@ub.edu; carlospreckler@hotmail.com; conxita.avila@ub.edu; jordirull@ub.edu; ameliagomez@ub.edu</t>
  </si>
  <si>
    <t>Angulo_Preckler, Carlos/A-6456-2011; Garcia-Aljaro, Cristina/F-3893-2016; Avila, Conxita/B-9466-2008</t>
  </si>
  <si>
    <t>Angulo_Preckler, Carlos/0000-0001-9028-274X; Garcia-Aljaro, Cristina/0000-0003-4863-3547; Avila, Conxita/0000-0002-5489-8376</t>
  </si>
  <si>
    <t>BLUEBIO research projects [CTM2010-17415, CTM2013-42667/ANT, CTM2016-78901]; Catalan Government [2017SGR1116, 2017SGR1120]; CRUE-CSIC agreement; Springer Nature; Ramon Areces Foundation</t>
  </si>
  <si>
    <t>BLUEBIO research projects; Catalan Government; CRUE-CSIC agreement; Springer Nature; Ramon Areces Foundation</t>
  </si>
  <si>
    <t>Open Access funding provided thanks to the CRUE-CSIC agreement with Springer Nature. This work was developed within the frames of the ACTIQUIM, DISTANTCOM and BLUEBIO research projects (CTM2010-17415, CTM2013-42667/ANT, CTM2016-78901) and with support from 2017SGR1116 and 2017SGR1120 grants of the Catalan Government. CAP was supported by the Ramon Areces Foundation.</t>
  </si>
  <si>
    <t>10.1007/s00300-022-03036-1</t>
  </si>
  <si>
    <t>1G0HS</t>
  </si>
  <si>
    <t>WOS:000787107400001</t>
  </si>
  <si>
    <t>Hurd, CL; Law, CS; Bach, LT; Britton, D; Hovenden, M; Paine, ER; Raven, JA; Tamsitt, V; Boyd, PW</t>
  </si>
  <si>
    <t>Hurd, Catriona L.; Law, Cliff S.; Bach, Lennart T.; Britton, Damon; Hovenden, Mark; Paine, Ellie R.; Raven, John A.; Tamsitt, Veronica; Boyd, Philip W.</t>
  </si>
  <si>
    <t>Forensic carbon accounting: Assessing the role of seaweeds for carbon sequestration</t>
  </si>
  <si>
    <t>JOURNAL OF PHYCOLOGY</t>
  </si>
  <si>
    <t>carbon cycling; carbon dioxide removal; carbon sequestration; dissolved organic carbon; ocean afforestation; ocean-atmosphere equilibrium; particulate organic carbon; seawater carbonate system; seaweed aquaculture</t>
  </si>
  <si>
    <t>DISSOLVED ORGANIC-MATTER; GIANT-KELP MACROCYSTIS; SEA GAS-EXCHANGE; BLUE CARBON; COASTAL; CO2; AQUACULTURE; MACROALGAE; BIOMASS; FUTURE</t>
  </si>
  <si>
    <t>Carbon sequestration is defined as the secure storage of carbon-containing molecules for &gt;100 years, and in the context of carbon dioxide removal for climate mitigation, the origin of this CO2 is from the atmosphere. On land, trees globally sequester substantial amounts of carbon in woody biomass, and an analogous role for seaweeds in ocean carbon sequestration has been suggested. The purposeful expansion of natural seaweed beds and aquaculture systems, including into the open ocean (ocean afforestation), has been proposed as a method of increasing carbon sequestration and use in carbon trading and offset schemes. However, to verify whether CO2 fixed by seaweeds through photosynthesis leads to carbon sequestration is extremely complex in the marine environment compared to terrestrial systems, because of the need to jointly consider: the comparatively rapid turnover of seaweed biomass, tracing the fate of carbon via particulate and dissolved organic carbon pathways in dynamic coastal waters, and the key role of atmosphere-ocean CO2 exchange. We propose a Forensic Carbon Accounting approach, in which a thorough analysis of carbon flows between the atmosphere and ocean, and into and out of seaweeds would be undertaken, for assessing the magnitude of CO2 removal and robust attribution of carbon sequestration to seaweeds.</t>
  </si>
  <si>
    <t>[Hurd, Catriona L.; Bach, Lennart T.; Britton, Damon; Paine, Ellie R.; Boyd, Philip W.] Univ Tasmania, Inst Marine &amp; Antarctic Studies, Hobart, Tas 7001, Australia; [Law, Cliff S.] Natl Inst Water &amp; Atmospher Res, Wellington 6021, New Zealand; [Law, Cliff S.] Univ Otago, Dept Marine Sci, Dunedin 9016, New Zealand; [Hovenden, Mark] Univ Tasmania, Sch Nat Sci, Biol Sci, Private Bag 55, Hobart, Tas 7001, Australia; [Raven, John A.] Univ Dundee, Div Plant Sci, James Hutton Inst, Dundee DD2 5DA, Scotland; [Raven, John A.] Univ Technol, Climate Change Cluster, Ultimo, NSW 2006, Australia; [Raven, John A.] Univ Western Australia, Sch Biol Sci, 35 Stirling Highway, Crawley, WA 6009, Australia; [Tamsitt, Veronica] Univ S Florida, Coll Marine Sci, 830 1st St S, St Petersburg, FL 33701 USA; [Tamsitt, Veronica] Univ New South Wales, Climate Change Res Ctr, Sydney, NSW 2052, Australia</t>
  </si>
  <si>
    <t>University of Tasmania; National Institute of Water &amp; Atmospheric Research (NIWA) - New Zealand; University of Otago; University of Tasmania; James Hutton Institute; University of Dundee; University of Technology Sydney; University of Western Australia; State University System of Florida; University of South Florida; University of New South Wales Sydney</t>
  </si>
  <si>
    <t>Hurd, CL (corresponding author), Univ Tasmania, Inst Marine &amp; Antarctic Studies, Hobart, Tas 7001, Australia.</t>
  </si>
  <si>
    <t>catriona.hurd@utas.edu.au</t>
  </si>
  <si>
    <t>Raven, John/JFS-3447-2023; Hurd, Catriona L/J-2411-2013; Hovenden, Mark J./A-1323-2008; Boyd, Philip W/J-7624-2014</t>
  </si>
  <si>
    <t>Paine, Ellie/0000-0003-2816-9521; Law, Cliff/0000-0002-7669-2475; Bach, Lennart/0000-0003-0202-3671; Britton, Damon/0000-0002-9029-7527</t>
  </si>
  <si>
    <t>Australian Research Council (ARC) [DP200101467]; ARC [FT200100846, FL160100131]; University of Dundee [SC015096]; Australian Research Council [FT200100846, DP200101467] Funding Source: Australian Research Council</t>
  </si>
  <si>
    <t>Australian Research Council (ARC)(Australian Research Council); ARC(Australian Research Council); University of Dundee; Australian Research Council(Australian Research Council)</t>
  </si>
  <si>
    <t>We are extremely grateful to Albert Pessarrodona for his critical feedback on an earlier version of the m/s and that of three anonymous reviewers. This study was funded by an Australian Research Council (ARC) Discovery Project DP200101467 to C. L. H., ARC Future Fellowship FT200100846 to L. T. B., and ARC Laureate Fellowship FL160100131 to P. W. B. The University of Dundee is a registered Scottish Charity No SC015096.</t>
  </si>
  <si>
    <t>0022-3646</t>
  </si>
  <si>
    <t>1529-8817</t>
  </si>
  <si>
    <t>J PHYCOL</t>
  </si>
  <si>
    <t>J. Phycol.</t>
  </si>
  <si>
    <t>10.1111/jpy.13249</t>
  </si>
  <si>
    <t>2E5XG</t>
  </si>
  <si>
    <t>WOS:000786528400001</t>
  </si>
  <si>
    <t>Wong, JB; Lisovski, S; Alisauskas, RT; English, W; Harrison, AL; Kellett, DK; Maftei, M; Nagy-MacArthur, A; Ronconi, RA; Smith, PA; Mallory, ML; Auger-Méthé, M</t>
  </si>
  <si>
    <t>Wong, Joanna B.; Lisovski, Simeon; Alisauskas, Ray T.; English, Willow; Harrison, Autumn-Lynn; Kellett, Dana K.; Maftei, Mark; Nagy-MacArthur, Avery; Ronconi, Robert A.; Smith, Paul A.; Mallory, Mark L.; Auger-Methe, Marie</t>
  </si>
  <si>
    <t>Variation in migration behaviors used by Arctic Terns (Sterna paradisaea) breeding across a wide latitudinal gradient</t>
  </si>
  <si>
    <t>Migration; Arctic Terns; Individual variation; Phenology; Timing; Latitudinal variation</t>
  </si>
  <si>
    <t>ROSS SEA; CONSEQUENCES; TRACKING; SEABIRD; CYCLE</t>
  </si>
  <si>
    <t>Arctic Terns (Sterna paradisaea) share a few routes to undertake the longest annual migrations of any organism. To understand how the wide spatial range of their breeding colonies may affect their migration strategies (e.g., departure date), we tracked 53 terns from five North American colonies distributed across 30 degrees of latitude and 90 degrees of longitude. While birds from all colonies arrived in Antarctic waters at a similar time, terns nesting in the Arctic colonies migrated back north more slowly and arrived to their breeding grounds later than those nesting in the colony farther south. Arrival dates in Antarctic waters coincided with the start of favorable foraging conditions (i.e., increased ocean productivity), and similarly arrival dates at breeding colonies coincided with the start of local favorable breeding conditions (i.e., disappearance of snow and ice). Larger birds followed a more direct southbound migration route than smaller birds. On both southbound and northbound migrations, daily distances traveled declined as time spent in contact with the ocean increased, suggesting a trade-off between resting/foraging and traveling. There was more unexplained variation in behavior among individuals than among colonies, and one individual had a distinctive stop around Brazil. Terns nesting in the Arctic have a narrow time window for breeding that will likely increase with continuing declines in sea ice and snow. Departing Arctic Terns likely have few clues about the environmental conditions they will encounter on arrival, and their response to environmental changes at both poles may be assisted by large individual variation in migration strategy.</t>
  </si>
  <si>
    <t>[Wong, Joanna B.; Auger-Methe, Marie] Univ British Columbia, Inst Oceans &amp; Fisheries, Vancouver, BC V6T 1Z4, Canada; [Wong, Joanna B.] Swiss Ornithol Inst, Dept Bird Migrat, CH-6204 Sempach, Switzerland; [Lisovski, Simeon] Helmholtz Ctr Polar &amp; Marine res, Polar Terr Environm Syst, Alfred Wegener Inst, D-14473 Potsdam, Germany; [Alisauskas, Ray T.; Kellett, Dana K.] Environm &amp; Climate Change Canada, Sci &amp; Technol Branch, Prairie &amp; Northern Wildlife Res Ctr, Saskatoon, SK S7N 0X4, Canada; [Alisauskas, Ray T.] Univ Saskatchewan, Dept Biol, Saskatoon, SK S7N 5E2, Canada; [English, Willow] Carleton Univ, Dept Biol, Ottawa, ON K1S 5B6, Canada; [Harrison, Autumn-Lynn] Smithsonians Natl Zoo &amp; Conservat Biol Inst, Migratory Bird Ctr, Washington, DC 20013 USA; [Maftei, Mark] High Arctic Gull Res Grp, Bamfield, BC V0R 3A0, Canada; [Nagy-MacArthur, Avery; Mallory, Mark L.] Acadia Univ, Dept Biol, Wolfville, NS B4P 2R6, Canada; [Ronconi, Robert A.] Environm &amp; Climate Change Canada, Canadian Wildlife Serv, Dartmouth, NS B2Y 2N6, Canada; [Smith, Paul A.] Environm &amp; Climate Change Canada, Wildlife Res Div, Ottawa, ON K1S 5B6, Canada; [Auger-Methe, Marie] Univ British Columbia, Dept Stat, Vancouver, BC V6T 1Z4, Canada</t>
  </si>
  <si>
    <t>University of British Columbia; Swiss Ornithological Institute; Helmholtz Association; Alfred Wegener Institute, Helmholtz Centre for Polar &amp; Marine Research; Environment &amp; Climate Change Canada; University of Saskatchewan; Carleton University; Smithsonian Institution; Smithsonian National Zoological Park &amp; Conservation Biology Institute; Acadia University; Environment &amp; Climate Change Canada; Canadian Wildlife Service; Environment &amp; Climate Change Canada; Canadian Wildlife Service; Wildlife Research Division - Environment Canada; University of British Columbia</t>
  </si>
  <si>
    <t>Auger-Méthé, M (corresponding author), Univ British Columbia, Inst Oceans &amp; Fisheries, Vancouver, BC V6T 1Z4, Canada.;Auger-Méthé, M (corresponding author), Univ British Columbia, Dept Stat, Vancouver, BC V6T 1Z4, Canada.</t>
  </si>
  <si>
    <t>Mallory, Mark L/A-1952-2017; English, Willow/GOV-3176-2022</t>
  </si>
  <si>
    <t>English, Willow/0000-0002-0863-8581; Lisovski, Simeon/0000-0002-6399-0035; Wong, Joanna/0000-0003-4607-2803</t>
  </si>
  <si>
    <t>ConocoPhillips Charitable Investments Global Signature Program; Environment and Climate Change Canada; Natural Resources Canada (Polar Continental Shelf Program); ConocoPhillips Alaska; Central and Mississippi Flyway Councils; Canada Foundation for Innovation; B.C. Knowledge Development Fund Program; Canada Research Chairs Program; Natural Sciences and Engineering Research Council of Canada; Werner and Hildegard Hesse Fellowship in Ornithology; Ocean Leaders Graduate Fellowship</t>
  </si>
  <si>
    <t>ConocoPhillips Charitable Investments Global Signature Program; Environment and Climate Change Canada; Natural Resources Canada (Polar Continental Shelf Program); ConocoPhillips Alaska; Central and Mississippi Flyway Councils; Canada Foundation for Innovation(Canada Foundation for InnovationCGIARSpanish Government); B.C. Knowledge Development Fund Program; Canada Research Chairs Program(Canada Research Chairs); Natural Sciences and Engineering Research Council of Canada(Natural Sciences and Engineering Research Council of Canada (NSERC)CGIAR); Werner and Hildegard Hesse Fellowship in Ornithology; Ocean Leaders Graduate Fellowship</t>
  </si>
  <si>
    <t>Support to purchase the tracking units was provided by the Smithsonian Migratory Bird Center's Migratory Connectivity Project and funded by the ConocoPhillips Charitable Investments Global Signature Program. Environment and Climate Change Canada and Natural Resources Canada (Polar Continental Shelf Program), ConocoPhillips Alaska, and the Central and Mississippi Flyway Councils provided funding and logistic support to teams deploying geolocators. Financial support to purchase the computing equipment of JBW and MAM was provided by the Canada Foundation for Innovation (John R. Evans Leaders program) and the B.C. Knowledge Development Fund Program. MAM and MLM were supported by the Canada Research Chairs Program and Natural Sciences and Engineering Research Council of Canada. JBW was supported by the Werner and Hildegard Hesse Fellowship in Ornithology and the Ocean Leaders Graduate Fellowship.</t>
  </si>
  <si>
    <t>10.1007/s00300-022-03043-2</t>
  </si>
  <si>
    <t>WOS:000785911800001</t>
  </si>
  <si>
    <t>Subramaniam, RC; Corney, SP; Melbourne-Thomas, J; Péron, C; Ziegler, P; Swadling, KM</t>
  </si>
  <si>
    <t>Subramaniam, Roshni C.; Corney, Stuart P.; Melbourne-Thomas, Jessica; Peron, Clara; Ziegler, Philippe; Swadling, Kerrie M.</t>
  </si>
  <si>
    <t>Spatially explicit food web modelling to consider fisheries impacts and ecosystem representation within Marine Protected Areas on the Kerguelen Plateau</t>
  </si>
  <si>
    <t>ecospace; ecosystem-based management; fishing; Kerguelen Plateau; no-take area; Patagonian toothfish; Southern Ocean; spatial ecosystem model</t>
  </si>
  <si>
    <t>TOOTHFISH DISSOSTICHUS-ELEGINOIDES; PATAGONIAN TOOTHFISH; FISH; ECOSPACE; ECOPATH; ISLANDS; ECOLOGY; BIOMASS; ECOSIM; SEALS</t>
  </si>
  <si>
    <t>The Kerguelen Plateau in the Indian sector of the Southern Ocean is a highly dynamic region for Southern Ocean ecosystems and an important region for the Patagonian toothfish fishery. Fished regions overlap with foraging regions for predators; however, no study has explored the spatial impacts of fishing on ecosystem dynamics. We developed two spatially explicit ecosystem models to (i) explore the spatial effects of fishing on the Patagonian toothfish and the ecosystem in scenarios with and without fishing; and (ii) use modelled distributions to compare ecosystem representation in Marine Protected Areas (MPAs) with existing studies. Consistent with other studies, we found decreases in Patagonian toothfish biomass in scenarios with fishing activity. In contrast, we found no spatial fishing impacts on ecosystem interactions. A majority of functional group distributions were positively correlated with phytoplankton and well distributed within no-take areas. This could indicate a high level of representation of species in MPAs. Our study provides valuable insights into spatial ecosystem dynamics on the Kerguelen Plateau; however, our interpretations were limited and more research is needed to disentangle the natural variation from fishing impacts and further explore spatio-temporal changes in phytoplankton on the ecosystem.</t>
  </si>
  <si>
    <t>[Subramaniam, Roshni C.; Corney, Stuart P.; Swadling, Kerrie M.] Univ Tasmania, Inst Marine &amp; Antarctic Studies, Hobart, Tas 7000, Australia; [Subramaniam, Roshni C.] Sydney Inst Marine Sci, Sydney, NSW 2088, Australia; [Subramaniam, Roshni C.; Melbourne-Thomas, Jessica] CSIRO Oceans &amp; Atmosphere, Hobart, Tas 7000, Australia; [Melbourne-Thomas, Jessica] Univ Tasmania, Ctr Marine Socioecol, Hobart, Tas, Australia; [Peron, Clara] Sorbonne Univ, Dept Milieu &amp; Peuplementsaquat, Museum Natl Hist Nat, UMR7208 BOREA MNHN CNRS UPMC IRD UCB, CP 26,43 Rue Cuvier, F-75231 Paris 05, France; [Ziegler, Philippe] Australian Antarctic Div, 203 Channel Highway, Kingston, Tas 203, Australia</t>
  </si>
  <si>
    <t>University of Tasmania; Sydney Institute of Marine Science; Commonwealth Scientific &amp; Industrial Research Organisation (CSIRO); University of Tasmania; Museum National d'Histoire Naturelle (MNHN); Sorbonne Universite; Australian Antarctic Division</t>
  </si>
  <si>
    <t>Subramaniam, RC (corresponding author), Univ Tasmania, Inst Marine &amp; Antarctic Studies, Hobart, Tas 7000, Australia.;Subramaniam, RC (corresponding author), Sydney Inst Marine Sci, Sydney, NSW 2088, Australia.;Subramaniam, RC (corresponding author), CSIRO Oceans &amp; Atmosphere, Hobart, Tas 7000, Australia.</t>
  </si>
  <si>
    <t>roshni.subramaniam@utas.edu.au; Philippe.Ziegler@awe.gov.au</t>
  </si>
  <si>
    <t>Subramaniam, Roshni/ADZ-6878-2022; Melbourne-Thomas, Jess/N-2437-2019</t>
  </si>
  <si>
    <t>Melbourne-Thomas, Jess/0000-0001-6585-876X; Subramaniam, Roshni/0000-0001-7368-8086</t>
  </si>
  <si>
    <t>Australian Government's Cooperative Research Centres Programme through the Antarctic Climate and Ecosystems Cooperative Research Centre; Institute for Marine and Antarctic Studies (IMAS) [AAS 4347]; Institute for Marine and Antarctic Studies (IMAS); University of Tasmania (UTAS) Tasmanian Graduate Research Scholarship; New South Wales Government Research Attraction and Acceleration Program</t>
  </si>
  <si>
    <t>Australian Government's Cooperative Research Centres Programme through the Antarctic Climate and Ecosystems Cooperative Research Centre(Australian GovernmentDepartment of Industry, Innovation and ScienceCooperative Research Centres (CRC) Programme); Institute for Marine and Antarctic Studies (IMAS); Institute for Marine and Antarctic Studies (IMAS); University of Tasmania (UTAS) Tasmanian Graduate Research Scholarship; New South Wales Government Research Attraction and Acceleration Program</t>
  </si>
  <si>
    <t>The authors would like to thank the Museum National d'Histoire Naturelle for providing the fisheries data for the French EEZ and the Australian Fisheries Management Association for providing fisheries data for the Australian EEZ. We also thank Mike Sumner, Cathy Bulman, Beth Fulton, and Villy Christensen for their help and advice. This study was supported by Australian Government's Cooperative Research Centres Programme through the Antarctic Climate and Ecosystems Cooperative Research Centre, the Institute for Marine and Antarctic Studies (IMAS) through the Australian Antarctic Science Programme (AAS 4347), and through the IMAS and University of Tasmania (UTAS) Tasmanian Graduate Research Scholarship. RCS was also supported by funding from the New South Wales Government Research Attraction and Acceleration Program.</t>
  </si>
  <si>
    <t>10.1093/icesjms/fsac056</t>
  </si>
  <si>
    <t>1K9QH</t>
  </si>
  <si>
    <t>WOS:000785774600001</t>
  </si>
  <si>
    <t>Wang, LQ; Yan, JP; Saiz-Lopez, A; Jiang, B; Yue, FG; Yu, XW; Xie, ZQ</t>
  </si>
  <si>
    <t>Wang, Longquan; Yan, Jinpei; Saiz-Lopez, Alfonso; Jiang, Bei; Yue, Fange; Yu, Xiawei; Xie, Zhouqing</t>
  </si>
  <si>
    <t>Mixing state and distribution of iodine-containing particles in Arctic Ocean during summertime</t>
  </si>
  <si>
    <t>Arctic Ocean; Iodine chemistry; Single particle; Sea ice; Diurnal trends</t>
  </si>
  <si>
    <t>BOUNDARY-LAYER HALOGENS; ATMOSPHERIC AEROSOL; MOLECULAR-IODINE; DIMETHYL SULFIDE; SINGLE PARTICLES; AMBIENT AEROSOLS; SEA-SURFACE; EMISSIONS; CHEMISTRY; ICE</t>
  </si>
  <si>
    <t>Iodine chemistry plays a key role in ozone destruction and newaerosol formation in the marine boundary layer (MBL), especially in polar regions. We investigated iodine-containing particles (0.2-2 mu m) in the Arctic Ocean using a ship-based single particle aerosol mass spectrometer from July to August 2017. Seven main particle types were identified: dust, biomass combustion particles, sea salt, organic S, aromatics, hydrocarbon-like compounds, and amines. The number fraction of iodine-containing particles was higher inside the Arctic Circle (&gt; 65 degrees N) than outside (55-65 degrees N). According to the air mass back trajectories, the latitudinal distribution of iodine-containing particles can be mainly attributed to iodine emissions fromthe sea ice edge region. Diurnal trends were found, especially during the second half of cruise, with peak iodine-containing particle number fractions during low-light conditions and relatively lownumber fractions at midday. These results imply that solar radiation plays a significant role in modulating particulate iodine in the Arctic atmosphere.</t>
  </si>
  <si>
    <t>[Wang, Longquan; Jiang, Bei; Yue, Fange; Yu, Xiawei; Xie, Zhouqing] Univ Sci &amp; Technol China, Anhui Key Lab Polar Environm &amp; Global Change, Dept Environm Sci &amp; Engn, Hefei 230026, Peoples R China; [Yan, Jinpei] Minist Nat Resources, Inst Oceanog 3, Xiamen 361005, Peoples R China; [Saiz-Lopez, Alfonso] CSIC, Dept Atmospher Chem &amp; Climate, Inst Phys Chem Rocasolano, Serrano 119, Madrid 28006, Spain</t>
  </si>
  <si>
    <t>Chinese Academy of Sciences; University of Science &amp; Technology of China, CAS; Ministry of Natural Resources of the People's Republic of China; Third Institute of Oceanography, Ministry of Natural Resources; Consejo Superior de Investigaciones Cientificas (CSIC); CSIC - Instituto de Quimica Fisica Rocasolano (IQFR)</t>
  </si>
  <si>
    <t>Xie, ZQ (corresponding author), Univ Sci &amp; Technol China, Anhui Key Lab Polar Environm &amp; Global Change, Dept Environm Sci &amp; Engn, Hefei 230026, Peoples R China.</t>
  </si>
  <si>
    <t>zqxie@ustc.edu.cn</t>
  </si>
  <si>
    <t>Jiang, Bei/JDC-9899-2023; Saiz-Lopez, Alfonso/B-3759-2015</t>
  </si>
  <si>
    <t>Jiang, Bei/0000-0001-5223-6742; Saiz-Lopez, Alfonso/0000-0002-0060-1581</t>
  </si>
  <si>
    <t>National Natural Science Foundation of China (NSFC) [41941014]</t>
  </si>
  <si>
    <t>National Natural Science Foundation of China (NSFC)(National Natural Science Foundation of China (NSFC))</t>
  </si>
  <si>
    <t>This work was supported by the National Natural Science Foundation of China (NSFC) (41941014). We thank China Arctic and Antarctic Administration for fieldwork support.</t>
  </si>
  <si>
    <t>10.1016/j.scitotenv.2022.155030</t>
  </si>
  <si>
    <t>3I8ZG</t>
  </si>
  <si>
    <t>WOS:000832996700001</t>
  </si>
  <si>
    <t>Zheng, ZQ; Wang, XY; Jin, J; Hao, JH; Nie, YG; Chen, X; Mou, JH; Emslie, SD; Liu, XD</t>
  </si>
  <si>
    <t>Zheng, Zhangqin; Wang, Xueying; Jin, Jing; Hao, Jihua; Nie, Yaguang; Chen, Xin; Mou, Jinhua; Emslie, Steven D.; Liu, Xiaodong</t>
  </si>
  <si>
    <t>Fraction distribution and dynamic cycling of phosphorus in lacustrine sediment at Inexpressible Island, Antarctica</t>
  </si>
  <si>
    <t>ENVIRONMENT INTERNATIONAL</t>
  </si>
  <si>
    <t>Phosphorous speciation; Penguin guano; Microbial mats; Ross Sea; Lacustrine sediments</t>
  </si>
  <si>
    <t>SURFACE SEDIMENTS; ENVIRONMENTAL IMPLICATIONS; CHEMICAL SPECIATION; VICTORIA LAND; YANGTZE-RIVER; ROSS SEA; SOILS; LAKE; AVAILABILITY; EXTRACTION</t>
  </si>
  <si>
    <t>Phosphorus (P) chemistry and its dynamic cycling are essential for understanding aquatic primary productivity and ecosystem structure. However, there is a lack of knowledge on P chemistry in pristine aquatic ecosystems, such as in Antarctica. Here, we applied the Standards, Measurements and Testing Program (SMT) procedure and nuclear magnetic resonance spectroscopy (NMR) to reveal P speciation in two types of lacustrine sediment cores collected from Inexpressible Island, Ross Sea, East Antarctica. The Positive Matrix Factorization Model and Generalized Additive Models were applied to quantitatively identify the P sources and estimate relative effects of various environmental factors on the speciation. Our results demonstrate that orthophosphate, mainly as Ca-P, is the major component and the ortho-monoesters are the predominant organic phosphorus (OP) form in lacustrine sediments. Ornithogenic lacustrine sediments have a higher content of P as Ca-P than sediments with little or no penguin influence. Our model further suggests that penguin guano is the most important source for Ca-P, accounting for 80%, while detrital input is the predominant source for Fe/Al-P (up to 90%). The content of orthomonoesters, as revealed by NMR, declines with depth, reflecting mineralization process of OP in the sediments. Moreover, we observed higher relative proportions of organic P in the sediments with little guano influence and the deposition of organic P are likely facilitated by microbial mats. Overall, our data suggest that burial of P in Antarctic lakes is sensitive to different P sources and sedimentary environments. The relatively higher bioavailable phosphorus in lacustrine sediments largely controls growth of aquatic microbial mats in oligotrophic lakes and ponds in Antarctica. The sediment profile data also indicate that P burial increased during the Medieval Climate Anomaly period, and climate warming is more conducive to P burial through the expansion of penguin populations and productivity of microbial mats. Our findings represent the first systematic understanding of natural P cycling dynamics and its main controlling factors in pristine ponds with different organic sources in Antarctica.</t>
  </si>
  <si>
    <t>[Zheng, Zhangqin; Wang, Xueying; Jin, Jing; Chen, Xin; Mou, Jinhua; Liu, Xiaodong] Univ Sci &amp; Technol China, Sch Earth &amp; Space Sci, Anhui Prov Key Lab Polar Environm &amp; Global Change, Hefei 230026, Anhui, Peoples R China; [Hao, Jihua; Liu, Xiaodong] Univ Sci &amp; Technol China, Sch Earth &amp; Space Sci, CAS Key Lab Crust Mantle Mat &amp; Environm, Hefei 230026, Peoples R China; [Hao, Jihua] USTC, CAS Ctr Excellence Comparat Planetol, Hefei 230026, Anhui, Peoples R China; [Nie, Yaguang] Anhui Univ, Inst Phys Sci &amp; Informat Technol, Informat Mat &amp; Intelligent Sensing Lab Anhui Prov, Hefei 230601, Peoples R China; [Chen, Xin] Shanghai Jiao Tong Univ, Sch Oceanog, Shanghai 200030, Peoples R China; [Mou, Jinhua] City Univ Hong Kong, Sch Energy &amp; Environm, Hong Kong 999077, Peoples R China; [Emslie, Steven D.] Univ N Carolina, Dept Biol &amp; Marine Biol, 601 S Coll Rd, Wilmington, NC 28403 USA</t>
  </si>
  <si>
    <t>Chinese Academy of Sciences; University of Science &amp; Technology of China, CAS; Chinese Academy of Sciences; University of Science &amp; Technology of China, CAS; Chinese Academy of Sciences; University of Science &amp; Technology of China, CAS; Anhui University; Shanghai Jiao Tong University; City University of Hong Kong; University of North Carolina; University of North Carolina Wilmington</t>
  </si>
  <si>
    <t>Hao, JH; Liu, XD (corresponding author), Univ Sci &amp; Technol China, Sch Earth &amp; Space Sci, CAS Key Lab Crust Mantle Mat &amp; Environm, Hefei 230026, Peoples R China.</t>
  </si>
  <si>
    <t>hao@ustc.edu.cn; ycx@ustc.edu.cn</t>
  </si>
  <si>
    <t>Hao, Jihua/HDO-7612-2022</t>
  </si>
  <si>
    <t>Hao, Jihua/0000-0003-3657-050X; Mou, Jinhua/0000-0001-9147-0187</t>
  </si>
  <si>
    <t>Chinese Arctic and Antarctic Adminis-tration (CAAA) of the State Oceanic Administration; United States Antarctic Program (USAP) , Antarctic; National Natural Sci-ence Foundation of China [41776188, 41976191, 42173083]; Polar International Cooperative Research Project from CAAA; strategic Priority Research Program of Chinese Academy of Sciences [XDB40000000]; CAS Hundred-Talents Program; Canadian Institute for Advanced Research through CIFAR Azrieli Global Scholar</t>
  </si>
  <si>
    <t>Chinese Arctic and Antarctic Adminis-tration (CAAA) of the State Oceanic Administration; United States Antarctic Program (USAP) , Antarctic; National Natural Sci-ence Foundation of China(National Natural Science Foundation of China (NSFC)); Polar International Cooperative Research Project from CAAA; strategic Priority Research Program of Chinese Academy of Sciences(Chinese Academy of Sciences); CAS Hundred-Talents Program(Chinese Academy of Sciences); Canadian Institute for Advanced Research through CIFAR Azrieli Global Scholar</t>
  </si>
  <si>
    <t>We would like to thank the Chinese Arctic and Antarctic Adminis-tration (CAAA) of the State Oceanic Administration for project support. We also thank the United States Antarctic Program (USAP) , Antarctic Support Contact and Italian Mario Zucchelli Station for logistical sup-port. R. Murrary and A. McKenzie are acknowledged for their valuable assistance in the field. This study is supported by National Natural Sci-ence Foundation of China (Grant Nos. 41776188, 41976191, and 42173083) , Polar International Cooperative Research Project from CAAA, the strategic Priority Research Program of Chinese Academy of Sciences (Grant No. XDB40000000) , CAS Hundred-Talents Program, and the Canadian Institute for Advanced Research through CIFAR Azrieli Global Scholar.</t>
  </si>
  <si>
    <t>0160-4120</t>
  </si>
  <si>
    <t>1873-6750</t>
  </si>
  <si>
    <t>ENVIRON INT</t>
  </si>
  <si>
    <t>Environ. Int.</t>
  </si>
  <si>
    <t>10.1016/j.envint.2022.107228</t>
  </si>
  <si>
    <t>1I1SB</t>
  </si>
  <si>
    <t>WOS:000797014700008</t>
  </si>
  <si>
    <t>Sun, TQ; Xu, ZK; Chang, FM; Li, TG</t>
  </si>
  <si>
    <t>Sun, Tianqi; Xu, Zhaokai; Chang, Fengming; Li, Tiegang</t>
  </si>
  <si>
    <t>Climate evolution of southwest Australia in the Miocene and its main controlling factors</t>
  </si>
  <si>
    <t>SCIENCE CHINA-EARTH SCIENCES</t>
  </si>
  <si>
    <t>Miocene; Southwest Australia; Climate evolution; Controlling factors; International ocean discovery program</t>
  </si>
  <si>
    <t>ALBANY-FRASER OROGEN; WESTERN PHILIPPINE SEA; YILGARN CRATON; SOUTHERN-OCEAN; ANTARCTIC GLACIATION; EQUATORIAL PACIFIC; TIBETAN PLATEAU; CLAY-MINERALS; GRAIN-SIZE; RECORD</t>
  </si>
  <si>
    <t>At present, the seasonal melting and expansion of the Antarctic ice sheet affect the location and intensification of the westerlies, as well as the precipitation and continental weathering and erosion in southwest Australia. The Miocene was an important period when the Earth's climate state transitioned from a warmhouse to an icehouse and the East Antarctic Ice Sheet underwent large-scale melting and expansion. At that time, Australia was closer to the Antarctic region than it is now. This makes Australia an ideal target area for studying the coupling relationship among the atmosphere, hydrosphere, lithosphere, and cryosphere. Based on the comprehensive analysis of the siliciclastic mass accumulation rate, grain size, clay minerals, and elemental composition of the sediments at Site U1516 of the International Ocean Discovery Program Expedition 369, we reconstructed the Miocene climate evolution and the continental weathering and erosion history of southwest Australia on a tectonic time scale. Our indicators show that the climate was dry and that continental weathering and erosion were weak, with a small amount of terrestrial material transported to the ocean during the Early to Middle Miocene (22-12.7 Ma). However, as mentioned in previous studies of nearby sites, precipitation and river runoff increased prominently with enhanced continental weathering at 12.7-8 Ma, which was related to the northward migration or intensification of the westerlies, possibly due to increased sea ice in the Southern Ocean. In addition, we found that the evolution of the South Asian monsoon and the westerly belt were synchronized in the Miocene, which indicates that the South Asian monsoon system at that time may also have been affected by the high-latitude signals of the Southern Hemisphere. We speculate that the significant decrease in deep-sea temperature and the expansion of the surface sea temperature gradient in latitude and longitude until the permanent East Antarctic Ice Sheet formed (similar to 12.8 Ma) played an important role in the transmission of Antarctic signals to low latitudes.</t>
  </si>
  <si>
    <t>[Sun, Tianqi; Xu, Zhaokai; Chang, Fengming] Chinese Acad Sci, Inst Oceanol, Key Lab Marine Geol &amp; Environm, Qingdao 266071, Peoples R China; [Sun, Tianqi; Xu, Zhaokai; Chang, Fengming; Li, Tiegang] Pilot Natl Lab Marine Sci &amp; Technol Qingdao, Lab Marine Geol, Qingdao 266061, Peoples R China; [Sun, Tianqi; Li, Tiegang] Univ Chinese Acad Sci, Beijing 100049, Peoples R China; [Xu, Zhaokai] CAS Ctr Excellence Quaternary Sci &amp; Global Change, Xian 710061, Peoples R China; [Xu, Zhaokai; Chang, Fengming] Chinese Acad Sci, Ctr Ocean Megasci, Qingdao 266071, Peoples R China; [Li, Tiegang] MNR, Inst Oceanog 1, Key Lab Marine Sedimentol &amp; Metallogeny, Qingdao 266061, Peoples R China</t>
  </si>
  <si>
    <t>Chinese Academy of Sciences; Institute of Oceanology, CAS; Laoshan Laboratory; Chinese Academy of Sciences; University of Chinese Academy of Sciences, CAS; Chinese Academy of Sciences</t>
  </si>
  <si>
    <t>Xu, ZK (corresponding author), Chinese Acad Sci, Inst Oceanol, Key Lab Marine Geol &amp; Environm, Qingdao 266071, Peoples R China.;Xu, ZK; Li, TG (corresponding author), Pilot Natl Lab Marine Sci &amp; Technol Qingdao, Lab Marine Geol, Qingdao 266061, Peoples R China.;Li, TG (corresponding author), Univ Chinese Acad Sci, Beijing 100049, Peoples R China.;Xu, ZK (corresponding author), CAS Ctr Excellence Quaternary Sci &amp; Global Change, Xian 710061, Peoples R China.;Xu, ZK (corresponding author), Chinese Acad Sci, Ctr Ocean Megasci, Qingdao 266071, Peoples R China.;Li, TG (corresponding author), MNR, Inst Oceanog 1, Key Lab Marine Sedimentol &amp; Metallogeny, Qingdao 266061, Peoples R China.</t>
  </si>
  <si>
    <t>zhaokaixu@qdio.ac.cn; tgli@fio.org.cn</t>
  </si>
  <si>
    <t>Key Laboratory of Marine Geology and Environment of the Chinese Academy of Sciences; Strategic Priority Research Program of the Chinese Academy of Sciences [XDB42000000, XDB40010100]; National Natural Science Foundation of China [41876034, 41676038]</t>
  </si>
  <si>
    <t>Key Laboratory of Marine Geology and Environment of the Chinese Academy of Sciences; Strategic Priority Research Program of the Chinese Academy of Sciences(Chinese Academy of Sciences); National Natural Science Foundation of China(National Natural Science Foundation of China (NSFC))</t>
  </si>
  <si>
    <t>We thank the International Ocean Discovery Program for providing valuable samples for this study. We thank Hongli WANG, Dr. Jin ZHANG and fellow students from the Key Laboratory of Marine Geology and Environment of the Chinese Academy of Sciences, who provided great guidance and assistance in sample testing and data analysis. We thank professor Shiming WAN, professor Fuqing JIANG and two anonymous reviewers who put forward constructive comments and suggestions on this paper. This research was supported by the Strategic Priority Research Program of the Chinese Academy of Sciences (Grant Nos. XDB42000000 and XDB40010100) and the National Natural Science Foundation of China (Grant Nos. 41876034 and 41676038).</t>
  </si>
  <si>
    <t>1674-7313</t>
  </si>
  <si>
    <t>1869-1897</t>
  </si>
  <si>
    <t>SCI CHINA EARTH SCI</t>
  </si>
  <si>
    <t>Sci. China-Earth Sci.</t>
  </si>
  <si>
    <t>10.1007/s11430-021-9904-y</t>
  </si>
  <si>
    <t>1G0VL</t>
  </si>
  <si>
    <t>WOS:000787661100001</t>
  </si>
  <si>
    <t>Cassaro, A; Pacelli, C; Baqué, M; Cavalazzi, B; Gasparotto, G; Saladino, R; Botta, L; Böttger, U; Rabbow, E; de Vera, JP; Onofri, S</t>
  </si>
  <si>
    <t>Cassaro, Alessia; Pacelli, Claudia; Baque, Mickael; Cavalazzi, Barbara; Gasparotto, Giorgio; Saladino, Raffaele; Botta, Lorenzo; Boettger, Ute; Rabbow, Elke; de Vera, Jean-Pierre; Onofri, Silvano</t>
  </si>
  <si>
    <t>Investigation of fungal biomolecules after Low Earth Orbit exposure: a testbed for the next Moon missions</t>
  </si>
  <si>
    <t>DNA-DAMAGE; SPACE; MARS; ASTROBIOLOGY; REPAIR; EXPLORATION; SURVIVAL; CELLS; LIFE; RADIATION</t>
  </si>
  <si>
    <t>The Moon is characterized by extremely harsh conditions due to ultraviolet irradiation, wide temperature extremes, vacuum resulting from the absence of an atmosphere and high ionizing radiation. Therefore, its surface may provide a unique platform to investigate the effects of such conditions. For lunar exploration with the Lunar Gateway platform, exposure experiments in Low Earth Orbit are useful testbeds to prepare for lunar space experiments and to understand how and if potential biomarkers are influenced by extra-terrestrial conditions. During the BIOMEX (BIOlogy and Mars EXperiment) project, dried colonies of the fungus Cryomyces antarcticus grown on Lunar Regolith Analogue (LRA) were exposed to space conditions for 16 months aboard the EXPOSE-R2 payload outside the International Space Station. In this study, we investigated the stability/degradation of fungal biomarkers in LRA after exposure to (i) simulated space and (ii) real space conditions, using Raman spectroscopy, gas chromatography-mass spectrometry and DNA amplification. The results demonstrated that fungal biomarkers were detectable after 16 months of real space exposure. This work will contribute to the interpretation of data from future biological experiments in the Cislunar orbit with the Lunar Gateway platform and/or on the lunar surface, in preparation for the next step of human exploration.</t>
  </si>
  <si>
    <t>[Cassaro, Alessia; Pacelli, Claudia; Saladino, Raffaele; Botta, Lorenzo; Onofri, Silvano] Univ Tuscia, Dept Ecol &amp; Biol Sci, Largo Univ Snc, I-01100 Viterbo, Italy; [Pacelli, Claudia] Italian Space Agcy, Human Spaceflight &amp; Sci Res Unit, Via Politecn, I-00133 Rome, Italy; [Baque, Mickael] German Aerosp Ctr DLR, Inst Planetary Res, Planetary Labs Dept, Rutherfordstr 2, Berlin, Germany; [Cavalazzi, Barbara; Gasparotto, Giorgio] Univ Bologna, Dept Biol Geol &amp; Environm Sci, Via Zamboni 67, I-40126 Bologna, Italy; [Cavalazzi, Barbara] Univ Johannesburg, Dept Geol, ZA-2006 Johannesburg, South Africa; [Cavalazzi, Barbara] Studium Loire Valley Inst Adv Studies, Rue Dupanloup 1, Orleans, France; [Boettger, Ute] German Aerosp Ctr DLR, Inst Opt Sensor Syst, Rutherfordstr 2, Berlin, Germany; [Rabbow, Elke] German Aerosp Ctr DLR, Inst Aerosp Med, Radiat Biol, D-51147 Cologne, Germany; [de Vera, Jean-Pierre] German Aerosp Ctr DLR, MUSC, Space Operat &amp; Astronaut Training, D-51147 Cologne, Germany</t>
  </si>
  <si>
    <t>Tuscia University; Agenzia Spaziale Italiana (ASI); Helmholtz Association; German Aerospace Centre (DLR); University of Bologna; University of Johannesburg; Helmholtz Association; German Aerospace Centre (DLR); Helmholtz Association; German Aerospace Centre (DLR); Helmholtz Association; German Aerospace Centre (DLR)</t>
  </si>
  <si>
    <t>Pacelli, C (corresponding author), Univ Tuscia, Dept Ecol &amp; Biol Sci, Largo Univ Snc, I-01100 Viterbo, Italy.;Pacelli, C (corresponding author), Italian Space Agcy, Human Spaceflight &amp; Sci Res Unit, Via Politecn, I-00133 Rome, Italy.</t>
  </si>
  <si>
    <t>claudia.pacelli@asi.it</t>
  </si>
  <si>
    <t>CAVALAZZI, BARBARA/0000-0002-5135-9529</t>
  </si>
  <si>
    <t>Italian Space Agency (BIOMEX MicroColonial Fungi-Experiment on ISS for tracking biomarkers on Martian and lunar rock analogues, ASI grant) [2013-063-R.0]; Italian National Program of Antarctic Researches (PNRA); Italian National Antarctic Museum 'Felice Ippolito' (MNA); Deutsche Forschungsgemeinschaft (DFG - German Research Foundation) [426601242]; Europlanet 2024 RI - European Union's Horizon 2020 research innovation programme [871149]</t>
  </si>
  <si>
    <t>Italian Space Agency (BIOMEX MicroColonial Fungi-Experiment on ISS for tracking biomarkers on Martian and lunar rock analogues, ASI grant); Italian National Program of Antarctic Researches (PNRA); Italian National Antarctic Museum 'Felice Ippolito' (MNA); Deutsche Forschungsgemeinschaft (DFG - German Research Foundation)(German Research Foundation (DFG)); Europlanet 2024 RI - European Union's Horizon 2020 research innovation programme</t>
  </si>
  <si>
    <t>This work was supported by the Italian Space Agency (BIOMEX MicroColonial Fungi-Experiment on ISS for tracking biomarkers on Martian and lunar rock analogues, ASI grant no. 2013-063-R.0). The Italian National Program of Antarctic Researches (PNRA) and the Italian National Antarctic Museum 'Felice Ippolito' (MNA) are also acknowledged for funding the collection of Antarctic samples CCFEE. M.B. acknowledges the support of the Deutsche Forschungsgemeinschaft (DFG - German Research Foundation) for the project 'Raman Biosignatures for Astrobiology Research' (RaBioFAM; project number: 426601242). This research received support from the Europlanet 2024 RI, which has received funding from the European Union's Horizon 2020 research innovation programme grant no. 871149. Authors would like to thank Anna Chiara Tangari and Lucia Marinangeli (University 'G. d'Annunzio' of Chieti-Pescara) for their technical support.</t>
  </si>
  <si>
    <t>10.1111/1462-2920.15995</t>
  </si>
  <si>
    <t>3A9ZD</t>
  </si>
  <si>
    <t>WOS:000785887700001</t>
  </si>
  <si>
    <t>Schmidt, TCD; Berg, F; Folkvord, A; Pires, AMA; Komyakova, V; Tiedemann, M; Kjesbu, OS</t>
  </si>
  <si>
    <t>Schmidt, Thassya C. dos Santos; Berg, Florian; Folkvord, Arild; Pires, Alessandra M. A.; Komyakova, Valeriya; Tiedemann, Maik; Kjesbu, Olav Sigurd</t>
  </si>
  <si>
    <t>Is it possible to photoperiod manipulate spawning time in planktivorous fish? A long-term experiment on Atlantic herring</t>
  </si>
  <si>
    <t>Photoperiod; Vitellogenesis; Common garden experiment; Zeitgeber; Planktivorous</t>
  </si>
  <si>
    <t>EARLY-LIFE HISTORY; CLUPEA-HARENGUS; SEX STEROIDS; SALMO-SALAR; COD; FECUNDITY; MATURATION; GROWTH; POPULATIONS; REPRODUCTION</t>
  </si>
  <si>
    <t>The oocyte development (vitellogenesis) of individual fish is highly dependent upon their physiology which is influenced by both intrinsic and extrinsic factors. Thus, if individuals encounter poor biophysical conditions, they will likely be unable to reproduce. The photoperiod is an external factor that is constant between years but with increasing intra-annual (seasonal) variation polewards. In high-latitude marine environments, several ecological processes are strongly photic entrained, e.g., the planktonic spring bloom. However, it is still unclear whether day length or planktonic peaks (feeding opportunity) is the main timer or regulator behind gametogenesis not only for teleost piscivores but also for planktivores living in these waters. Hence, we experimentally investigated the role of photoperiod steering vitellogenesis in the planktivomus Atlantic herring (Clupea harengus), rearing larvae up to the mature adult stage. We imposed a natural and 6-month offset photoperiod hypothesising that vitellogenesis is entrained by this photic zeitgeber. The results of our experiment clearly demonstrated that herring have a strong photic zeitgeber acting upon vitellogenesis according to the experienced photoperiod. Thus, the Offset Group showed a displacement in vitellogenesis of 6 months. The second hypothesis that feeding opportunities play a clear role in assisting this photic zeitgeber in Atlantic herring could be rejected. This clarification supports that the survival potential of the larvae is the main selection pressure in operation in these respects, i.e., rather than the extent of feeding opportunities of the adults.</t>
  </si>
  <si>
    <t>[Schmidt, Thassya C. dos Santos; Berg, Florian; Folkvord, Arild; Pires, Alessandra M. A.; Komyakova, Valeriya; Tiedemann, Maik; Kjesbu, Olav Sigurd] Inst Marine Res, Bergen, Norway; [Berg, Florian; Folkvord, Arild] Univ Bergen, Bergen, Norway; [Pires, Alessandra M. A.] Univ Fed Pernambuco, Dept Pesca Aquicultura, Recife, PE, Brazil; [Komyakova, Valeriya] Univ Tasmania, Inst Marine &amp; Antarctic Studies, Hobart, Tas, Australia; [Komyakova, Valeriya] Univ Tasmania, Ctr Marine Socioecol, Hobart, Tas, Australia; [Schmidt, Thassya C. dos Santos] Marine &amp; Freshwater Res Inst, Neskaupstaour, Iceland</t>
  </si>
  <si>
    <t>Institute of Marine Research - Norway; University of Bergen; Universidade Federal de Pernambuco; University of Tasmania; University of Tasmania; Marine &amp; Freshwater Research Institute (MFRI)</t>
  </si>
  <si>
    <t>Berg, F (corresponding author), POB 1870, N-5817 Bergen, Norway.</t>
  </si>
  <si>
    <t>florian.berg@hi.no</t>
  </si>
  <si>
    <t>Berg, Florian/M-9678-2014; Komyakova, Valeriya/H-4632-2013; dos Santos Schmidt, Thassya/AAE-4974-2019</t>
  </si>
  <si>
    <t>Berg, Florian/0000-0003-1543-8112; dos Santos Schmidt, Thassya/0000-0002-6803-7681</t>
  </si>
  <si>
    <t>project Recruitment Dynamics of Commercially Important Fish Species in Changing NE Atlantic ecosystems (RECNOR) - Norwegian Fisheries Research Sales Tax System (FFA) [14861]; Vital Rates of Marine Stocks (CLIMRATES) - Norwegian Fisheries Research Sales Tax System (FFA) [15205]; Genetic Adaptations Underlying Population Structure in Herring, Clupea harengus (GENSINC) - Research Council of Norway [254774]</t>
  </si>
  <si>
    <t>project Recruitment Dynamics of Commercially Important Fish Species in Changing NE Atlantic ecosystems (RECNOR) - Norwegian Fisheries Research Sales Tax System (FFA); Vital Rates of Marine Stocks (CLIMRATES) - Norwegian Fisheries Research Sales Tax System (FFA); Genetic Adaptations Underlying Population Structure in Herring, Clupea harengus (GENSINC) - Research Council of Norway</t>
  </si>
  <si>
    <t>The experiment and production of this manuscript was supported by the project Recruitment Dynamics of Commercially Important Fish Species in Changing NE Atlantic ecosystems (RECNOR, no. 14861) , Climate and Vital Rates of Marine Stocks (CLIMRATES, no. 15205) , both funded by the Norwegian Fisheries Research Sales Tax System (FFA) , and Genetic Ad-aptations Underlying Population Structure in Herring, Clupea harengus (GENSINC, no. 254774) , funded by the Research Council of Norway.</t>
  </si>
  <si>
    <t>10.1016/j.jembe.2022.151737</t>
  </si>
  <si>
    <t>4H9TK</t>
  </si>
  <si>
    <t>WOS:000850219900001</t>
  </si>
  <si>
    <t>Raab, G; Dollenmeier, W; Tikhomirov, D; Vieira, G; Migon, P; Ketterer, ME; Christl, M; Stutz, J; Egli, M</t>
  </si>
  <si>
    <t>Raab, Gerald; Dollenmeier, Wasja; Tikhomirov, Dmitry; Vieira, Goncalo; Migon, Piotr; Ketterer, Michael E.; Christl, Marcus; Stutz, Jamey; Egli, Markus</t>
  </si>
  <si>
    <t>Contrasting soil dynamics in a formerly glaciated and non-glaciated Mediterranean mountain plateau (Serra da Estrela, Portugal)</t>
  </si>
  <si>
    <t>CATENA</t>
  </si>
  <si>
    <t>Alpine soils; Erosion; Weathering; Fallout radionuclides; Cosmogenic nuclides</t>
  </si>
  <si>
    <t>HOLOCENE VEGETATION SUCCESSION; COSMOGENIC NUCLIDE PRODUCTION; EROSION RATES; CLIMATIC-CHANGE; HALF-LIFE; BE-10; DENUDATION; PU; GEOCHEMISTRY; DEGRADATION</t>
  </si>
  <si>
    <t>Few data are available on how soil erosion rates compare between surfaces of different ages because short-term processes often overprint the longer-term erosion signal. This study investigated the soil dynamics among two end-member sites, a formerly glaciated ('young', maximum glacial extent at 22-30 ka BP) and a non-glaciated ('old') area at the Serra da Estrela (Portugal). To disentangle soil distribution rates over different timeframes, isotopes for long-term (10Be), mid-term (delta C-13) and short-term (239+240Pu) periods were applied together with principles of the percolation theory.&amp; nbsp;The formerly glaciated area has soils with a lower degree of weathering and lower carbon content compared to soils of the 'old', non-glaciated area. The selected isotopes and their distribution along the soil profiles revealed temporal differences in soil mixing process. It is hypothesised that the slightly higher elevation and formerly glaciated sites experienced cryoturbation effects over a longer period, while being less active or absent for the last few decades at the older, non-glaciated soils.&amp; nbsp;The average long-term (millennia) soil erosion rates correspond to the expected higher rates at the younger surface and lower rates at the older surface. Once the formerly glaciated area became ice-free, soil erosion rates were high and decreased giving rise to average long-term rates of 101-140 [t km(-2) yr(-1)] for the older surfaces and 176-248 [t km(-2) yr(-1)] for the younger surfaces. In addition, seasonal freeze-thaw of the soils has persisted over a long period and affected the younger soils more intensively than the older soils. The current (last decades) soil redistribution rates, however, are up to one order of magnitude higher than the millennia rates and are controlled by surface angle and vegetation cover and less by soil texture. The more undulated, non-glaciated older surface had the highest short-term (decades) soil erosion rates in the range of 900-1700 [t km(-2 &amp; nbsp;)yr(-1)], exhibits degrading conditions and relatively shallow soils. The younger soils, however, showed short-term (last few decades) average soil deposition rates of ~ 230 [t km(-2) yr(-1)]. Human impact (bush fires, grazing) is the cause for the currently strong soil degradation at the non-glaciated area.</t>
  </si>
  <si>
    <t>[Raab, Gerald; Dollenmeier, Wasja; Tikhomirov, Dmitry; Egli, Markus] Univ Zurich, Dept Geog, Winterthurerstr 190, CH-8057 Zurich, Switzerland; [Raab, Gerald] Dalhousie Univ, Dept Earth &amp; Environm Sci, POB 15000,1459 Oxford St, Halifax, NS, Canada; [Vieira, Goncalo] Univ Lisbon, Inst Geog &amp; Spatial Planning, Ctr Geog Studies, Rua Branca Edmee &amp; Marques, P-1600276 Lisbon, Portugal; [Migon, Piotr] Univ Wroclaw, Inst Geog &amp; Reg Dev, Pl Uniwersytecki 1, PL-50137 Wroclaw, Poland; [Ketterer, Michael E.] No Arizona Univ, Dept Chem &amp; Biochem, 700 South Osborne, Flagstaff, AZ 86011 USA; [Christl, Marcus] Swiss Fed Inst Technol, Dept Phys, Lab Ion Beam Phys, Otto Stern Weg 5, CH-8093 Zurich, Switzerland; [Stutz, Jamey] Victoria Univ Wellington, Antarctic Res Ctr, Wellington 6012, New Zealand</t>
  </si>
  <si>
    <t>University of Zurich; Dalhousie University; Universidade de Lisboa; University of Wroclaw; Northern Arizona University; Swiss Federal Institutes of Technology Domain; ETH Zurich; Victoria University Wellington</t>
  </si>
  <si>
    <t>Raab, G (corresponding author), Univ Zurich, Dept Geog, Winterthurerstr 190, CH-8057 Zurich, Switzerland.</t>
  </si>
  <si>
    <t>gerald.raab@geo.uzh.ch</t>
  </si>
  <si>
    <t>Vieira, Goncalo/G-5958-2010; Egli, Markus/C-3893-2013; Christl, Marcus/J-4769-2016; Raab, Gerald/A-8642-2018</t>
  </si>
  <si>
    <t>Vieira, Goncalo/0000-0001-7611-3464; Christl, Marcus/0000-0002-3131-6652; Migon, Piotr/0000-0001-5232-7476; Raab, Gerald/0000-0002-3063-6806; Tikhomirov, Dmitry/0000-0001-5266-4077</t>
  </si>
  <si>
    <t>Forschungskredit of the University of Zurich [FK-19-108]; Stiftung fur Wissenschaftliche Forschung of the University of Zurich [STWF-20-02]; Early Postdoc. Mobility Fellowship [P2ZHP2_199662]; Swiss National Science Foundation (SNF) [P2ZHP2_199662] Funding Source: Swiss National Science Foundation (SNF)</t>
  </si>
  <si>
    <t>Forschungskredit of the University of Zurich; Stiftung fur Wissenschaftliche Forschung of the University of Zurich; Early Postdoc. Mobility Fellowship; Swiss National Science Foundation (SNF)(Swiss National Science Foundation (SNSF))</t>
  </si>
  <si>
    <t>This research was supported by the Forschungskredit of the University of Zurich FK-19-108. Additional funds were provided by the Stiftung fur Wissenschaftliche Forschung of the University of Zurich, grant no. STWF-20-02. Gerald Raab was supported by the Early Postdoc. Mobility Fellowship P2ZHP2_199662. The Estrela UNESCO Global Geopark is thanked for logistical support to field work. Furthermore, we thank the anonymous reviewers for their suggestions and comments on an earlier version of the manuscript.</t>
  </si>
  <si>
    <t>0341-8162</t>
  </si>
  <si>
    <t>1872-6887</t>
  </si>
  <si>
    <t>Catena</t>
  </si>
  <si>
    <t>10.1016/j.catena.2022.106314</t>
  </si>
  <si>
    <t>Geosciences, Multidisciplinary; Soil Science; Water Resources</t>
  </si>
  <si>
    <t>Geology; Agriculture; Water Resources</t>
  </si>
  <si>
    <t>1J7EZ</t>
  </si>
  <si>
    <t>WOS:000798079700004</t>
  </si>
  <si>
    <t>Chhiber, R; Matthaeus, WH; Usmanov, AV; Bandyopadhyay, R; Goldstein, ML</t>
  </si>
  <si>
    <t>Chhiber, Rohit; Matthaeus, William H.; Usmanov, Arcadi, V; Bandyopadhyay, Riddhi; Goldstein, Melvyn L.</t>
  </si>
  <si>
    <t>An extended and fragmented Alfven zone in the Young Solar Wind</t>
  </si>
  <si>
    <t>MONTHLY NOTICES OF THE ROYAL ASTRONOMICAL SOCIETY</t>
  </si>
  <si>
    <t>turbulence; Sun: corona; solar wind</t>
  </si>
  <si>
    <t>PROBABILITY-DISTRIBUTION FUNCTIONS; TURBULENCE TRANSPORT; ANGULAR-MOMENTUM; WAVES; INTERMITTENCY; DRIVEN; PROPAGATION; EVOLUTION; RADIUS; FLUX</t>
  </si>
  <si>
    <t>Motivated by theoretical, numerical, and observational evidence, we explore the possibility that the critical transition between sub-Alfvenic flow and super-Alfvenic flow in the solar atmosphere takes place in fragmented and disconnected subvolumes within a general Alfven critical zone. The initial observations of sub-Alfvenic periods by Parker Solar Probe near 16 R-circle dot do not yet provide sufficient evidence to distinguish this possibility from that of a folded surface that separates simply connected regions. Subsequent orbits may well enable such a distinction, but here we use a global magnetohydrodynamic model of the solar wind, coupled to a turbulence transport model, to generate possible realizations of such an Alfven critical zone. Understanding this transition will inform theories of coronal heating, solar wind origin, solar angular momentum loss, and related physical processes in stellar winds beyond the Sun.</t>
  </si>
  <si>
    <t>[Chhiber, Rohit; Matthaeus, William H.; Usmanov, Arcadi, V] Univ Delaware, Dept Phys &amp; Astron, Newark, DE 19716 USA; [Chhiber, Rohit; Usmanov, Arcadi, V] NASA, Heliophys Sci Div, Goddard Space Flight Ctr, Greenbelt, MD 20771 USA; [Bandyopadhyay, Riddhi] Princeton Univ, Dept Astrophys Sci, Princeton, NJ 08544 USA; [Goldstein, Melvyn L.] Univ Maryland Baltimore Count, Goddard Planetary Heliophys Inst, Baltimore, MD 21250 USA</t>
  </si>
  <si>
    <t>University of Delaware; National Aeronautics &amp; Space Administration (NASA); NASA Goddard Space Flight Center; Princeton University; University System of Maryland; University of Maryland Baltimore County</t>
  </si>
  <si>
    <t>Chhiber, R (corresponding author), Univ Delaware, Dept Phys &amp; Astron, Newark, DE 19716 USA.;Chhiber, R (corresponding author), NASA, Heliophys Sci Div, Goddard Space Flight Ctr, Greenbelt, MD 20771 USA.</t>
  </si>
  <si>
    <t>rohitc@udel.edu</t>
  </si>
  <si>
    <t>Bandyopadhyay, Riddhi/U-1985-2017; Matthaeus, William H/F-5673-2011</t>
  </si>
  <si>
    <t>Bandyopadhyay, Riddhi/0000-0002-6962-0959; GOLDSTEIN, MELVYN/0000-0002-5317-988X; Chhiber, Rohit/0000-0002-7174-6948</t>
  </si>
  <si>
    <t>National Aeronautics and Space Administration (NASA) under the Heliospheric Supporting Research program [80NSSC18K1210, 80NSSC18K1648]; Parker Solar Probe Guest Investigator program [80NSSC21K1765, 80NSSC21K1767]; PSP/IScircle dotIS Theory and Modeling project [SUB0000165]; NASA High-End Computing (HEC) Program through the NASA Advanced Supercomputing Division at Ames Research Center [SMD-17-1580, SMD-17-1617]; PUNCH project [NASA/SWRI N99054DS]</t>
  </si>
  <si>
    <t>National Aeronautics and Space Administration (NASA) under the Heliospheric Supporting Research program; Parker Solar Probe Guest Investigator program; PSP/IScircle dotIS Theory and Modeling project; NASA High-End Computing (HEC) Program through the NASA Advanced Supercomputing Division at Ames Research Center; PUNCH project</t>
  </si>
  <si>
    <t>This research was partially supported by the National Aeronautics and Space Administration (NASA) under the Heliospheric Supporting Research program grants 80NSSC18K1210 and 80NSSC18K1648 and by the Parker Solar Probe Guest Investigator program grants 80NSSC21K1765 and 80NSSC21K1767, the PSP/IS circle dot IS Theory and Modeling project (Princeton subcontract SUB0000165), and the PUNCH project under subcontract NASA/SWRI N99054DS. We thank Dr. Francesco Pucci for suggesting the designation `antarctic plot' for Figs 3 and 4. This work utilizes data produced collaboratively between AFRL/ADAPT and NSO/NISP. Computing resources supporting this work were provided by the NASA High-End Computing (HEC) Program (awards SMD-17-1580 and SMD-17-1617) through the NASA Advanced Supercomputing Division at Ames Research Center. We acknowledge the Parker Solar Probe mission for use of the data, which are publicly available at the NASA Space Physics Data Facility.</t>
  </si>
  <si>
    <t>0035-8711</t>
  </si>
  <si>
    <t>1365-2966</t>
  </si>
  <si>
    <t>MON NOT R ASTRON SOC</t>
  </si>
  <si>
    <t>Mon. Not. Roy. Astron. Soc.</t>
  </si>
  <si>
    <t>APR 21</t>
  </si>
  <si>
    <t>10.1093/mnras/stac779</t>
  </si>
  <si>
    <t>0P6HO</t>
  </si>
  <si>
    <t>WOS:000784328400004</t>
  </si>
  <si>
    <t>Boyd, PW; Bach, LT; Hurd, CL; Paine, E; Raven, JA; Tamsitt, V</t>
  </si>
  <si>
    <t>Boyd, Philip W.; Bach, Lennart T.; Hurd, Catriona L.; Paine, Ellie; Raven, John A.; Tamsitt, Veronica</t>
  </si>
  <si>
    <t>Potential negative effects of ocean afforestation on offshore ecosystems</t>
  </si>
  <si>
    <t>DISSOLVED ORGANIC-MATTER; UNDARIA-PINNATIFIDA; NITROGEN UPTAKE; PHYTOPLANKTON; CARBON; DISPERSAL; GROWTH; NUTRIENT; LAMINARIALES; MACROALGAE</t>
  </si>
  <si>
    <t>Ocean afforestation is a proposed method for large-scale carbon dioxide removal, involving exporting rafts of nearshore macroalgae to the open ocean for long-term occupation and then sinking. In this Perspective, the authors caution that this approach has multiple potential ramifications for ocean chemistry and ecology. Our scientific understanding of climate change makes clear the necessity for both emission reduction and carbon dioxide removal (CDR). The ocean with its large surface area, great depths and long coastlines is central to developing CDR approaches commensurate with the scale needed to limit warming to below 2 degrees C. Many proposed marine CDR approaches rely on spatial upscaling along with enhancement and/or acceleration of the rates of naturally occurring processes. One such approach is 'ocean afforestation', which involves offshore transport and concurrent growth of nearshore macroalgae (seaweed), followed by their export into the deep ocean. The purposeful occupation for months of open ocean waters by macroalgae, which do not naturally occur there, will probably affect offshore ecosystems through a range of biological threats, including altered ocean chemistry and changed microbial physiology and ecology. Here, we present model simulations of ocean afforestation and link these to lessons from other examples of offshore dispersal, including rafting plastic debris, and discuss the ramifications for offshore ecosystems. We explore what additional metrics are required to assess the ecological implications of this proposed CDR. In our opinion, these ecological metrics must have equal weight to CDR capacity in the development of initial trials, pilot studies and potential licensing.</t>
  </si>
  <si>
    <t>[Boyd, Philip W.; Bach, Lennart T.; Hurd, Catriona L.; Paine, Ellie] Univ Tasmania, Inst Marine &amp; Antarctic Studies, Hobart, Tas, Australia; [Raven, John A.] Univ Dundee, Div Plant Sci, James Hutton Inst, Dundee, Scotland; [Raven, John A.] Univ Technol Sydney, Climate Change Cluster, Ultimo, NSW, Australia; [Raven, John A.] Univ Western Australia, Sch Biol Sci, Crawley, WA, Australia; [Tamsitt, Veronica] Univ S Florida, Coll Marine Sci, St Petersburg, FL USA; [Tamsitt, Veronica] Univ New South Wales, Sydney, NSW, Australia</t>
  </si>
  <si>
    <t>University of Tasmania; University of Dundee; James Hutton Institute; University of Technology Sydney; University of Western Australia; State University System of Florida; University of South Florida; University of New South Wales Sydney</t>
  </si>
  <si>
    <t>Boyd, PW (corresponding author), Univ Tasmania, Inst Marine &amp; Antarctic Studies, Hobart, Tas, Australia.</t>
  </si>
  <si>
    <t>Philip.boyd@utas.edu.au</t>
  </si>
  <si>
    <t>Hurd, Catriona L/J-2411-2013; Raven, John/JFS-3447-2023; Boyd, Philip/J-7624-2014</t>
  </si>
  <si>
    <t>Bach, Lennart/0000-0003-0202-3671; Boyd, Philip/0000-0001-7850-1911; Paine, Ellie/0000-0003-2816-9521</t>
  </si>
  <si>
    <t>Australian Research Council by Future Fellowship [FT200100846, FL160100131]; Australian Research Council [FT200100846] Funding Source: Australian Research Council</t>
  </si>
  <si>
    <t>Australian Research Council by Future Fellowship(Australian Research Council); Australian Research Council(Australian Research Council)</t>
  </si>
  <si>
    <t>This study was funded by the Australian Research Council by Future Fellowship no. FT200100846 (to L.T.B.) and Laureate Fellowship no. FL160100131 (to P.W.B.).</t>
  </si>
  <si>
    <t>10.1038/s41559-022-01722-1</t>
  </si>
  <si>
    <t>1Z0DL</t>
  </si>
  <si>
    <t>WOS:000784633900003</t>
  </si>
  <si>
    <t>Cooke, R; Gearty, W; Chapman, ASA; Dunic, J; Edgar, GJ; Lefcheck, JS; Rilov, G; McClain, CR; Stuart-Smith, RD; Lyons, SK; Bates, AE</t>
  </si>
  <si>
    <t>Cooke, Rob; Gearty, William; Chapman, Abbie S. A.; Dunic, Jillian; Edgar, Graham J.; Lefcheck, Jonathan S.; Rilov, Gil; McClain, Craig R.; Stuart-Smith, Rick D.; Lyons, S. Kathleen; Bates, Amanda E.</t>
  </si>
  <si>
    <t>Anthropogenic disruptions to longstanding patterns of trophic-size structure in vertebrates</t>
  </si>
  <si>
    <t>MAMMALIAN BODY-SIZE; FUNCTIONAL REDUNDANCY; ECOSYSTEM FUNCTION; FOSSIL RECORD; EVOLUTION; EXTINCTIONS; DIET; LIFE; MASS; CONSTRAINTS</t>
  </si>
  <si>
    <t>Diet and body mass are inextricably linked in vertebrates: while herbivores and carnivores have converged on much larger sizes, invertivores and omnivores are, on average, much smaller, leading to a roughly U-shaped relationship between body size and trophic guild. Although this U-shaped trophic-size structure is well documented in extant terrestrial mammals, whether this pattern manifests across diverse vertebrate clades and biomes is unknown. Moreover, emergence of the U-shape over geological time and future persistence are unknown. Here we compiled a comprehensive dataset of diet and body size spanning several vertebrate classes and show that the U-shaped pattern is taxonomically and biogeographically universal in modern vertebrate groups, except for marine mammals and seabirds. We further found that, for terrestrial mammals, this U-shape emerged by the Palaeocene and has thus persisted for at least 66 million years. Yet disruption of this fundamental trophic-size structure in mammals appears likely in the next century, based on projected extinctions. Actions to prevent declines in the largest animals will sustain the functioning of Earth's wild ecosystems and biomass energy distributions that have persisted through deep time. Analysis of diet and body size in terrestrial and aquatic vertebrates shows that a U-shaped relationship between body size and trophic guild prevails across extant vertebrates with the exception of marine mammals and seabirds. Analysis of fossil data shows that, for terrestrial mammals, this pattern has persisted for at least 66 million years, despite anthropogenic perturbance, which may have greater effects in the next centuries.</t>
  </si>
  <si>
    <t>[Cooke, Rob] UK Ctr Ecol &amp; Hydrol, Wallingford, Oxon, England; [Cooke, Rob] Univ Gothenburg, Dept Biol &amp; Environm Sci, Gothenburg, Sweden; [Cooke, Rob] Gothenburg Global Biodivers Ctr, Gothenburg, Sweden; [Gearty, William; Lyons, S. Kathleen] Univ Nebraska, Sch Biol Sci, Lincoln, NE 68588 USA; [Chapman, Abbie S. A.] UCL, Ctr Biodivers &amp; Environm Res, Dept Genet Evolut &amp; Environm, London, England; [Dunic, Jillian] Simon Fraser Univ, Dept Biol Sci, Burnaby, BC, Canada; [Edgar, Graham J.; Stuart-Smith, Rick D.] Univ Tasmania, Inst Marine &amp; Antarctic Studies, Hobart, Tas, Australia; [Lefcheck, Jonathan S.] Smithsonian Environm Res Ctr, Tennenbaum Marine Observ Network, POB 28, Edgewater, MD 21037 USA; [Lefcheck, Jonathan S.] Smithsonian Environm Res Ctr, MarineGEO Program, POB 28, Edgewater, MD 21037 USA; [Rilov, Gil] Israel Limnol &amp; Oceanog Res, Natl Inst Oceanog, Haifa, Israel; [McClain, Craig R.] Louisiana Univ Marine Consortium, Chauvin, LA 70344 USA; [Bates, Amanda E.] Univ Victoria, Biol Dept, Victoria, BC, Canada</t>
  </si>
  <si>
    <t>UK Centre for Ecology &amp; Hydrology (UKCEH); University of Gothenburg; University of Gothenburg; University of Nebraska System; University of Nebraska Lincoln; University of London; University College London; Simon Fraser University; University of Tasmania; Smithsonian Institution; Smithsonian Environmental Research Center; Smithsonian Institution; Smithsonian Environmental Research Center; Israel Oceanographic &amp; Limnological Research Institute; University of Victoria</t>
  </si>
  <si>
    <t>Cooke, R (corresponding author), UK Ctr Ecol &amp; Hydrol, Wallingford, Oxon, England.;Cooke, R (corresponding author), Univ Gothenburg, Dept Biol &amp; Environm Sci, Gothenburg, Sweden.;Cooke, R (corresponding author), Gothenburg Global Biodivers Ctr, Gothenburg, Sweden.;Gearty, W (corresponding author), Univ Nebraska, Sch Biol Sci, Lincoln, NE 68588 USA.</t>
  </si>
  <si>
    <t>roboke@ceh.ac.uk; wgearty@unl.edu</t>
  </si>
  <si>
    <t>McClain, Craig R/A-4031-2009; Lefcheck, Jonathan/H-8768-2019; Stuart-Smith, Rick/I-5214-2019; Edgar, Graham/AAY-3797-2020; Cooke, Rob/AAA-4392-2020; Gearty, William/L-4418-2019</t>
  </si>
  <si>
    <t>Lefcheck, Jonathan/0000-0002-8787-1786; Stuart-Smith, Rick/0000-0002-8874-0083; Edgar, Graham/0000-0003-0833-9001; Cooke, Rob/0000-0003-0601-8888; Gearty, William/0000-0003-0076-3262; Lyons, S. Kathleen/0000-0001-5112-2508; Chapman, Abbie/0000-0002-7812-2046; Rilov, Gil/0000-0002-1334-4887</t>
  </si>
  <si>
    <t>Synthesis Centre for Biodiversity Sciences of the German Centre for Integrative Biodiversity Research [DFG FZT 118]; University of Nebraska-Lincoln School of Biological Sciences</t>
  </si>
  <si>
    <t>Synthesis Centre for Biodiversity Sciences of the German Centre for Integrative Biodiversity Research; University of Nebraska-Lincoln School of Biological Sciences</t>
  </si>
  <si>
    <t>We thank the Synthesis Centre for Biodiversity Sciences of the German Centre for Integrative Biodiversity Research for funding that led to the concept of this paper (grant no. DFG FZT 118). W.G. was supported by the Population Biology Program of Excellence Postdoctoral Fellowship from the University of Nebraska-Lincoln School of Biological Sciences. J.S.L. was supported by the Michael E. Tennenbaum Secretarial Scholar gift to the Smithsonian Institution. We thank J. Csotonyi for his commissioned artwork. We thank B. Wynd and M. Tucker for feedback on earlier versions of this manuscript. This is contribution 98 from the Smithsonian's MarineGEO and Tennenbaum Marine Observatories Network. This is Paleobiology Database publication 420.</t>
  </si>
  <si>
    <t>10.1038/s41559-022-01726-x</t>
  </si>
  <si>
    <t>WOS:000784633900004</t>
  </si>
  <si>
    <t>Li, XY; Cao, YF; Luo, K; Zhang, L; Bai, YX; Xiong, JR; Zare, RN; Ge, J</t>
  </si>
  <si>
    <t>Li, Xiaoyang; Cao, Yufei; Luo, Kai; Zhang, Lin; Bai, Yunxiu; Xiong, Jiarong; Zare, Richard N.; Ge, Jun</t>
  </si>
  <si>
    <t>Cooperative catalysis by a single-atom enzyme-metal complex</t>
  </si>
  <si>
    <t>Anchoring single metal atoms on enzymes has great potential to generate hybrid catalysts with high activity and selectivity for reactions that cannot be driven by traditional metal catalysts. Herein, we develop a photochemical method to construct a stable single-atom enzyme-metal complex by binding single metal atoms to the carbon radicals generated on an enzyme-polymer conjugate. The metal mass loading of Pd-anchored enzyme is up to 4.0% while maintaining the atomic dispersion of Pd. The cooperative catalysis between lipase-active site and single Pd atom accelerates alkyl-alkyl cross-coupling reaction between 1-bromohexane and B-n-hexyl-9-BBN with high efficiency (TOF is 540 h(-1)), exceeding that of the traditional catalyst Pd(OAc)(2) by a factor of 300 under ambient conditions. Single atom catalysts have been described for efficient and selective metal catalysis, while enzymes have been known for their recognition and binding. In this manuscript, the authors develop a photochemical method to combine the two platforms in one, and demonstrate it by anchoring Pd atoms on Candida Antarctic lipase B, for highly efficient alkyl-alkyl cross-coupling reactions.</t>
  </si>
  <si>
    <t>[Li, Xiaoyang; Cao, Yufei; Bai, Yunxiu; Xiong, Jiarong; Ge, Jun] Tsinghua Univ, Dept Chem Engn, Key Lab Ind Biocatalysis, Minist Educ, Beijing 100084, Peoples R China; [Li, Xiaoyang] Nanchang Univ, Sch Food Sci &amp; Technol, State Key Lab Food Sci &amp; Technol, Nanchang 330047, Jiangxi, Peoples R China; [Luo, Kai; Zare, Richard N.] Fudan Univ, Dept Chem, Jiangwan Campus, Shanghai 200438, Peoples R China; [Zhang, Lin] Tianjin Univ, Sch Chem Engn &amp; Technol, Dept Biochem Engn, Tianjin 300350, Peoples R China; [Zhang, Lin] Tianjin Univ, Sch Chem Engn &amp; Technol, Key Lab Syst Bioengn, Minist Educ, Tianjin 300350, Peoples R China; [Ge, Jun] Tsinghua Shenzhen Int Grad Sch, Inst Biopharmaceut &amp; Hlth Engn, Shenzhen 518055, Peoples R China</t>
  </si>
  <si>
    <t>Tsinghua University; Nanchang University; Fudan University; Tianjin University; Tianjin University; Tsinghua Shenzhen International Graduate School</t>
  </si>
  <si>
    <t>Ge, J (corresponding author), Tsinghua Univ, Dept Chem Engn, Key Lab Ind Biocatalysis, Minist Educ, Beijing 100084, Peoples R China.;Zare, RN (corresponding author), Fudan Univ, Dept Chem, Jiangwan Campus, Shanghai 200438, Peoples R China.;Zhang, L (corresponding author), Tianjin Univ, Sch Chem Engn &amp; Technol, Dept Biochem Engn, Tianjin 300350, Peoples R China.;Zhang, L (corresponding author), Tianjin Univ, Sch Chem Engn &amp; Technol, Key Lab Syst Bioengn, Minist Educ, Tianjin 300350, Peoples R China.;Ge, J (corresponding author), Tsinghua Shenzhen Int Grad Sch, Inst Biopharmaceut &amp; Hlth Engn, Shenzhen 518055, Peoples R China.</t>
  </si>
  <si>
    <t>linzhang@tju.edu.cn; zare@stanford.edu; junge@mail.tsinghua.edu.cn</t>
  </si>
  <si>
    <t>Bai, Yunxiu/IUQ-8435-2023; Zare, Richard N./A-8410-2009; Ge, Jun/M-4590-2013</t>
  </si>
  <si>
    <t>Zare, Richard/0000-0001-5266-4253; Cao, Yufei/0000-0002-4742-4009; Ge, Jun/0000-0001-5503-8899; Li, Xiaoyang/0000-0002-4762-7105</t>
  </si>
  <si>
    <t>National Key Research and Development Plan of China [2021YFC2102800]; National Natural Science Foundation of China [21878174, 22168024]; Tsinghua-Foshan Innovation Special Fund (TFISF)</t>
  </si>
  <si>
    <t>National Key Research and Development Plan of China; National Natural Science Foundation of China(National Natural Science Foundation of China (NSFC)); Tsinghua-Foshan Innovation Special Fund (TFISF)</t>
  </si>
  <si>
    <t>This work was supported by the National Key Research and Development Plan of China (2021YFC2102800), the National Natural Science Foundation of China (21878174, 22168024), and the Tsinghua-Foshan Innovation Special Fund (TFISF). We thank beamline BL14W1 (Shanghai Synchrotron Radiation Facility) for providing the beam time.</t>
  </si>
  <si>
    <t>10.1038/s41467-022-29900-6</t>
  </si>
  <si>
    <t>0Q6CJ</t>
  </si>
  <si>
    <t>WOS:000785003900019</t>
  </si>
  <si>
    <t>Garraza, GG; Rodríguez, P</t>
  </si>
  <si>
    <t>Gonzalez Garraza, Gabriela; Rodriguez, Patricia</t>
  </si>
  <si>
    <t>Updated distribution of the diatom Didymosphenia geminata (Lyngbye) Schmidt in Tierra del Fuego, Patagonia</t>
  </si>
  <si>
    <t>DIATOM RESEARCH</t>
  </si>
  <si>
    <t>Didymosphenia geminata distribution; D; geminata blooms; invasive diatom; sub-Antarctic island; Patagonia</t>
  </si>
  <si>
    <t>FRESH-WATER DIATOM; M. SCHMIDT; INVASIVE MICROORGANISMS; 1ST RECORD; BLOOM; COMMUNITIES; PHOSPHORUS; IMPACTS; BACILLARIOPHYCEAE; MORPHOLOGY</t>
  </si>
  <si>
    <t>In this study, we report new observations on the distribution of the invasive diatom Didymosphenia geminata on the island of Tierra del Fuego, southern Patagonia. We present new findings as well as data collected by the monitoring programme of the Government of the Tierra del Fuego. Didymosphenia geminata was first reported from the island in 2013, in the watershed of the Rio Grande, northeast of the island. In 2017, it was found in the Lapataia River, within the Tierra del Fuego National Park. More recently, we detected its presence at two more sites; one in Lake Fagnano, and in the Arroyo Grande, near the city of Ushuaia. Hence, in eight years, this invasive diatom has spread and reached the southern part of the island despite prevention measures applied in protected areas since 2014. Although D. geminata is already in Tierra de Fuego, the island is home to many water bodies with high conservation value. Monitoring the range expansion of this invasive diatom should continue since prevention is the only tool to prevent further expansion. This is particularly important because Ushuaia, in the southern part of the island, is a port from which many tourist companies depart for Antarctica, a continent not yet impacted by D. geminata.</t>
  </si>
  <si>
    <t>[Gonzalez Garraza, Gabriela] Ctr Austral Invest Cient CADIC CONICET, Ushuaia, Tierra Del Fueg, Argentina; Univ Nacl Tierra del Fuego UNTDF, Inst Ciencias Polares Ambiente &amp; Recursos Natur I, Ushuaia, Tierra Del Fueg, Argentina</t>
  </si>
  <si>
    <t>Consejo Nacional de Investigaciones Cientificas y Tecnicas (CONICET)</t>
  </si>
  <si>
    <t>Garraza, GG (corresponding author), Ctr Austral Invest Cient CADIC CONICET, Ushuaia, Tierra Del Fueg, Argentina.</t>
  </si>
  <si>
    <t>ggonzalez@untdf.edu.ar</t>
  </si>
  <si>
    <t>Agencia Nacional de Promocion Cientifica y Tecnologica [PICT 2015-1152, PICT 2017-1454]</t>
  </si>
  <si>
    <t>Agencia Nacional de Promocion Cientifica y Tecnologica(ANPCyTSpanish Government)</t>
  </si>
  <si>
    <t>This work was supported by Agencia Nacional de Promocion Cientifica y Tecnologica: [Grant Number PICT 2015-1152,PICT 2017-1454].</t>
  </si>
  <si>
    <t>0269-249X</t>
  </si>
  <si>
    <t>2159-8347</t>
  </si>
  <si>
    <t>DIATOM RES</t>
  </si>
  <si>
    <t>Diatom Res.</t>
  </si>
  <si>
    <t>10.1080/0269249X.2022.2047793</t>
  </si>
  <si>
    <t>1H7VV</t>
  </si>
  <si>
    <t>WOS:000787420300001</t>
  </si>
  <si>
    <t>Cruz, EL; Pajot, HF; Martorell, MM; Mac Cormack, WP; de Figueroa, LIC; Fernández, PM</t>
  </si>
  <si>
    <t>Cruz, Elias L.; Pajot, Hipolito F.; Martorell, Maria M.; Mac Cormack, Walter P.; de Figueroa, Lucia I. C.; Fernandez, Pablo M.</t>
  </si>
  <si>
    <t>Isolated indigenous yeasts from Antarctica with the ability to remove toxic hexavalent chromium</t>
  </si>
  <si>
    <t>CHEMISTRY AND ECOLOGY</t>
  </si>
  <si>
    <t>Antarctica; yeasts; chromium hexavalent; bioremediation; heavy metal; psychrotolerant yeasts</t>
  </si>
  <si>
    <t>CR(VI) REDUCTION; METAL RESISTANCE; HEAVY-METALS; CELL; STRAIN; BIOREMEDIATION; ADAPTATION; STRATEGIES; TOLERANCE; DIVERSITY</t>
  </si>
  <si>
    <t>Seven chromate-reducing yeasts isolated from Antarctic soils (with no history of Cr(VI) contamination) were evaluated as promising candidates for alleviating Cr(VI)-contamination. These yeast species have not been extensively studied regarding Cr(VI) tolerance and reduction abilities. Based on their tolerance (up to 2 mM) and ability to remove Cr(VI) from culture media, two representative isolates of Candida sake #14 and Debaryomyces hansenii #35 were chosen. The resistant yeasts were cultivated in YM medium plus 1 mM Cr(VI) at 25 degrees C, causing a removal of similar to 90 and similar to 70% hexavalent chromium before reaching 96 h of culture according to growth curves of C. sake #14 and D. hansenii #35, respectively. Cr(VI) removal kinetic analysis indicated that both isolates removed Cr(VI) by reduction to Cr(III), and incorporated a small portion into the biomass. Scanning Electron Microscopy-Energy Dispersive X-ray Spectroscopy (SEM-EDX) confirms the biosorption process, indicating the existence of a complex remediation mechanism. In conclusion, Antarctica is an extreme environment with a potential to discover promising new candidates for the removal of Cr(VI). These results are interesting from a biotechnological point of view since psychrotolerant yeasts could be involved in the design of a profitable technology for the elimination of the toxic form of Cr.</t>
  </si>
  <si>
    <t>[Cruz, Elias L.; Pajot, Hipolito F.; de Figueroa, Lucia I. C.; Fernandez, Pablo M.] Planta Piloto Proc Ind Microbiol PROIMI CONICET, San Miguel De Tucuman, Tucuman, Argentina; [Pajot, Hipolito F.; Fernandez, Pablo M.] Univ Nacl Catamarca, Fac Ciencias Exactas &amp; Nat, Catamarca, Argentina; [de Figueroa, Lucia I. C.] Univ Nacl Tucuman, Fac Bioquim Quim &amp; Farm, San Miguel De Tucuman, Argentina; [Martorell, Maria M.; Mac Cormack, Walter P.] Inst Antartico Argentino IAA, San Martin, Argentina; [Martorell, Maria M.; Mac Cormack, Walter P.] Univ Buenos Aires, Buenos Aires, DF, Argentina; [Martorell, Maria M.; Mac Cormack, Walter P.] Inst Nanobiotecnol NANOBIOTEC UBA CONICET, Buenos Aires, DF, Argentina</t>
  </si>
  <si>
    <t>Consejo Nacional de Investigaciones Cientificas y Tecnicas (CONICET); Universidad Nacional de Tucuman; University of Buenos Aires</t>
  </si>
  <si>
    <t>Fernández, PM (corresponding author), PROIMI CONICET, Lab Fungal Biotechnol, Av Belgrano &amp; Caseros T4001MVB, San Miguel De Tucuman, Tucuman, Argentina.</t>
  </si>
  <si>
    <t>Fernandez, Pablo Marcelo/0000-0003-0094-5058; MARTORELL, MARIA MARTHA/0000-0002-4266-8629</t>
  </si>
  <si>
    <t>Agencia Nacional de Promocion Cientifica y Tecnologica Argentina [PICT 2013/2016, PICT 03500/2018]; Universidad Nacional de Tucuman [PIUNT D 609]</t>
  </si>
  <si>
    <t>Agencia Nacional de Promocion Cientifica y Tecnologica Argentina(ANPCyT); Universidad Nacional de Tucuman</t>
  </si>
  <si>
    <t>This work was supported by Agencia Nacional de Promocion Cientifica y Tecnologica Argentina [grant numbers PICT 2013/2016 and PICT 03500/2018'; and Universidad Nacional de Tucuman [grant number PIUNT D 609].</t>
  </si>
  <si>
    <t>0275-7540</t>
  </si>
  <si>
    <t>1029-0370</t>
  </si>
  <si>
    <t>CHEM ECOL</t>
  </si>
  <si>
    <t>Chem. Ecol.</t>
  </si>
  <si>
    <t>10.1080/02757540.2022.2066084</t>
  </si>
  <si>
    <t>Biochemistry &amp; Molecular Biology; Ecology; Environmental Sciences</t>
  </si>
  <si>
    <t>Biochemistry &amp; Molecular Biology; Environmental Sciences &amp; Ecology</t>
  </si>
  <si>
    <t>2C3PU</t>
  </si>
  <si>
    <t>WOS:000785880100001</t>
  </si>
  <si>
    <t>Richter, O; Gwyther, DE; King, MA; Galton-Fenzi, BK</t>
  </si>
  <si>
    <t>Richter, Ole; Gwyther, David E.; King, Matt A.; Galton-Fenzi, Benjamin K.</t>
  </si>
  <si>
    <t>The impact of tides on Antarctic ice shelf melting</t>
  </si>
  <si>
    <t>THERMOHALINE CIRCULATION; TIDAL CURRENTS; OCEAN; SEA; SURFACE; CAVITY; MODEL; PARAMETERIZATION; TOPOGRAPHY; RESOLUTION</t>
  </si>
  <si>
    <t>Tides influence basal melting of individual Antarctic ice shelves, but their net impact on Antarctic-wide ice-ocean interaction has yet to be constrained. Here we quantify the impact of tides on ice shelf melting and the continental shelf seas using a 4 km resolution circum-Antarctic ocean model. Activating tides in the model increases the total basal mass loss by 57 Gt yr(-1) (4 %) while decreasing continental shelf temperatures by 0.04 degrees C. The Ronne Ice Shelf features the highest increase in mass loss (44 Gt yr(-1), 128 %), co-inciding with strong residual currents and increasing temperatures on the adjacent continental shelf. In some large ice shelves tides strongly affect melting in regions where the ice thickness is of dynamic importance to grounded ice flow. Further, to explore the processes that cause variations in melting we apply dynamical-thermodynamical decomposition to the melt drivers in the boundary layer. In most regions, the impact of tidal currents on the turbulent exchange of heat and salt across the ice-ocean boundary layer has a strong contribution. In some regions, however, mechanisms driven by thermodynamic effects are equally or more important, including under the frontal parts of Ronne Ice Shelf. Our results support the importance of capturing tides for robust modelling of glacier systems and shelf seas, as well as motivate future studies to directly assess friction-based parameterizations for the pan-Antarctic domain.</t>
  </si>
  <si>
    <t>[Richter, Ole; Gwyther, David E.] Univ Tasmania, Inst Marine &amp; Antarctic Studies, Private Bag 129, Hobart, Tas 7001, Australia; [Richter, Ole; King, Matt A.] Univ Tasmania, Sch Geog Planning &amp; Spatial Sci, Hobart, Tas 7001, Australia; [Gwyther, David E.] Univ New South Wales, Sch Math &amp; Stat, Coastal &amp; Reg Oceanog Lab, Sydney, NSW 2052, Australia; [King, Matt A.; Galton-Fenzi, Benjamin K.] Univ Tasmania, Australian Ctr Excellence Antarctic Sci, Hobart, Tas 7001, Australia; [Galton-Fenzi, Benjamin K.] Australian Antarctic Div, Kingston, Tas 7050, Australia; [Galton-Fenzi, Benjamin K.] Univ Tasmania, Inst Marine &amp; Antarctic Studies, Australian Antarctic Program Partnership, Hobart, Tas 7001, Australia; [Richter, Ole] Alfred Wegener Inst, Phys Oceanog Polar Seas, Postfach 12 01 61, D-27515 Bremerhaven, Germany</t>
  </si>
  <si>
    <t>University of Tasmania; University of Tasmania; University of New South Wales Sydney; University of Tasmania; Australian Antarctic Division; University of Tasmania; Helmholtz Association; Alfred Wegener Institute, Helmholtz Centre for Polar &amp; Marine Research</t>
  </si>
  <si>
    <t>Richter, O (corresponding author), Univ Tasmania, Inst Marine &amp; Antarctic Studies, Private Bag 129, Hobart, Tas 7001, Australia.;Richter, O (corresponding author), Univ Tasmania, Sch Geog Planning &amp; Spatial Sci, Hobart, Tas 7001, Australia.</t>
  </si>
  <si>
    <t>ole.richter@awi.de</t>
  </si>
  <si>
    <t>Gwyther, David E/Q-2987-2018; King, Matt/B-4622-2008</t>
  </si>
  <si>
    <t>Gwyther, David E/0000-0002-7218-2785; King, Matt/0000-0001-5611-9498; Galton-Fenzi, Benjamin Keith/0000-0003-1404-4103</t>
  </si>
  <si>
    <t>Australian Research Council [SR140300001]; Australian Research Council [SR140300001] Funding Source: Australian Research Council</t>
  </si>
  <si>
    <t>Australian Research Council(Australian Research Council); Australian Research Council(Australian Research Council)</t>
  </si>
  <si>
    <t>This research has been supported by the Australian Research Council's Special Research Initiative for the Antarctic Gateway Partnership (grant no. SR140300001).</t>
  </si>
  <si>
    <t>10.5194/tc-16-1409-2022</t>
  </si>
  <si>
    <t>0P4CJ</t>
  </si>
  <si>
    <t>WOS:000784166600001</t>
  </si>
  <si>
    <t>Caruso, G; Papale, M; Azzaro, M; Rizzo, C; Laganà, P; Caruso, R; Lo Giudice, A</t>
  </si>
  <si>
    <t>Caruso, Gabriella; Papale, Maria; Azzaro, Maurizio; Rizzo, Carmen; Lagana, Pasqualina; Caruso, Rosalba; Lo Giudice, Angelina</t>
  </si>
  <si>
    <t>Antarctic Porifera homogenates as a source of enzymes and antibacterial substances: first results</t>
  </si>
  <si>
    <t>Sponges; Secondary metabolites; Enzyme activities; Lysozyme; Antibacterial activities; Antarctica</t>
  </si>
  <si>
    <t>INNATE IMMUNE DEFENSE; COLD-ADAPTED ENZYMES; MARINE SPONGES; CHEMICAL ECOLOGY; NATURAL-PRODUCTS; BACTERIA; DIVERSITY; METABOLITES; MECHANISM; LYSOZYME</t>
  </si>
  <si>
    <t>Marine Porifera (sponges) are known to produce several bioactive metabolites having a biotechnological potential, mostly derived from their bacterial symbionts; however, current knowledge on the production of metabolites such as enzymes and antibacterial molecules in sponges living in Antarctic environments is not fully exhaustive and needs further deepened investigation. The interest in discovering the broad spectrum of natural products potentially derived from species adapted to colonize extreme environments stimulates the research toward Antarctic sponge bioprospection. In this study, whole homogenates of Antarctic Demospongiae, belonging to five different species [Haliclona (Rhizoniera) sp., Haliclona (Rhizoniera) dancoi, Microxina sarai, Dendrilla antarctica, and Mycale acerata] were collected from Terra Nova Bay (Ross Sea) and examined for presence and activity of enzymes, including lysozyme, and antibacterial substances. Enzyme activities (leucine aminopeptidase, beta-glucosidase, and alkaline phosphatase) were measured using fluorogenic substrates; lysozyme content was determined on plates containing lyophilized Micrococcus lysodeikticus cell walls as a substrate. Homogenates were screened in microtiter plates for their antibacterial activity against Antarctic bacterial isolates, and the absorbance reduction was measured with a microplate reader. All homogenates exhibited proteolytic, glycolytic, and phosphatasic activities, lysozyme and antibacterial activities at near in situ temperature (5 degrees C), with some differences among the examined species. Results confirmed that Antarctic sponge homogenates are interesting sources of different bioactive substances, likely produced from associated bacterial symbionts, and that could have great potential to be used in medicine or industrial applications.</t>
  </si>
  <si>
    <t>[Caruso, Gabriella; Papale, Maria; Azzaro, Maurizio; Rizzo, Carmen; Lo Giudice, Angelina] CNR, Inst Polar Sci CNR ISP, Sect Messina, Spianata S Raineri 86, I-98122 Messina, Italy; [Rizzo, Carmen] Sicily Marine Ctr, Stn Zool Anton Dohrn, Marine Biotechnol Dept, Contrada Porticatello 29, I-98167 Messina, Italy; [Lagana, Pasqualina] Univ Messina, Policlin Univ, Dept Biomed &amp; Dent Sci &amp; Morphofunct Imaging, Torre Biol, 3rd Floor,Via Consolare, I-98125 Messina, Italy; [Caruso, Rosalba] Hosp Agcy G Martino, Via Consolare Valeria, I-98125 Messina, Italy</t>
  </si>
  <si>
    <t>Consiglio Nazionale delle Ricerche (CNR); Istituto di Scienze Polari (ISP-CNR); Stazione Zoologica Anton Dohrn di Napoli; University of Messina; AOU Policlinico Gaetano Martino</t>
  </si>
  <si>
    <t>Caruso, G (corresponding author), CNR, Inst Polar Sci CNR ISP, Sect Messina, Spianata S Raineri 86, I-98122 Messina, Italy.</t>
  </si>
  <si>
    <t>gabriella.caruso@cnr.it</t>
  </si>
  <si>
    <t>Caruso, Gabriella/F-5450-2013; azzaro, Maurizio/AAE-6784-2019</t>
  </si>
  <si>
    <t>Caruso, Gabriella/0000-0002-3819-5486; azzaro, Maurizio/0000-0001-7885-2340; Papale, Maria/0000-0002-6013-4436; Lagana, Pasqualina/0000-0002-6078-9520</t>
  </si>
  <si>
    <t>PNRA (National Research Program in Antarctica), Italian Ministry of Education and Research [PNRA16_00020, PNRA16_00105]</t>
  </si>
  <si>
    <t>PNRA (National Research Program in Antarctica), Italian Ministry of Education and Research</t>
  </si>
  <si>
    <t>This research was funded by PNRA (National Research Program in Antarctica), Italian Ministry of Education and Research, in the framework of the projects Antarctic Porifera: hot-spots for Prokaryotic diversity and biotechnological Potentialities (P3) Grant number PNRA16_00020 and Microbial colonization of benthic ANTarctic environments: responses of microbial abundances, diversity, activities and larval settlement to natural or anthropogenic disturbances and search for secondary metabolites (ANT-Biofilm) Grant number PNRA16_00105. These projects contributed equally with a percentage of 50%.</t>
  </si>
  <si>
    <t>10.1007/s00300-022-03042-3</t>
  </si>
  <si>
    <t>WOS:000784613000001</t>
  </si>
  <si>
    <t>Zhang, MZ; Haward, M</t>
  </si>
  <si>
    <t>Zhang, Mengzhu; Haward, Marcus</t>
  </si>
  <si>
    <t>The Chinese Antarctic science programme: origins and development</t>
  </si>
  <si>
    <t>administration; China National Antarctic Research Expedition; funding; International Polar Year; logistics; research infrastructure</t>
  </si>
  <si>
    <t>In 1980, at the invitation of Australia, the first Chinese scientists went to Antarctica. China was therefore a relative 'latecomer' to engage in Antarctic science. In the period since its first Antarctic expedition in 1984, China's presence in Antarctica has expanded both in terms of its logistics and infrastructure and its scientific research. This paper outlines the development of China's national Antarctic programmes under the influence of corresponding national policies from the late 1970s to the present, noting the application of various scientific disciplines to Antarctic fields. The paper outlines and analyses the broadening and deepening of China's Antarctic science research, infrastructure and engagement.</t>
  </si>
  <si>
    <t>[Zhang, Mengzhu; Haward, Marcus] Univ Tasmania, Inst Marine &amp; Antarctic Studies, Hobart, Tas 7004, Australia; [Zhang, Mengzhu; Haward, Marcus] Univ Tasmania, Ctr Marine Socioecol, Hobart, Tas 7005, Australia</t>
  </si>
  <si>
    <t>University of Tasmania; University of Tasmania</t>
  </si>
  <si>
    <t>Zhang, MZ (corresponding author), Univ Tasmania, Inst Marine &amp; Antarctic Studies, Hobart, Tas 7004, Australia.;Zhang, MZ (corresponding author), Univ Tasmania, Ctr Marine Socioecol, Hobart, Tas 7005, Australia.</t>
  </si>
  <si>
    <t>mengzhu.zhang@utas.edu.au</t>
  </si>
  <si>
    <t>Haward, Marcus/G-3369-2014</t>
  </si>
  <si>
    <t>Haward, Marcus/0000-0003-4775-0864; Zhang, Mengzhu/0000-0003-2710-8532</t>
  </si>
  <si>
    <t>PII S095410202200013X</t>
  </si>
  <si>
    <t>10.1017/S095410202200013X</t>
  </si>
  <si>
    <t>1H5NZ</t>
  </si>
  <si>
    <t>hybrid, Green Published, Green Accepted</t>
  </si>
  <si>
    <t>WOS:000784029800001</t>
  </si>
  <si>
    <t>Newnham, DA; Clilverd, MA; Clark, WDJ; Kosch, M; Verronen, PT; Rogers, AEE</t>
  </si>
  <si>
    <t>Newnham, David A.; Clilverd, Mark A.; Clark, William D. J.; Kosch, Michael; Verronen, Pekka T.; Rogers, Alan E. E.</t>
  </si>
  <si>
    <t>Ground-based Ku-band microwave observations of ozone in the polar middle atmosphere</t>
  </si>
  <si>
    <t>MESOPAUSE</t>
  </si>
  <si>
    <t>Ground-based observations of 11.072 GHz atmospheric ozone (O-3) emission have been made using the Ny-Alesund Ozone in the Mesosphere Instrument (NAOMI) at the UK Arctic Research Station (latitude 78 degrees 55'0 '' N, longitude 11 degrees 55'59 '' E), Spitsbergen. Seasonally averaged O-3 vertical profiles in the Arctic polar mesosphere-lower thermosphere region for night-time and twilight conditions in the period 15 August 2017 to 15 March 2020 have been retrieved over the altitude range 62-98 km. NAOMI measurements are compared with corresponding, overlapping observations by the Sounding of the Atmosphere using Broadband Emission Radiometry (SABER) satellite instrument. The NAOMI and SABER version 2.0 data are binned according to the SABER instrument 60 d yaw cycles into nominal 3-month winter (15 December-15 March), autumn (15 August-15 November), and summer (15 April-15 July) periods. The NAOMI observations show the same year-to-year and seasonal variabilities as the SABER 9.6 mu m O-3 data. The winter night-time (solar zenith angle, SZA &gt;= 110 degrees) and twilight (75 degrees &lt;= SZA &lt;= 110 degrees) NAOMI and SABER 9.6 mu m O-3 volume mixing ratio (VMR) profiles agree to within the measurement uncertainties. However, for autumn twilight conditions the SABER 9.6 mu m O-3 secondary maximum VMR values are higher than NAOMI over altitudes 88-97 km by 47 % and 59 %, respectively in 2017 and 2018. Comparing the two SABER channels which measure O-3 at different wavelengths and use different processing schemes, the 9.6 mu m O-3 autumn twilight VMR data for the three years 2017-2019 are higher than the corresponding 1.27 mu m measurements with the largest difference (58 %) in the 65-95 km altitude range similar to the NAOMI observation. The SABER 9.6 mu m O-3 summer daytime (SZA &lt; 75 degrees) mesospheric O-3 VMR is also consistently higher than the 1.27 mu m measurement, confirming previously reported differences between the SABER 9.6 mu m channel and measurements of mesospheric 03 by other satellite instruments.</t>
  </si>
  <si>
    <t>[Newnham, David A.; Clilverd, Mark A.; Clark, William D. J.] British Antarctic Survey, Madingley Rd, Cambridge CB3 0ET, England; [Kosch, Michael] Univ Lancaster, Phys Dept, Lancaster LA1 4YB, England; [Kosch, Michael] South African Natl Space Agcy SANSA, Hosp St, ZA-7200 Hermanus, South Africa; [Kosch, Michael] Univ Western Cape, Dept Phys &amp; Astron, Robert Sobukwe Rd, ZA-7535 Bellville, South Africa; [Verronen, Pekka T.] Univ Oulu, Sodankyla Geophys Observ, Tahtelantie 62, Sodankyla 99600, Finland; [Verronen, Pekka T.] Finnish Meteorol Inst, Space &amp; Earth Observat Ctr, POB 503, Helsinki 00101, Finland; [Rogers, Alan E. E.] MIT Haystack Observ, Route 40, Westford, MA 01886 USA</t>
  </si>
  <si>
    <t>UK Research &amp; Innovation (UKRI); Natural Environment Research Council (NERC); NERC British Antarctic Survey; Lancaster University; University of the Western Cape; University of Oulu; Finnish Meteorological Institute; Massachusetts Institute of Technology (MIT)</t>
  </si>
  <si>
    <t>Newnham, DA (corresponding author), British Antarctic Survey, Madingley Rd, Cambridge CB3 0ET, England.</t>
  </si>
  <si>
    <t>dawn@bas.ac.uk</t>
  </si>
  <si>
    <t>Verronen, Pekka T/G-6658-2014</t>
  </si>
  <si>
    <t>Newnham, David/0000-0001-8422-1289; Rogers, Alan/0000-0003-1941-7458; Verronen, P. T./0000-0002-3479-9071</t>
  </si>
  <si>
    <t>UK's Natural Environment Research Council (NERC) Technologies Proofof-Concept project Satellite TV-based Ozone and OH Observations using Radiometric Measurements (STO3RM) [NE/P003478/1]; Royal Society [NI150103]; Academy of Finland project ICT-Solutions to Understand Variability of Arctic Climate (ICT-SUNVAC) [335555]; Academy of Finland (AKA) [335555] Funding Source: Academy of Finland (AKA); NERC [NE/P003478/1] Funding Source: UKRI</t>
  </si>
  <si>
    <t>UK's Natural Environment Research Council (NERC) Technologies Proofof-Concept project Satellite TV-based Ozone and OH Observations using Radiometric Measurements (STO3RM)(UK Research &amp; Innovation (UKRI)Natural Environment Research Council (NERC)); Royal Society(Royal Society); Academy of Finland project ICT-Solutions to Understand Variability of Arctic Climate (ICT-SUNVAC); Academy of Finland (AKA)(Research Council of Finland); NERC(UK Research &amp; Innovation (UKRI)Natural Environment Research Council (NERC))</t>
  </si>
  <si>
    <t>This work has been supported by the UK's Natural Environment Research Council (NERC) Technologies Proofof-Concept project Satellite TV-based Ozone and OH Observations using Radiometric Measurements (STO3RM) (grant no. NE/P003478/1) awarded to David A. Newnham. NAOMI testing and deployment was supported by the Royal Society Newton Fund project The Effect of High-Energy Particle Precipitation from Space on the Earth's Atmosphere (grant no. NI150103) awarded to Michael Kosch and Mark A. Clilverd. Pekka T. Verronen was supported by Academy of Finland project ICT-Solutions to Understand Variability of Arctic Climate (ICT-SUNVAC) (grant no. 335555).</t>
  </si>
  <si>
    <t>APR 20</t>
  </si>
  <si>
    <t>10.5194/amt-15-2361-2022</t>
  </si>
  <si>
    <t>1B3UH</t>
  </si>
  <si>
    <t>WOS:000792363300001</t>
  </si>
  <si>
    <t>Green, RA; Menviel, L; Meissner, KJ; Crosta, X; Chandan, D; Lohmann, G; Peltier, WR; Shi, XX; Zhu, J</t>
  </si>
  <si>
    <t>Green, Ryan A.; Menviel, Laurie; Meissner, Katrin J.; Crosta, Xavier; Chandan, Deepak; Lohmann, Gerrit; Peltier, W. Richard; Shi, Xiaoxu; Zhu, Jiang</t>
  </si>
  <si>
    <t>Evaluating seasonal sea-ice cover over the Southern Ocean at the Last Glacial Maximum</t>
  </si>
  <si>
    <t>CLIMATE OF THE PAST</t>
  </si>
  <si>
    <t>EARTH SYSTEM MODEL; CLIMATE SIMULATIONS; CONSTRAINTS; MIDHOLOCENE; DESIGN</t>
  </si>
  <si>
    <t>Southern hemispheric sea-ice impacts ocean circulation and the carbon exchange between the atmosphere and the ocean. Sea-ice is therefore one of the key processes in past and future climate change and variability. As climate models are the only tool available to project future climate change, it is important to assess their performance against observations for a range of different climate states. The Last Glacial Maximum (LGM, similar to 21 000 years ago) represents an interesting target as it is a relatively well-documented period with climatic conditions very different from preindustrial conditions. Here, we analyze the LGM seasonal Southern Ocean sea-ice cover as simulated in numerical simulations as part of the Paleoclimate Modelling Intercomparison Project (PMIP) phases 3 and 4. We compare the model outputs to a recently updated compilation of LGM seasonal Southern Ocean sea-ice cover and summer sea surface temperature (SST) to assess the most likely LGM Southern Ocean state. Simulations and paleo-proxy records suggest a fairly well-constrained glacial winter sea-ice edge between 50.5 and 51 degrees S. However, the spread in simulated glacial summer seaice is wide, ranging from almost ice-free conditions to a seaice edge reaching 53 degrees S. Combining model outputs and proxy data, we estimate a likely LGM summer sea-ice edge between 61 and 62 degrees S and a mean summer sea-ice extent of 14-15 x 10(6) km(2) , which is similar to 20 %similar to 30 % larger than previous estimates. These estimates point to a higher seasonality of southern hemispheric sea-ice during the LGM than today. We also analyze the main processes defining the summer sea-ice edge within each of the models. We find that summer sea-ice cover is mainly defined by thermodynamic effects in some models, while the sea-ice edge is defined by the position of Southern Ocean upwelling in others. For models included in both PMIP3 and PMIP4, this thermodynamic or dynamic control on sea-ice is consistent across both experiments. Finally, we find that the impact of changes in large-scale ocean circulation on summer sea-ice within a single model is smaller than the natural range of summer sea-ice cover across the models considered here. This indicates that care must be taken when using a single model to reconstruct past climate regimes.</t>
  </si>
  <si>
    <t>[Green, Ryan A.; Menviel, Laurie; Meissner, Katrin J.] Univ New South Wales, Climate Change Res Ctr, Sydney, NSW, Australia; [Green, Ryan A.; Meissner, Katrin J.] ARC Ctr Excellence Climate Syst Sci, Sydney, NSW, Australia; [Green, Ryan A.] Univ Calif Santa Cruz, Earth &amp; Planetary Sci, Santa Cruz, CA 95064 USA; [Menviel, Laurie] Univ Tasmania, Australian Ctr Excellence Antarctic Sci, Hobart, Tas 7001, Australia; [Crosta, Xavier] Univ Bordeaux EPOC, UMR 5805, Pessac, France; [Chandan, Deepak; Peltier, W. Richard] Univ Toronto, Dept Phys, 60 St George St, Toronto, ON M5S 1A7, Canada; [Lohmann, Gerrit; Shi, Xiaoxu] Helmholtz Zentrum Polar &amp; Meeresforsch, Alfred Wegener Inst, Bremerhaven, Germany; [Lohmann, Gerrit] Univ Bremen, Inst Environm Phys, Bremen, Germany; [Zhu, Jiang] Natl Ctr Atmospher Res, Climate &amp; Global Dynam Lab, POB 3000, Boulder, CO 80307 USA</t>
  </si>
  <si>
    <t>University of New South Wales Sydney; ARC Centre of Excellence for Climate System Science; University of California System; University of California Santa Cruz; University of Tasmania; Centre National de la Recherche Scientifique (CNRS); CNRS - National Institute for Earth Sciences &amp; Astronomy (INSU); Universite de Bordeaux; University of Toronto; Helmholtz Association; Alfred Wegener Institute, Helmholtz Centre for Polar &amp; Marine Research; University of Bremen; National Center Atmospheric Research (NCAR) - USA</t>
  </si>
  <si>
    <t>Green, RA (corresponding author), Univ New South Wales, Climate Change Res Ctr, Sydney, NSW, Australia.;Green, RA (corresponding author), ARC Ctr Excellence Climate Syst Sci, Sydney, NSW, Australia.;Green, RA (corresponding author), Univ Calif Santa Cruz, Earth &amp; Planetary Sci, Santa Cruz, CA 95064 USA.</t>
  </si>
  <si>
    <t>rygreen@ucsc.edu</t>
  </si>
  <si>
    <t>Zhu, Jiang/H-6040-2011; IPO, PAGES/JXY-7546-2024; Peltier, William R./A-1102-2008; Lohmann, Gerrit/M-7453-2016; Menviel, Laurie/D-6902-2013</t>
  </si>
  <si>
    <t>Zhu, Jiang/0000-0002-0908-5130; Green, Ryan/0000-0002-2411-8025; Lohmann, Gerrit/0000-0003-2089-733X; Menviel, Laurie/0000-0002-5068-1591; Meissner, Katrin/0000-0002-0716-7415; Chandan, Deepak/0000-0002-0756-754X</t>
  </si>
  <si>
    <t>Australian Research Council Centre of Excellence for Climate Extremes [CE170100023]; UNSW</t>
  </si>
  <si>
    <t>Australian Research Council Centre of Excellence for Climate Extremes(Australian Research Council); UNSW</t>
  </si>
  <si>
    <t>This research is a result of the Past Global Changes (PAGES) working group Cycles of Sea-Ice Dynamics in the Earth system (C-SIDE). We thank Masa Kageyama for providing the PMIP4 LGM outputs of the IPSL model. Ryan Green was supported by a summer scholarship provided by the Australian Research Council Centre of Excellence for Climate Extremes (CE170100023), and UNSW (through Laurie Menviel's UNSW Scientia fellowship). Computational resources were provided by the NCI National Facility at the Australian National University, through awards under the National Computational Merit Allocation Scheme, the Intersect Allocation Scheme, and the UNSW HPC at NCI Scheme.</t>
  </si>
  <si>
    <t>1814-9324</t>
  </si>
  <si>
    <t>1814-9332</t>
  </si>
  <si>
    <t>CLIM PAST</t>
  </si>
  <si>
    <t>Clim. Past.</t>
  </si>
  <si>
    <t>10.5194/cp-18-845-2022</t>
  </si>
  <si>
    <t>1B3VH</t>
  </si>
  <si>
    <t>WOS:000792366000001</t>
  </si>
  <si>
    <t>Kokun, O; Bakhmutova, L</t>
  </si>
  <si>
    <t>Kokun, Oleg; Bakhmutova, Larysa</t>
  </si>
  <si>
    <t>Changes in expeditioners' personality measures during 1 year Antarctic expeditions</t>
  </si>
  <si>
    <t>Antarctic environments; Antarctic expedition personnel; Antarctic station; personality assessment; psychological changes; small isolated group</t>
  </si>
  <si>
    <t>PSYCHOLOGY; PERFORMANCE; OUTCOMES; IMPACT; WINTER</t>
  </si>
  <si>
    <t>The extreme working and living conditions at Antarctic stations cause numerous psychological changes in expeditioners. However, research on the changes in expeditioners' personality traits is virtually non-existent. Therefore, the present study aims to determine the changes in expeditioners' personality measures during 1 year Antarctic expeditions. This study examined 56 expeditioners working at the Ukrainian Antarctic Akademik Vernadsky station (52 men, 4 women; ages 20-63 years, M = 38.12, SD = 10.01) who participated in five annual expeditions between 2016 and 2021. The Ukrainian adaptations of four measures were used: the Thomas-Kilmann Conflict Mode Instrument, the Eysenck Personality Questionnaire, the Leonhard-Schmieschek Questionnaire and the Leary Interpersonal Checklist. During 1 year Antarctic expeditions, 8 of the 26 indicators used to describe expeditioners' personality measures changed significantly (P &lt; 0.001-0.1). These indicators belonged to three of the four measures used in the study and were assessed as personally unfavourable. They included increased psychoticism and competing, managerial-autocratic, aggressive-sadistic, responsible-hypernormal, competitive-narcissistic and self-effacing-masochistic styles and a decreased accommodating style. Based on these results, promising areas for further research that could improve psychological selection, training and work for Antarctic expedition personnel are outlined.</t>
  </si>
  <si>
    <t>[Kokun, Oleg] Natl Acad Educ Sci Ukraine, GS Kostiuk Inst Psychol, 2 Pankivska, UA-01033 Kiev, Ukraine; [Bakhmutova, Larysa] Minist Educ &amp; Sci Ukraine, Natl Antarctic Sci Ctr, 16 Blvd Taras Shevchenko, UA-01601 Kiev, Ukraine</t>
  </si>
  <si>
    <t>National Academy of Educational Sciences of Ukraine; G. S. Kostiuk Institute of Psychology of the National Academy of Educational Sciences of Ukraine; Ministry of Education &amp; Science of Ukraine; State Institution National Antarctic Scientific Center</t>
  </si>
  <si>
    <t>Kokun, O (corresponding author), Natl Acad Educ Sci Ukraine, GS Kostiuk Inst Psychol, 2 Pankivska, UA-01033 Kiev, Ukraine.</t>
  </si>
  <si>
    <t>kokun@ukr.net</t>
  </si>
  <si>
    <t>Bakhmutova, Larysa/ABG-8870-2020; Oleg, Kokun/D-9496-2018</t>
  </si>
  <si>
    <t>Bakhmutova, Larysa/0000-0002-5119-236X; Oleg, Kokun/0000-0003-1793-8540</t>
  </si>
  <si>
    <t>PII S0954102022000104</t>
  </si>
  <si>
    <t>10.1017/S0954102022000104</t>
  </si>
  <si>
    <t>WOS:000786466200001</t>
  </si>
  <si>
    <t>Wagner, NY; Andersen, DT; Hahn, AS; McLaughlin, R; Johnson, SS</t>
  </si>
  <si>
    <t>Wagner, Nicole Yasmin; Andersen, Dale T.; Hahn, Aria S.; McLaughlin, Ryan; Johnson, Sarah Stewart</t>
  </si>
  <si>
    <t>Draft Genome Sequence from a Putative New Genus and Species in the Family M1A02 within the Phylum Planctomycetes, Isolated from Benthic Pinnacle Mats in Lake Untersee, Antarctica</t>
  </si>
  <si>
    <t>MICROBIOLOGY RESOURCE ANNOUNCEMENTS</t>
  </si>
  <si>
    <t>Here, we report the draft genome sequence for a new putative genus and species in the family M1A02 within the order Phycisphaerales. Isolated from the metagenome of a benthic pinnacle-shaped mat in the Antarctic Lake Untersee, the members of this family have been found in biofilms and freshwater environments.</t>
  </si>
  <si>
    <t>[Wagner, Nicole Yasmin; Johnson, Sarah Stewart] Georgetown Univ, Dept Biol, Washington, DC 20057 USA; [Andersen, Dale T.] SETI Inst, Mountain View, CA USA; [Hahn, Aria S.; McLaughlin, Ryan] Koonkie Inc, Menlo Pk, CA USA; [Johnson, Sarah Stewart] Georgetown Univ, Sci Technol &amp; Int Affairs Program, Washington, DC 20057 USA</t>
  </si>
  <si>
    <t>Johnson, SS (corresponding author), Georgetown Univ, Dept Biol, Washington, DC 20057 USA.;Johnson, SS (corresponding author), Georgetown Univ, Sci Technol &amp; Int Affairs Program, Washington, DC 20057 USA.</t>
  </si>
  <si>
    <t>Wagner, Nicole Yasmin/0000-0001-9196-8903; Johnson, Sarah/0000-0002-8342-7688</t>
  </si>
  <si>
    <t>ARCS Metropolitan Washington Chapter; Cosmos Club Scholarship; DoD NDSEG Fellowship; TAWANI Foundation of Chicago; Trottier Family Foundation; NASA's Astrobiology Program; Arctic and Antarctic Research Institute/Russian Antarctic Expedition</t>
  </si>
  <si>
    <t>ARCS Metropolitan Washington Chapter; Cosmos Club Scholarship; DoD NDSEG Fellowship; TAWANI Foundation of Chicago; Trottier Family Foundation; NASA's Astrobiology Program(National Aeronautics &amp; Space Administration (NASA)); Arctic and Antarctic Research Institute/Russian Antarctic Expedition</t>
  </si>
  <si>
    <t>This work was supported and funded by the ARCS Metropolitan Washington Chapter, a Cosmos Club Scholarship, and a DoD NDSEG Fellowship. Additional support was provided by the TAWANI Foundation of Chicago, the Trottier Family Foundation, NASA's Astrobiology Program, and the Arctic and Antarctic Research Institute/Russian Antarctic Expedition. Logistical support was provided by Antarctic Logistics Centre International (ALCI), Cape Town, South Africa. Sequencing was carried out at the Georgetown University Shared Epigenomics and Genomics Resource Center and the University of Illinois at Chicago Sequencing Core. We are grateful to J. N. Pritzker, IL ARNG (retired), of the TAWANI Foundation, Lorne Trottier of the Trottier Family Foundation, and fellow field team members for their support during the expedition.</t>
  </si>
  <si>
    <t>2576-098X</t>
  </si>
  <si>
    <t>MICROBIOL RESOUR ANN</t>
  </si>
  <si>
    <t>Microbiol. Resour. Ann.</t>
  </si>
  <si>
    <t>10.1128/mra.01192-21</t>
  </si>
  <si>
    <t>1N0NG</t>
  </si>
  <si>
    <t>WOS:000784667800001</t>
  </si>
  <si>
    <t>Marinova, MM; McKay, CP; Heldmann, JL; Goordial, J; Lacelle, D; Pollard, WH; Davila, AF</t>
  </si>
  <si>
    <t>Marinova, Margarita M.; McKay, Christopher P.; Heldmann, Jennifer L.; Goordial, Jacqueline; Lacelle, Denis; Pollard, Wayne H.; Davila, Alfonso F.</t>
  </si>
  <si>
    <t>Climate and energy balance of the ground in University Valley, Antarctica</t>
  </si>
  <si>
    <t>dry permafrost; Dry Valleys; frost point; ice-cemented ground; Mars analogue; thermal conductivity</t>
  </si>
  <si>
    <t>MCMURDO DRY VALLEYS; ACTIVE-LAYER; SOIL TEMPERATURES; TAYLOR VALLEY; LAKE HOARE; ICE; SURFACE; PERMAFROST; ROUGHNESS; COLD</t>
  </si>
  <si>
    <t>We report 3 years of data from one meteorological and three smaller stations in University Valley, a high-elevation (1677 m) site in the Dry Valleys of Antarctica with extensive dry permafrost. Mean air temperature was -23.4 degrees C. Summer air temperatures were virtually always &lt; 0 degrees C and were consistent with the altitude lapse rate and empirical relationships between summer temperature, distance from the coast and elevation. The measured frost point (-22.5 degrees C) at the 42 cm deep ice table is equal to the surface frost point and above the atmospheric frost point (-29.6 degrees C), providing direct evidence that surface conditions control ground ice depth. Observed peak surface soil temperatures reach 6 degrees C for ice-cemented ground &gt; 15 cm deep but stay &lt; 0 degrees C when it is shallower. We develop an energy balance model tuned to this rocky and dry environment. We find that differences in peak soil surface temperatures are primarily due to the higher thermal diffusivity of ice-cemented ground compared to dry soil. Sensitivity studies show that expected natural variability is insufficient for melt to form and significant excursions from current conditions are required. The site's ice table meets the criteria for a Special Region on Mars, with 30% of the year &gt; -18 degrees C and water activity &gt; 0.6.</t>
  </si>
  <si>
    <t>[Marinova, Margarita M.; McKay, Christopher P.; Heldmann, Jennifer L.; Davila, Alfonso F.] NASA, Ames Res Ctr, Moffett Field, CA 94035 USA; [Marinova, Margarita M.] M3 Interplanetary Corp, Kirkland, WA 98033 USA; [Goordial, Jacqueline] Univ Guelph, Guelph, ON, Canada; [Lacelle, Denis] Univ Ottawa, Ottawa, ON, Canada; [Pollard, Wayne H.] McGill Univ, Montreal, PQ, Canada</t>
  </si>
  <si>
    <t>National Aeronautics &amp; Space Administration (NASA); NASA Ames Research Center; University of Guelph; University of Ottawa; McGill University</t>
  </si>
  <si>
    <t>Marinova, MM (corresponding author), NASA, Ames Res Ctr, Moffett Field, CA 94035 USA.;Marinova, MM (corresponding author), M3 Interplanetary Corp, Kirkland, WA 98033 USA.</t>
  </si>
  <si>
    <t>margarita.m.marinova@gmail.com</t>
  </si>
  <si>
    <t>Davila, Alfonso F/A-2198-2013</t>
  </si>
  <si>
    <t>Marinova, Margarita/0000-0001-6741-6295; McKay, Christopher/0000-0002-6243-1362</t>
  </si>
  <si>
    <t>[B-302]</t>
  </si>
  <si>
    <t>This work was conducted as part of United States Antarctic Program project B-302. We thank the United States Antarctic Program staff and helicopter crews for their extensive support. We thank the internal NASA and journal reviewers for timely and constructive reviews.</t>
  </si>
  <si>
    <t>PII S0954102022000025</t>
  </si>
  <si>
    <t>10.1017/S0954102022000025</t>
  </si>
  <si>
    <t>WOS:000784033200001</t>
  </si>
  <si>
    <t>Hou, ZX; Sun, CX; Chen, XD; Zhang, GJ; Che, Q; Li, DH; Zhu, TJ</t>
  </si>
  <si>
    <t>Hou, Zhaoxia; Sun, Chunxiao; Chen, Xuedong; Zhang, Guojian; Che, Qian; Li, Dehai; Zhu, Tianjiao</t>
  </si>
  <si>
    <t>Xanalterate A, altertoxin VIII and IX, perylenequinone derivatives from antarctica-sponge-derived fungus Alternaria sp. HDN19-690</t>
  </si>
  <si>
    <t>TETRAHEDRON LETTERS</t>
  </si>
  <si>
    <t>Perylenequinone derivatives; Alternaria sp.; Antibacterial activity; Secondary metabolites; Marine-derived fungi</t>
  </si>
  <si>
    <t>BIOSYNTHESIS; SP.</t>
  </si>
  <si>
    <t>Three new perylenequinone derivatives, namely xanalterate A (1), altertoxin VIII and IX (2 and 3), together with one known analogue, stemphyperylenol (4), were isolated from the extract of the Antarctic sponge-derived fungus Alternaria sp. HDN19-690. The structures of compounds 1-3, including absolute configurations, were confirmed based on the analysis of MS, NMR and ECD data. Compound 1 exhibited promising antimicrobial activity against the tested strains with MIC values ranging from 3.13 to 12.5 mu M. (C) 2022 Elsevier Ltd. All rights reserved.</t>
  </si>
  <si>
    <t>[Hou, Zhaoxia; Sun, Chunxiao; Chen, Xuedong; Zhang, Guojian; Che, Qian; Li, Dehai; Zhu, Tianjiao] Ocean Univ China, Sch Med &amp; Pharm, Qingdao 266003, Peoples R China; [Zhang, Guojian; Li, Dehai; Zhu, Tianjiao] Lab Marine Drugs &amp; Bioprod Pilot Natl Lab Marine S, Qingdao 266237, Peoples R China; [Li, Dehai] Pilot Natl Lab Marine Sci &amp; Technol, Open Studio Druggabil Res Marine Nat Prod, Qingdao 266237, Peoples R China</t>
  </si>
  <si>
    <t>Ocean University of China; Laoshan Laboratory</t>
  </si>
  <si>
    <t>Hou, ZX (corresponding author), Ocean Univ China, Sch Med &amp; Pharm, Qingdao 266003, Peoples R China.</t>
  </si>
  <si>
    <t>Li, Dehai/G-7656-2012; liu, feng/KCL-0778-2024</t>
  </si>
  <si>
    <t>Li, Dehai/0000-0002-7191-2002;</t>
  </si>
  <si>
    <t>National Natural Science Foundation of China [41876216]; National Key R&amp;D Program of China [2018YFC1406705]; Major Basic Research Programs of Natural Science Foundation of Shandong Province [ZR2019ZD18]; Fun-damental Research Funds for the Central Universities [201941001]; National Natural Science Foundation of China Major Project for Discovery of New Leading Compounds [81991522]; Youth Innovation Plan of Shandong province [2019KJM004]; Taishan Scholar Youth Expert Program in Shandong Province [tsqn201812021]</t>
  </si>
  <si>
    <t>National Natural Science Foundation of China(National Natural Science Foundation of China (NSFC)); National Key R&amp;D Program of China; Major Basic Research Programs of Natural Science Foundation of Shandong Province; Fun-damental Research Funds for the Central Universities(Fundamental Research Funds for the Central Universities); National Natural Science Foundation of China Major Project for Discovery of New Leading Compounds; Youth Innovation Plan of Shandong province; Taishan Scholar Youth Expert Program in Shandong Province</t>
  </si>
  <si>
    <t>This work was funded by the National Natural Science Founda-tion of China (41876216) , National Key R&amp;D Program of China (2018YFC1406705) , Major Basic Research Programs of Natural Science Foundation of Shandong Province (ZR2019ZD18) , the Fun-damental Research Funds for the Central Universities (201941001) , the National Natural Science Foundation of China Major Project for Discovery of New Leading Compounds (81991522) , the Youth Innovation Plan of Shandong province (2019KJM004) , Taishan Scholar Youth Expert Program in Shandong Province (No. tsqn201812021) .</t>
  </si>
  <si>
    <t>0040-4039</t>
  </si>
  <si>
    <t>1873-3581</t>
  </si>
  <si>
    <t>TETRAHEDRON LETT</t>
  </si>
  <si>
    <t>Tetrahedron Lett.</t>
  </si>
  <si>
    <t>10.1016/j.tetlet.2022.153778</t>
  </si>
  <si>
    <t>Chemistry, Organic</t>
  </si>
  <si>
    <t>Science Citation Index Expanded (SCI-EXPANDED); Index Chemicus (IC)</t>
  </si>
  <si>
    <t>1S1TR</t>
  </si>
  <si>
    <t>WOS:000803841500003</t>
  </si>
  <si>
    <t>Teng, XN; Wang, SC; Zeb, L; Xiu, ZL</t>
  </si>
  <si>
    <t>Teng, Xin-Nan; Wang, Shu-Chang; Zeb, Liaqat; Xiu, Zhi-Long</t>
  </si>
  <si>
    <t>Effects of carboxymethyl chitosan adsorption on bioactive components of Antarctic krill oil</t>
  </si>
  <si>
    <t>FOOD CHEMISTRY</t>
  </si>
  <si>
    <t>Carboxymethyl chitosan adsorption; Antarctic krill oil; Antimicrobial activity; Neuroprotective activity; Fluorine content</t>
  </si>
  <si>
    <t>EUPHAUSIA-SUPERBA; EICOSAPENTAENOIC ACID; DOCOSAHEXAENOIC ACID; FATTY-ACIDS; FLUORIDE; PHOSPHOLIPIDS; EXTRACTION; OMEGA-3-FATTY-ACIDS; LIPIDS; MEAL</t>
  </si>
  <si>
    <t>High acid value (AV) and fluorine content of Antarctic krill oil (AKO) extracted from frozen krill by ethanol limit its product development. In this study, a method was proposed to reduce the AV and fluorine content of AKO by carboxymethyl chitosan (CMCS) adsorption. The optimal adsorption condition was 12.5% (w/v) of CMCS at 30celcius for 15 min. At this condition, AV and fluorine content decreased by 78.0% and 61.4%, respectively. It is interesting that CMCS adsorption showed specificity to particular substances. Although free fatty acids content showed a significant reduction, free EPA and DHA, phospholipid and astaxanthin remained almost constant. Moreover, CMCS adsorption showed no influence on neuroprotective activity of AKO against H2O2-induced neuro-damage of PC12 cells. The reclaimed CMCS showed an undiminished antimicrobial activity against both Gram-positive and Gram-negative bacteria. The CMCS adsorption shows a potential development for refining AKO and other oils in food industry.</t>
  </si>
  <si>
    <t>[Teng, Xin-Nan; Wang, Shu-Chang; Zeb, Liaqat; Xiu, Zhi-Long] Dalian Univ Technol, Sch Bioengn, Dalian 116024, Peoples R China; [Xiu, Zhi-Long] 2 Linggong Rd, Dalian 116024, Peoples R China</t>
  </si>
  <si>
    <t>Xiu, ZL (corresponding author), 2 Linggong Rd, Dalian 116024, Peoples R China.</t>
  </si>
  <si>
    <t>0308-8146</t>
  </si>
  <si>
    <t>1873-7072</t>
  </si>
  <si>
    <t>FOOD CHEM</t>
  </si>
  <si>
    <t>Food Chem.</t>
  </si>
  <si>
    <t>10.1016/j.foodchem.2022.132995</t>
  </si>
  <si>
    <t>Chemistry, Applied; Food Science &amp; Technology; Nutrition &amp; Dietetics</t>
  </si>
  <si>
    <t>Chemistry; Food Science &amp; Technology; Nutrition &amp; Dietetics</t>
  </si>
  <si>
    <t>1R0NM</t>
  </si>
  <si>
    <t>WOS:000803076600004</t>
  </si>
  <si>
    <t>Pedersen, ÅO; Convey, P; Newsham, KK; Mosbacher, JB; Fuglei, E; Ravolainen, ; Hansen, BB; Jensen, TC; Augusti, A; Biersma, EM; Cooper, EJ; Coulson, SJ; Gabrielsen, GW; Gallet, JC; Karsten, U; Kristiansen, SM; Svenning, MM; Tveit, AT; Uchida, M; Baneschi, ; Calizza, E; Cannone, N; de Goede, EM; Doveri, M; Elster, J; Giamberini, MS; Hayashi, K; Lang, S; Lee, YK; Nakatsubo, T; Pasquali, ; Paulsen, IMG; Pedersen, C; Peng, F; Provenzale, A; Pushkareva, E; Sandström, CAM; Sklet, ; Stach, A; Tojo, M; Tytgat, B; Tommervik, H; Velazquez, D; Verleyen, E; Welker, JM; Yao, YF; Loonen, MJJE</t>
  </si>
  <si>
    <t>Pedersen, A. O.; Convey, P.; Newsham, K. K.; Mosbacher, J. B.; Fuglei, E.; Ravolainen, V; Hansen, B. B.; Jensen, T. C.; Augusti, A.; Biersma, E. M.; Cooper, E. J.; Coulson, S. J.; Gabrielsen, G. W.; Gallet, J. C.; Karsten, U.; Kristiansen, S. M.; Svenning, M. M.; Tveit, A. T.; Uchida, M.; Baneschi, I; Calizza, E.; Cannone, N.; de Goede, E. M.; Doveri, M.; Elster, J.; Giamberini, M. S.; Hayashi, K.; Lang, S., I; Lee, Y. K.; Nakatsubo, T.; Pasquali, V; Paulsen, I. M. G.; Pedersen, C.; Peng, F.; Provenzale, A.; Pushkareva, E.; Sandstrom, C. A. M.; Sklet, V; Stach, A.; Tojo, M.; Tytgat, B.; Tommervik, H.; Velazquez, D.; Verleyen, E.; Welker, J. M.; Yao, Y-F; Loonen, M. J. J. E.</t>
  </si>
  <si>
    <t>Five decades of terrestrial and freshwater research at Ny-?lesund, Svalbard</t>
  </si>
  <si>
    <t>Biogeochemical cycles; climate change; ecosystem structure and functioning; environmental change; High Arctic; human impacts; soil</t>
  </si>
  <si>
    <t>HIGH-ARCTIC TUNDRA; SIMULATED ENVIRONMENTAL-CHANGE; POLYCHLORINATED-BIPHENYLS PCBS; SUCCESSIONAL GLACIER FORELAND; CARBON-ISOTOPE DISCRIMINATION; SOIL MICROBIAL SUCCESSION; CHEMICAL DENUDATION RATES; ORGANIC POLLUTANTS POPS; GEESE BRANTA LEUCOPSIS; WILLOW SALIX-POLARIS</t>
  </si>
  <si>
    <t>For more than five decades, research has been conducted at Ny-Alesund, in Svalbard, Norway, to understand the structure and functioning of High Arctic ecosystems and the profound impacts on them of environmental change. Terrestrial, freshwater, glacial and marine ecosystems are accessible year-round from Ny-Alesund, providing unique opportunities for interdisciplinary observational and experimental studies along physical, chemical, hydrological and climatic gradients. Here, we synthesize terrestrial and freshwater research at Ny-Alesund and review current knowledge of biodiversity patterns, species population dynamics and interactions, ecosystem processes, biogeochemical cycles and anthropogenic impacts. There is now strong evidence of past and ongoing biotic changes caused by climate change, including negative effects on populations of many taxa and impacts of rain-on-snow events across multiple trophic levels. While species-level characteristics and responses are well understood for macro-organisms, major knowledge gaps exist for microbes, invertebrates and ecosystem-level processes. In order to fill current knowledge gaps, we recommend (1) maintaining monitoring efforts, while establishing a longterm ecosystem-based monitoring programme; (2) gaining a mechanistic understanding of environmental change impacts on processes and linkages in food webs; (3) identifying trophic interactions and cascades across ecosystems; and (4) integrating long-term data on microbial, invertebrate and freshwater communities, along with measurements of carbon and nutrient fluxes among soils, atmosphere, freshwaters and the marine environment. The synthesis here shows that the Ny-Alesund study system has the characteristics needed to fill these gaps in knowledge, thereby enhancing our understanding of High-Arctic ecosystems and their responses to environmental variability and change.</t>
  </si>
  <si>
    <t>[Pedersen, A. O.; Mosbacher, J. B.; Fuglei, E.; Ravolainen, V; Gabrielsen, G. W.; Gallet, J. C.; Paulsen, I. M. G.; Pedersen, C.; Sklet, V] Norwegian Polar Res Inst, Tromso, Norway; [Convey, P.; Newsham, K. K.; Biersma, E. M.] British Antarctic Survey, Nat Environm Res Council, Cambridge, England; [Convey, P.] Univ Johannesburg, Dept Zool, Auckland Pk, South Africa; [Hansen, B. B.] Norwegian Univ Sci &amp; Technol, Ctr Biodivers Dynam, Dept Biol, Trondheim, Norway; [Hansen, B. B.] Norwegian Inst Nat Res, Trondheim, Norway; [Jensen, T. C.] Norwegian Inst Nat Res, Oslo, Norway; [Augusti, A.] Res Inst Terr Ecosyst, Consiglio Nazl Ric, Porano, Italy; [Biersma, E. M.] Univ Copenhagen, Nat Hist Museum Denmark, Copenhagen, Denmark; [Cooper, E. J.; Svenning, M. M.; Tveit, A. T.] UiT Arctic Univ Norway, Dept Arctic &amp; Marine Biol, Tromso, Norway; [Coulson, S. J.] Swedish Univ Agr Sci, SLU Swedish Species Informat Ctr, Uppsala, Sweden; [Karsten, U.; Pushkareva, E.] Univ Rostock, Dept Appl Ecol &amp; Phycol, Rostock, Germany; [Kristiansen, S. M.] Univ Oslo, Dept Biosci, Oslo, Norway; [Uchida, M.] Natl Inst Polar Res, Tokyo, Japan; [Uchida, M.] Grad Univ Adv Studies, Tokyo, Japan; [Baneschi, I; Doveri, M.; Giamberini, M. S.; Provenzale, A.] Inst Geosci &amp; Earth Resources, Consiglio Nazl Ric, Pisa, Italy; [Calizza, E.] Sapienza Univ Rome, Dept Environm Biol, Rome, Italy; [Cannone, N.] Insubria Univ, Dept Sci &amp; Technol, Como, Italy; [de Goede, E. M.] Leiden Univ, Inst Environm Sci, Leiden, Netherlands; [Elster, J.] Univ South Bohemia, Fac Sci, Ctr Polar Ecol, Trebon, Czech Republic; [Hayashi, K.] Inst Agroenvironm Sci, Ibaraki, Japan; [Lang, S., I] Univ Ctr Svalbard, Dept Arctic Biol, Longyearbyen, Norway; [Lee, Y. K.] Korea Polar Res Inst, Incheon, South Korea; [Nakatsubo, T.] Hiroshima Univ, Grad Sch Integrated Sci Life, Hiroshima, Japan; [Pasquali, V] Sapienza Univ Rome, Sect Neurosci, Rome, Italy; [Peng, F.] Wuhan Univ, Coll Life Sci, China Ctr Type Culture Collect, Wuhan, Peoples R China; [Sandstrom, C. A. M.; Loonen, M. J. J. E.] Univ Groningen, Arctic Ctr, Groningen, Netherlands; [Stach, A.] Adam Mickiewicz Univ, Fac Geog &amp; Geol Sci, Inst Geoecol &amp; Geoinformat, Poznan, Poland; [Tojo, M.] Osaka Prefecture Univ, Grad Sch Life &amp; Environm Sci, Osaka, Japan; [Tytgat, B.; Verleyen, E.] Univ Ghent, Lab Protistol &amp; Aquat Ecol, Ghent, Belgium; [Tommervik, H.] Norwegian Inst Nat Res, Tromso, Norway; [Velazquez, D.] Univ Autonoma Madrid, Dept Biol, Madrid, Spain; [Welker, J. M.] Univ Alaska Anchorage, Dept Biol Sci, Anchorage, AK USA; [Welker, J. M.] Univ Oulu, Ecol &amp; Genet Res Unit, Oulu, Finland; [Yao, Y-F] Chinese Acad Sci, Inst Bot, State Key Lab Systemat &amp; Evolutionary Bot, Beijing, Peoples R China</t>
  </si>
  <si>
    <t>Norwegian Polar Institute; UK Research &amp; Innovation (UKRI); Natural Environment Research Council (NERC); NERC British Antarctic Survey; University of Johannesburg; Norwegian University of Science &amp; Technology (NTNU); Norwegian Institute Nature Research; Norwegian Institute Nature Research; Consiglio Nazionale delle Ricerche (CNR); Istituto di Ricerca sugli Ecosistemi Terrestri (IRET); University of Copenhagen; UiT The Arctic University of Tromso; Swedish University of Agricultural Sciences; University of Rostock; University of Oslo; Research Organization of Information &amp; Systems (ROIS); National Institute of Polar Research (NIPR) - Japan; Graduate University for Advanced Studies - Japan; Consiglio Nazionale delle Ricerche (CNR); Istituto di Geoscienze e Georisorse (IGG-CNR); Sapienza University Rome; University of Insubria; Leiden University - Excl LUMC; Leiden University; University of South Bohemia Ceske Budejovice; University Centre Svalbard (UNIS); Korea Polar Research Institute (KOPRI); Hiroshima University; Sapienza University Rome; Wuhan University; University of Groningen; Adam Mickiewicz University; Osaka Metropolitan University; Ghent University; Norwegian Institute Nature Research; Autonomous University of Madrid; University of Alaska System; University of Alaska Anchorage; University of Oulu; Chinese Academy of Sciences; Institute of Botany, CAS</t>
  </si>
  <si>
    <t>Pedersen, ÅO (corresponding author), Norwegian Polar Res Inst, Fram Ctr, POB 6606, NO-9296 Tromso, Norway.</t>
  </si>
  <si>
    <t>aashild.pedersen@npolar.no</t>
  </si>
  <si>
    <t>Kristiansen, Søren M/A-4833-2012; Convey, Peter/AAV-5728-2020; Biersma, Elisabeth Machteld/JKI-1084-2023; Jensen, Thomas/IXD-5451-2023; Biersma, Elisabeth Machteld/AAL-9818-2020; Gabrielsen, Geir Wing/JDC-6415-2023; Tømmervik, Hans/AAK-7042-2021; Velazquez, David/M-2309-2017; Baneschi, Ilaria/AAC-1935-2021</t>
  </si>
  <si>
    <t>Convey, Peter/0000-0001-8497-9903; Jensen, Thomas/0000-0003-2777-2759; Biersma, Elisabeth Machteld/0000-0002-9877-2177; Tømmervik, Hans/0000-0001-7273-1695; Baneschi, Ilaria/0000-0001-6924-1599</t>
  </si>
  <si>
    <t>Svalbard Science Forum; Norwegian Research Council [ES610235, 300103]; Chinese Arctic and Antarctic Administration and Polar Research Institute of China; Belgium (Belgian Science Policy Office [BELSPRO]) [BR/175/A1/CLIMARCTIC-BE]; Germany (German Research Foundation [DFG]) [KA899/33-1]; Norway (Research Council of Norway) [270252/E50]; Spain (Ministry of Science, Innovation, and Universities of Spain [MINECO]) [PCIN2016-001, CTM2016-79741]; DFG priority programme 1158 Antarctic Research [KA899/30-14]; Japan Society for the Promotion of Science [16H05622]; National Institute of Polar Research [KP-309]; Korea Polar Research Institute [PE21450]; Ministry of Education, Youth and Sports of the Czech Republic (Czech-Indian Cooperative Scientific Research) [ltain19139]; institutional long-term research plan of the Institute of Botany of the Czech Academy of Sciences [RVO67985939]; Natural Environment Research Council; Natural Environment Research Council (UK)National Commission for Scientific and Technological Research (National Commission for Scientific and Technological Research [CONICYT]; Chile [NE/P003079/1]; Carlsberg Foundation [CF18-0267]; Netherlands Polar Programme; Nordomradene og Russland (NORRUSS) programme [233645/H30]; Svalbard Science Forum [246113/E10, 256933/E10]; Norwegian Institute for Nature Research; NPI; National Polar Long-term Observation Program of China (NaPLO); National Natural Science Foundation of China [41271222]; Research Council of Norway; Research Council of Norway independent projects support (FRIPRO) Mobility Grant Project Time and Energy [251027/RU]; European Research Council [606895]; Tromso Research Foundation Starting Grant [16_SG_ATT]; Research Council of Norway [287402]; Research Council Norway [276080, 223257, 280843]; Norwegian University of Science and Technology; University of Groningen; Uarctic Research Chairship; UiT The Arctic University of Norway; University of Oslo; Grants-in-Aid for Scientific Research [16H05622] Funding Source: KAKEN</t>
  </si>
  <si>
    <t>Svalbard Science Forum; Norwegian Research Council(Research Council of Norway); Chinese Arctic and Antarctic Administration and Polar Research Institute of China; Belgium (Belgian Science Policy Office [BELSPRO]); Germany (German Research Foundation [DFG])(German Research Foundation (DFG)); Norway (Research Council of Norway); Spain (Ministry of Science, Innovation, and Universities of Spain [MINECO]); DFG priority programme 1158 Antarctic Research; Japan Society for the Promotion of Science(Ministry of Education, Culture, Sports, Science and Technology, Japan (MEXT)Japan Society for the Promotion of Science); National Institute of Polar Research(National Institute of Polar Research (NIPR) - Japan); Korea Polar Research Institute(Korea Polar Research Institute of Marine Research Placement (KOPRI)); Ministry of Education, Youth and Sports of the Czech Republic (Czech-Indian Cooperative Scientific Research); institutional long-term research plan of the Institute of Botany of the Czech Academy of Sciences; Natural Environment Research Council(UK Research &amp; Innovation (UKRI)Natural Environment Research Council (NERC)); Natural Environment Research Council (UK)National Commission for Scientific and Technological Research (National Commission for Scientific and Technological Research [CONICYT]; Chile; Carlsberg Foundation(Carlsberg Foundation); Netherlands Polar Programme; Nordomradene og Russland (NORRUSS) programme; Svalbard Science Forum; Norwegian Institute for Nature Research(Bioforsk); NPI; National Polar Long-term Observation Program of China (NaPLO); National Natural Science Foundation of China(National Natural Science Foundation of China (NSFC)); Research Council of Norway(Research Council of Norway); Research Council of Norway independent projects support (FRIPRO) Mobility Grant Project Time and Energy; European Research Council(European Research Council (ERC)); Tromso Research Foundation Starting Grant; Research Council of Norway(Research Council of Norway); Research Council Norway(Research Council of Norway); Norwegian University of Science and Technology; University of Groningen; Uarctic Research Chairship; UiT The Arctic University of Norway; University of Oslo; Grants-in-Aid for Scientific Research(Ministry of Education, Culture, Sports, Science and Technology, Japan (MEXT)Japan Society for the Promotion of ScienceGrants-in-Aid for Scientific Research (KAKENHI))</t>
  </si>
  <si>
    <t>The Svalbard Science Forum and the Norwegian Research Council funded this study by supporting the three workshops that synthesized the knowledge on which this work is based (grant nos. ES610235 and 300103). The following organizations and programmes funded the participation of researchers in the workshops and the writing process: Chinese Arctic and Antarctic Administration and Polar Research Institute of China (F. Peng); the 2015-16 BiodivERsA Cofund call for research proposals, with the national funders of Belgium (Belgian Science Policy Office [BELSPRO] grant no. BR/175/A1/CLIMARCTIC-BE; E. Verleyen, B. Tygat), Germany (German Research Foundation [DFG] grant no. KA899/33-1; U. Karsten, E. Pushkareva), Norway (Research Council of Norway; 270252/E50; M.M. Svenning) and Spain (former Ministry of Science, Innovation, and Universities of Spain [MINECO] grant nos. PCIN2016-001 and CTM2016-79741; D. Velazquez); DFG priority programme 1158 Antarctic Research (grant no. KA899/30-14; U. Karsten); grant-inaid for Scientific Research, Japan Society for the Promotion of Science (grant no. 16H05622) and National Institute of Polar Research (project no. KP-309) (M. Uchida); Korea Polar Research Institute (grant no. PE21450; Y.K. Lee); Ministry of Education, Youth and Sports of the Czech Republic (Czech-Indian Cooperative Scientific Research, grant no. ltain19139) and the institutional long-term research plan of the Institute of Botany of the Czech Academy of Sciences (grant no. RVO67985939; J. Elster); Natural Environment Research Council core funding to the British Antarctic Survey Biodiversity, Evolution and Adaptation Team (E.M. Biersma, P. Convey, K.K. Newsham); Natural Environment Research Council (UK)National Commission for Scientific and Technological Research (National Commission for Scientific and Technological Research [CONICYT]; Chile; grant no. NE/P003079/1) and the Carlsberg Foundation (grant no. CF18-0267; E.M. Biersma); Netherlands Polar Programme (E.M. de Goede, M.J.J.E. Loonen, C.A.M. Sandstom); Nordomradene og Russland (NORRUSS) programme (grant no. 233645/H30; M.M. Svenning); Svalbard Science Forum (Arctic Field Grants nos. 246113/E10 and 256933/E10; E.M. Rainer); Norwegian Institute for Nature Research (T.C. Jensen); NPI (E. Fuglei, G.-W. Gabrielsen, J.C. Gallet, J. Mosbacher, A.O. Pedersen, V. Ravolainen); the National Polar Long-term Observation Program of China (NaPLO) and National Natural Science Foundation of China (grant no. 41271222) (Y.-F. Yao); the Research Council of Norway (M.M. Svenning, A.T. Tveit); the Research Council of Norway independent projects support (FRIPRO) Mobility Grant Project Time and Energy (project no. 251027/RU), co-funded by the European Research Council under Marie Curie grant no. 606895, and Tromso Research Foundation Starting Grant to the project Cells in the Cold (grant no. 16_SG_ATT; A.T. Tveit); the Research Council of Norway (grant no. 287402) and Norwegian Institute for Nature Research (H. Tommervik); the Research Council Norway (grant nos. 276080 and 223257) and Norwegian University of Science and Technology (B.B. Hansen); University of Groningen (M.J.J.E. Loonen); Uarctic Research Chairship (J. Welker); UiT The Arctic University of Norway (E. Cooper, M.M. Svenning and A.T. Tveit); University of Oslo and Research Council of Norway (grant no. 280843; S.M. Kristiansen).</t>
  </si>
  <si>
    <t>APR 19</t>
  </si>
  <si>
    <t>10.33265/polar.v41.6310</t>
  </si>
  <si>
    <t>1F3OG</t>
  </si>
  <si>
    <t>gold, Green Published, Green Accepted</t>
  </si>
  <si>
    <t>WOS:000795079800001</t>
  </si>
  <si>
    <t>Nikolaivits, E; Taxeidis, G; Gkountela, C; Vouyiouka, S; Maslak, V; Nikodinovic-Runic, J; Topakas, E</t>
  </si>
  <si>
    <t>Nikolaivits, Efstratios; Taxeidis, George; Gkountela, Christina; Vouyiouka, Stamatina; Maslak, Veselin; Nikodinovic-Runic, Jasmina; Topakas, Evangelos</t>
  </si>
  <si>
    <t>A polyesterase from the Antarctic bacterium Moraxella sp. degrades highly crystalline synthetic polymers</t>
  </si>
  <si>
    <t>JOURNAL OF HAZARDOUS MATERIALS</t>
  </si>
  <si>
    <t>Plastics degradation; Poly(ethylene terephthalate); Polycaprolactone; Enzyme; Polyesters</t>
  </si>
  <si>
    <t>MELTING BEHAVIOR; DEGRADATION; ACID; STABILIZATION; FEATURES; CUTINASE; BLENDS</t>
  </si>
  <si>
    <t>The uncontrolled release of plastics in the environment has rendered them ubiquitous around the planet, threatening the wildlife and human health. Biodegradation and valorization of plastics has emerged as an ecofriendly alternative to conventional management techniques. Discovery of novel polymer-degrading enzymes with diversified properties is hence an important task in order to explore different operational conditions for plastic-waste upcycling. In the present study, a barely studied psychrophilic enzyme (MoPE) from the Antractic bacterium Moraxella sp. was heterologously expressed, characterized and its potential in polymer degradation was further investigated. Based on its amino acid composition and structure, MoPE resembled PET-degrading enzymes, sharing features from both mesophilic and thermophilic homologues. MoPE hydrolyzes nonbiodegradable plastics, such as polyethylene terephthalate and polyurethane, as well as biodegradable</t>
  </si>
  <si>
    <t>[Nikolaivits, Efstratios; Taxeidis, George; Topakas, Evangelos] Natl Tech Univ Athens, Sch Chem Engn, Biotechnol Lab, Ind Biotechnol &amp; Biocatalysis Grp, Athens, Greece; [Gkountela, Christina; Vouyiouka, Stamatina] Natl Tech Univ Athens, Sch Chem Engn, Lab Polymer Technol, Athens, Greece; [Maslak, Veselin] Univ Belgrade, Fac Chem, Belgrade, Serbia; [Nikodinovic-Runic, Jasmina] Univ Belgrade, Inst Mol Genet &amp; Genet Engn, Lab Microbial Mol Genet &amp; Ecol, Ecobiotechnol &amp; Drug Dev Grp, Belgrade, Serbia</t>
  </si>
  <si>
    <t>National Technical University of Athens; National Technical University of Athens; University of Belgrade; University of Belgrade</t>
  </si>
  <si>
    <t>Topakas, E (corresponding author), Natl Tech Univ Athens, Sch Chem Engn, Biotechnol Lab, Ind Biotechnol &amp; Biocatalysis Grp, Athens, Greece.</t>
  </si>
  <si>
    <t>vtopakas@chemeng.ntua.gr</t>
  </si>
  <si>
    <t>Nikolaivits, Efstratios/L-1491-2019; Nikodinovic-Runic, Jasmina/ABD-4022-2020; Topakas, Evangelos/J-7554-2019</t>
  </si>
  <si>
    <t>Nikolaivits, Efstratios/0000-0002-8022-9272; Topakas, Evangelos/0000-0003-0078-5904; Taxeidis, George/0000-0002-2881-7608; Vouyiouka, Stamatina/0000-0003-3764-1170; Gkountela, Christina/0000-0002-3025-2781</t>
  </si>
  <si>
    <t>European Union [870292]; National Natural Science Foundation of China [31961133016, 31961133015, 31961133014]</t>
  </si>
  <si>
    <t>European Union(European Union (EU)); National Natural Science Foundation of China(National Natural Science Foundation of China (NSFC))</t>
  </si>
  <si>
    <t>This research was funded by European Union's Horizon 2020 research and innovation programme under grant agreement No 870292 (BioICEP Project) and by National Natural Science Foundation of China (Nos. 31961133016, 31961133015, and 31961133014).</t>
  </si>
  <si>
    <t>0304-3894</t>
  </si>
  <si>
    <t>1873-3336</t>
  </si>
  <si>
    <t>J HAZARD MATER</t>
  </si>
  <si>
    <t>J. Hazard. Mater.</t>
  </si>
  <si>
    <t>10.1016/j.jhazmat.2022.128900</t>
  </si>
  <si>
    <t>1D0WF</t>
  </si>
  <si>
    <t>WOS:000793529700003</t>
  </si>
  <si>
    <t>Zhang, X; Zhang, XM; Zhang, ZF; Yang, PF; Li, YF; Cai, MH; Kallenborn, R</t>
  </si>
  <si>
    <t>Zhang, Xue; Zhang, Xianming; Zhang, Zi-Feng; Yang, Pu-Fei; Li, Yi-Fan; Cai, Minghong; Kallenborn, Roland</t>
  </si>
  <si>
    <t>Pesticides in the atmosphere and seawater in a transect study from the Western Pacific to the Southern Ocean: The importance of continental discharges and air-seawater exchange</t>
  </si>
  <si>
    <t>WATER RESEARCH</t>
  </si>
  <si>
    <t>Pesticides; Southern ocean; Source characterization; Air-seawater exchange</t>
  </si>
  <si>
    <t>PERSISTENT ORGANIC POLLUTANTS; WATER GAS-EXCHANGE; LONG-RANGE TRANSPORT; ORGANOCHLORINE PESTICIDES; POLYCHLORINATED-BIPHENYLS; NORTH-ATLANTIC; CANADIAN ARCHIPELAGO; SURFACE SEAWATER; ALPHA-HCH; CHINA SEA</t>
  </si>
  <si>
    <t>The global oceans are known as terminal sink or secondary source for diffusive emission of organochlorine pesticides (OCPs) and selected current used pesticides (CUPs) into the overlaying atmosphere. Many pesticides have been widely produced worldwide, subsequently applied, and released into the environment. However, information on the occurrence patterns, spatial variability, and air-seawater exchange of pesticides is limited to easily accessible regions and, hence, only few studies are reported from the remote Southern Ocean. To fill this information gap, a large-scale ship-based sampling campaign was conducted. In the samples from this campaign, we measured concentrations of 221 pesticides. Both gaseous and aqueous samples were collected along a sampling transect from the western Pacific to the Southern Ocean (19.75 N-76.16 S) from November 2018 to March 2019. Twenty-seven individual pesticides were frequently (&gt;= 50%) detected in gaseous and aqueous samples. Tebuconazole, diphenylamine, myclobutanil, and hexachlorobenzene (HCB) dominated the composition profile in both phases. Spatial trends analysis in atmospheric and seawater concentrations showed a substantial level reduction from the western Pacific towards the Southern Ocean. Back-trajectory analysis showed that atmo-spheric pesticide concentrations were strongly influenced by air masses origins. Continental and riverine inputs are important sources of pesticides in the western Pacific and Indian Oceans. Atmospheric and seawater concentrations for the target pesticide residues in the Southern Ocean are low and evenly distributed due to the large distance from potential pollution sources as well as the effective isolation by the Antarctic Convergence (AC). Air-seawater fugacity ratios and fluxes indicated that the western Pacific and Indian Oceans were secondary sources for most pesticides emitted to the atmosphere, while the Southern Ocean was still considered to be a sink.</t>
  </si>
  <si>
    <t>[Zhang, Xue; Zhang, Zi-Feng; Yang, Pu-Fei; Li, Yi-Fan; Kallenborn, Roland] Harbin Inst Technol, State Key Lab Urban Water Resource &amp; Environm, Int Joint Res Ctr Persistent Toxic Subst IJRC PTS, Harbin 150090, Peoples R China; [Zhang, Xue; Zhang, Zi-Feng; Yang, Pu-Fei; Li, Yi-Fan; Kallenborn, Roland] Harbin Inst Technol, Polar Acad, Int Joint Res Ctr Arctic Environm &amp; Ecosyst IJRC, Harbin 150090, Peoples R China; [Zhang, Xue; Zhang, Zi-Feng; Yang, Pu-Fei; Li, Yi-Fan] Harbin Inst Technol HIT, Heilongjiang Prov Key Lab Polar Environm &amp; Ecosys, Harbin 150090, Peoples R China; [Zhang, Xianming] Concordia Univ, Dept Chem &amp; Biochem, 7141 Sherbrooke St West, Montreal, PQ H4B 1R6, Canada; [Li, Yi-Fan] IJRC PTS NA, Toronto, ON M2N 6X9, Canada; [Cai, Minghong] Polar Res Inst China, Minist Nat Resources Key Lab Polar Sci, 451 Jinqiao Rd, Shanghai 200136, Peoples R China; [Cai, Minghong] Shanghai Jiao Tong Univ, Sch Oceanog, 1954 Huashan Rd, Shanghai 200030, Peoples R China; [Kallenborn, Roland] Norwegian Univ Life Sci NMBU, Fac Chem Biotechnol &amp; Food Sci KBM, As, Norway</t>
  </si>
  <si>
    <t>Harbin Institute of Technology; Harbin Institute of Technology; Harbin Institute of Technology; Concordia University - Canada; Polar Research Institute of China; Shanghai Jiao Tong University; Norwegian University of Life Sciences</t>
  </si>
  <si>
    <t>Zhang, ZF (corresponding author), Harbin Inst Technol, State Key Lab Urban Water Resource &amp; Environm, Int Joint Res Ctr Persistent Toxic Subst IJRC PTS, Harbin 150090, Peoples R China.;Zhang, ZF (corresponding author), Harbin Inst Technol, Polar Acad, Int Joint Res Ctr Arctic Environm &amp; Ecosyst IJRC, Harbin 150090, Peoples R China.;Zhang, ZF (corresponding author), Harbin Inst Technol HIT, Heilongjiang Prov Key Lab Polar Environm &amp; Ecosys, Harbin 150090, Peoples R China.;Cai, MH (corresponding author), Polar Res Inst China, Minist Nat Resources Key Lab Polar Sci, 451 Jinqiao Rd, Shanghai 200136, Peoples R China.;Cai, MH (corresponding author), Shanghai Jiao Tong Univ, Sch Oceanog, 1954 Huashan Rd, Shanghai 200030, Peoples R China.</t>
  </si>
  <si>
    <t>zifeng_zhang@aliyun.com; caiminghong@pric.org.cn</t>
  </si>
  <si>
    <t>LI, yi/HKO-0480-2023; zhang, xian/GYA-0290-2022; Li, Yifan/JCE-0660-2023; Li, Yifan/HGA-6843-2022; zhang, xian/JAC-5480-2023; ZHANG, XIAOLONG/IZQ-4553-2023; Zhang, XZ/HJA-4189-2022; Liu, Yi/HTN-4916-2023; Kallenborn, Roland/F-8368-2011; Zhang, Zi-Feng/GPT-2243-2022; Li, Yifan/IAQ-2592-2023; li, yifei/IWU-7824-2023; Zhang, Xianming/A-2926-2010</t>
  </si>
  <si>
    <t>Li, Yifan/0000-0002-3249-1778; Li, Yifan/0000-0002-3249-1778; Kallenborn, Roland/0000-0003-1703-2538; Li, Yifan/0000-0002-9243-0264; Zhang, Xianming/0000-0002-5301-7899; Zhang, Zifeng/0000-0001-6439-4975</t>
  </si>
  <si>
    <t>open project of State Key Laboratory of Urban Water Resource and Environment, Harbin Institute of Technology [ESK202005]; UArctic Project Grants (Arctic-CEEP, UA 04/2020) , Norway; Heilongjiang Touyan Team, China</t>
  </si>
  <si>
    <t>open project of State Key Laboratory of Urban Water Resource and Environment, Harbin Institute of Technology; UArctic Project Grants (Arctic-CEEP, UA 04/2020) , Norway; Heilongjiang Touyan Team, China</t>
  </si>
  <si>
    <t>This study was supported by open project of State Key Laboratory of Urban Water Resource and Environment, Harbin Institute of Technology (No. ESK202005) and UArctic Project Grants (Arctic-CEEP, UA 04/2020) , Norway. This study was also supported by Heilongjiang Touyan Team, China.</t>
  </si>
  <si>
    <t>0043-1354</t>
  </si>
  <si>
    <t>1879-2448</t>
  </si>
  <si>
    <t>WATER RES</t>
  </si>
  <si>
    <t>Water Res.</t>
  </si>
  <si>
    <t>10.1016/j.watres.2022.118439</t>
  </si>
  <si>
    <t>Engineering, Environmental; Environmental Sciences; Water Resources</t>
  </si>
  <si>
    <t>Engineering; Environmental Sciences &amp; Ecology; Water Resources</t>
  </si>
  <si>
    <t>1E0MN</t>
  </si>
  <si>
    <t>WOS:000794190800002</t>
  </si>
  <si>
    <t>Weber, ME; Bailey, I; Hemming, SR; Martos, YM; Reilly, BT; Ronge, TA; Brachfeld, S; Williams, T; Raymo, M; Belt, ST; Smik, L; Vogel, H; Peck, VL; Armbrecht, L; Cage, A; Cardillo, FG; Du, ZH; Fauth, G; Fogwill, CJ; Garcia, M; Garnsworthy, M; Glüder, A; Guitard, M; Gutjahr, M; Hernández-Almeida, I; Hoem, FS; Hwang, JH; Iizuka, M; Kato, Y; Kenlee, B; OConnell, S; Pérez, LF; Seki, O; Stevens, L; Tauxe, L; Tripathi, S; Warnock, J; Zheng, XF</t>
  </si>
  <si>
    <t>Weber, Michael E.; Bailey, Ian; Hemming, Sidney R.; Martos, Yasmina M.; Reilly, Brendan T.; Ronge, Thomas A.; Brachfeld, Stefanie; Williams, Trevor; Raymo, Maureen; Belt, Simon T.; Smik, Lukas; Vogel, Hendrik; Peck, Victoria L.; Armbrecht, Linda; Cage, Alix; Cardillo, Fabricio G.; Du, Zhiheng; Fauth, Gerson; Fogwill, Christopher J.; Garcia, Marga; Garnsworthy, Marlo; Glueder, Anna; Guitard, Michelle; Gutjahr, Marcus; Hernandez-Almeida, Ivan; Hoem, Frida S.; Ji-Hwan Hwang; Iizuka, Mutsumi; Kato, Yuji; Kenlee, Bridget; OConnell, Suzanne; Perez, Lara F.; Seki, Osamu; Stevens, Lee; Tauxe, Lisa; Tripathi, Shubham; Warnock, Jonathan; Zheng, Xufeng</t>
  </si>
  <si>
    <t>Antiphased dust deposition and productivity in the Antarctic Zone over 1.5 million years</t>
  </si>
  <si>
    <t>LAST GLACIAL MAXIMUM; SOUTHERN-OCEAN; SEA-ICE; SCOTIA SEA; TERRIGENOUS SEDIMENT; ATLANTIC SECTOR; TRANSPORT; DYNAMICS; SHEET; DEEP</t>
  </si>
  <si>
    <t>The Southern Ocean paleoceanography provides key insights into how iron fertilization and oceanic productivity developed through Pleistocene ice-ages and their role in influencing the carbon cycle. We report a high-resolution record of dust deposition and ocean productivity for the Antarctic Zone, close to the main dust source, Patagonia. Our deep-ocean records cover the last 1.5 Ma, thus doubling that from Antarctic ice-cores. We find a 5 to 15-fold increase in dust deposition during glacials and a 2 to 5-fold increase in biogenic silica deposition, reflecting higher ocean productivity during interglacials. This antiphasing persisted throughout the last 25 glacial cycles. Dust deposition became more pronounced across the Mid-Pleistocene Transition (MPT) in the Southern Hemisphere, with an abrupt shift suggesting more severe glaciations since similar to 0.9 Ma. Productivity was intermediate pre-MPT, lowest during the MPT and highest since 0.4 Ma. Generally, glacials experienced extended sea-ice cover, reduced bottom-water export and Weddell Gyre dynamics, which helped lower atmospheric CO2 levels.</t>
  </si>
  <si>
    <t>[Weber, Michael E.] Univ Bonn, Inst Geosci, Dept Geochem &amp; Petrol, D-53115 Bonn, Germany; [Bailey, Ian] Univ Exeter, Camborne Sch Mines, Penryn Campus,Treliever Rd, Cornwall TR10 9FE, England; [Bailey, Ian] Univ Exeter, Environm Sustainabil Inst, Penryn Campus,Treliever Rd, Cornwall TR10 9FE, England; [Hemming, Sidney R.; Raymo, Maureen] Columbia Univ, Lamont Doherty Earth Observ, Palisades, NY 10964 USA; [Martos, Yasmina M.] NASA Goddard Space Flight Ctr, Planetary Magnetospheres Lab, Greenbelt, MD 20771 USA; [Martos, Yasmina M.] Univ Maryland, Dept Astron, College Pk, MD 20742 USA; [Reilly, Brendan T.; Tauxe, Lisa] Univ Calif San Diego, Scripps Inst Oceanog, La Jolla, CA 92093 USA; [Ronge, Thomas A.] Helmholtz Ctr Polar &amp; Marine Res, Alfred Wegener Inst, D-27568 Bremerhaven, Germany; [Brachfeld, Stefanie] Montclair State Univ, Earth &amp; Environm Studies, Montclair, NJ 07043 USA; [Williams, Trevor] Texas Univ, Int Ocean Discovery Program, College Stn, TX 77845 USA; [Belt, Simon T.; Smik, Lukas] Univ Plymouth, Sch Geog Earth &amp; Environm Sci, Plymouth PL4 8AA, Devon, England; [Vogel, Hendrik] Univ Bern, Inst Geol Sci, CH-3012 Bern, Switzerland; [Vogel, Hendrik] Univ Bern, Oeschger Ctr Climate Change Res, CH-3012 Bern, Switzerland; [Peck, Victoria L.] British Antarctic Survey, Cambridge CB3 0ET, England; [Armbrecht, Linda] Univ Tasmania, Inst Marine &amp; Antarctic Studies IMAS, Hobart, Tas 7904, Australia; [Cage, Alix] Keele Univ, Sch Geog Geol &amp; Environm, Keele ST5 5BG, Staffs, England; [Cardillo, Fabricio G.] Minist Def, Serv Hidrog Naval, Dept Oceanog, Buenos Aires C1270ABV, Buenos Aires, DF, Argentina; [Du, Zhiheng] Northwest Inst Ecoenvironm &amp; Resources, State Key Lab Cryospher Sci, Lanzhou 730000, Peoples R China; [Fauth, Gerson] Univ Vale Rio dos Sinos, Geol Program, BR-93022750 San Leopoldo, RS, Brazil; [Fogwill, Christopher J.] Cranfield Univ, Sch Water Energy &amp; Environm, Cranfield MK43 0AL, Beds, England; [Garcia, Marga] Andalusian Inst Earth Sci CSIC UGR, Granada 18100, Spain; [Garcia, Marga] IEO CSIC, Cadiz Oceanog Ctr, Cadiz 11003, Spain; [Garnsworthy, Marlo] Wordy Bird Studio, Wakefield, RI 02879 USA; [Glueder, Anna] Oregon State Univ, Coll Earth Ocean &amp; Atmospher Sci, Corvallis, OR 97331 USA; [Guitard, Michelle] Univ S Florida, Coliege Marine Sci, St Petersburg, FL 33701 USA; [Gutjahr, Marcus] GEOMAR Helmholtz Ctr Ocean Res Kiel, D-24148 Kiel, Germany; [Hernandez-Almeida, Ivan] Swiss Fed Inst Technol, Dept Earth Sci, Sonneggstr 5, CH-8092 Zurich, Switzerland; [Hoem, Frida S.] Univ Utrecht, Dept Earth Sci Marine Palynol &amp; Paleoceanog, NL-3584 CB Utrecht, Netherlands; [Ji-Hwan Hwang] Pukyong Natl Univ, Div Earth Environm Syst Sci, Busan 48513, South Korea; [Iizuka, Mutsumi] Tokyo City Univ, Knowledge Engn, Setagaya Ku, Tokyo 1580087, Japan; [Kato, Yuji] Univ Tsukuba, Fac Life &amp; Environm Sci, Tsukuba, Ibaraki 3058572, Japan; [Kenlee, Bridget] Univ Calif Riverside, Dept Earth Sci, Riverside, CA 92521 USA; [OConnell, Suzanne] Wesleyan Univ, Dept Earth &amp; Environm Sci, Middletown, CT 06459 USA; [Perez, Lara F.] Geol Survey Denmark &amp; Greenland, Dept Marine Geol, DK-8000 Aarhus, Denmark; [Seki, Osamu] Hokkaido Univ, Inst Low Temp Sci, Sapporo, Hokkaido 0600819, Japan; [Stevens, Lee] Amer Museum Nat Hist, 200 Cent Pk West, New York, NY 10024 USA; [Tripathi, Shubham] Minist Earth Sci, Natl Ctr Polar &amp; Ocean Res, Marine Stable Isotope Lab, Vasco Da Gama 403804, India; [Warnock, Jonathan] Indiana Univ Penn, Dept Geog Geol Environm &amp; Planning, Indiana, PA 15705 USA; [Zheng, Xufeng] Hainan Univ, State Key Lab Marine Resource Utilizat South Chin, Haikou 570228, Hainan, Peoples R China</t>
  </si>
  <si>
    <t>University of Bonn; University of Exeter; University of Exeter; Columbia University; National Aeronautics &amp; Space Administration (NASA); NASA Goddard Space Flight Center; University System of Maryland; University of Maryland College Park; University of California System; University of California San Diego; Scripps Institution of Oceanography; Helmholtz Association; Alfred Wegener Institute, Helmholtz Centre for Polar &amp; Marine Research; Montclair State University; Texas A&amp;M University System; Texas A&amp;M University College Station; University of Plymouth; University of Bern; University of Bern; UK Research &amp; Innovation (UKRI); Natural Environment Research Council (NERC); NERC British Antarctic Survey; University of Tasmania; Keele University; Servicio de Hidrografia Naval; Chinese Academy of Sciences; Universidade do Vale do Rio dos Sinos (Unisinos); Cranfield University; Consejo Superior de Investigaciones Cientificas (CSIC); CSIC - Instituto Andaluz de Ciencias de la Tierra (IACT); Oregon State University; State University System of Florida; University of South Florida; Helmholtz Association; GEOMAR Helmholtz Center for Ocean Research Kiel; Swiss Federal Institutes of Technology Domain; ETH Zurich; Utrecht University; Pukyong National University; Tokyo City University; University of Tsukuba; University of California System; University of California Riverside; Wesleyan University; Geological Survey Of Denmark &amp; Greenland; Hokkaido University; American Museum of Natural History (AMNH); Ministry of Earth Sciences (MoES) - India; National Centre for Polar and Ocean Research (NCPOR); Pennsylvania State System of Higher Education (PASSHE); Indiana University of Pennsylvania; Hainan University</t>
  </si>
  <si>
    <t>Weber, ME (corresponding author), Univ Bonn, Inst Geosci, Dept Geochem &amp; Petrol, D-53115 Bonn, Germany.</t>
  </si>
  <si>
    <t>mike.weber@uni-bonn.de</t>
  </si>
  <si>
    <t>Pérez, Lara F./H-3572-2015; Gutjahr, Marcus/L-9158-2013; Fauth, Gerson/AAE-3353-2021; Fogwill, Christopher/HPF-1150-2023; Weber, Michael E/G-8707-2012; ALMEIDA, IVAN HERNANDEZ/G-3134-2015; Garcia, Marga/L-7410-2014; Williams, Trevor/L-7670-2014; Zheng, Xufeng/HPC-4252-2023; Vogel, Hendrik/C-6148-2014; Armbrecht, Linda/GZB-0547-2022; 郑, 旭/JAO-2624-2023</t>
  </si>
  <si>
    <t>Pérez, Lara F./0000-0002-6229-4564; Gutjahr, Marcus/0000-0003-2556-2619; ALMEIDA, IVAN HERNANDEZ/0000-0002-9329-8357; Garcia, Marga/0000-0003-2632-6132; Vogel, Hendrik/0000-0002-9902-8120; Tripathi, Shubham/0000-0002-0676-4744; Fogwill, Christopher/0000-0002-6471-1106; Ronge, Thomas/0000-0003-2625-719X; Brachfeld, Stefanie/0000-0003-4612-2866; Hemming, Sidney/0000-0001-8117-2303; Belt, Simon/0000-0002-1570-2924; Kato, Yuji/0000-0001-9420-487X; Weber, Michael E/0000-0003-2175-8980; Glueder, Anna/0000-0002-2829-1204</t>
  </si>
  <si>
    <t>Natural Environmental Research Council (NERC) UK IODP grant [NE/T006609/1]; Deutsche Forschungsgemeinschaft (DFG) [We2039/17-1]; IODP U.S. Science Support Program (National Science Foundation) through Columbia University [OCE-1450528, GG009393]</t>
  </si>
  <si>
    <t>Natural Environmental Research Council (NERC) UK IODP grant; Deutsche Forschungsgemeinschaft (DFG)(German Research Foundation (DFG)); IODP U.S. Science Support Program (National Science Foundation) through Columbia University</t>
  </si>
  <si>
    <t>We are very grateful to the captain, crew, and IODP staff that made IODP Expedition 382 (Iceberg Alley) and subsequent research successful. This research used samples and/or data provided by the International Ocean Discovery Program (IODP). Funding for this research was provided by the Deutsche Forschungsgemeinschaft (DFG-Priority Programme 527, Grant We2039/17-1 (M.E.W.), a Natural Environmental Research Council (NERC) UK IODP grant NE/T006609/1 (I.B.), and the IODP U.S. Science Support Program (National Science Foundation prime award OCE-1450528) through Columbia University for all U.S.-based participants via subaward 97(GG009393).</t>
  </si>
  <si>
    <t>10.1038/s41467-022-29642-5</t>
  </si>
  <si>
    <t>0Q5ZV</t>
  </si>
  <si>
    <t>WOS:000784997300019</t>
  </si>
  <si>
    <t>Yuan, DL; Yin, XL; Li, X; Corvianawatie, C; Wang, Z; Li, Y; Yang, Y; Hu, XY; Wang, J; Tan, SW; Surinati, D; Purwandana, A; Wardana, AK; Ismail, MFA; Budiman, AS; Bayhaqi, A; Avianto, P; Santoso, PD; Kusmanto, E; Dirhamsyah; Arifin, Z; Pratt, LJ</t>
  </si>
  <si>
    <t>Yuan, Dongliang; Yin, Xueli; Li, Xiang; Corvianawatie, Corry; Wang, Zheng; Li, Yao; Yang, Ya; Hu, Xiaoyue; Wang, Jing; Tan, Shuwen; Surinati, Dewi; Purwandana, Adi; Wardana, Adhitya Kusuma; Ismail, Mochamad Furqon Azis; Budiman, Asep Sandra; Bayhaqi, Ahmad; Avianto, Praditya; Santoso, Priyadi Dwi; Kusmanto, Edi; Dirhamsyah; Arifin, Zainal; Pratt, Larry J.</t>
  </si>
  <si>
    <t>A Maluku Sea intermediate western boundary current connecting Pacific Ocean circulation to the Indonesian Throughflow</t>
  </si>
  <si>
    <t>EQUATORIAL PACIFIC; WATER MASSES; VARIABILITY; INTRUSION; MINDANAO; DYNAMICS</t>
  </si>
  <si>
    <t>The Indonesian Throughflow plays an important role in the global ocean circulation and climate. Existing studies of the Indonesian Throughflow have focused on the Makassar Strait and the exit straits, where the upper thermocline currents carry North Pacific waters to the Indian Ocean. Here we show, using mooring observations, that a previous unknown intermediate western boundary current (with the core at similar to 1000 m depth) exists in the Maluku Sea, which transports intermediate waters (primarily the Antarctic Intermediate Water) from the Pacific into the Seram-Banda Seas through the Lifamatola Passage above the bottom overflow. Our results suggest the importance of the western boundary current in global ocean intermediate circulation and overturn. We anticipate that our study is the beginning of more extensive investigations of the intermediate circulation of the Indo-Pacific ocean in global overturn, which shall improve our understanding of ocean heat and CO2 storages significantly.</t>
  </si>
  <si>
    <t>[Yuan, Dongliang; Yin, Xueli; Li, Xiang; Corvianawatie, Corry; Wang, Zheng; Li, Yao; Yang, Ya; Hu, Xiaoyue; Wang, Jing; Tan, Shuwen] Chinese Acad Sci, Key Lab Ocean Circulat &amp; Waves, Inst Oceanol, 7 Nanhai Rd, Qingdao, Peoples R China; [Yuan, Dongliang; Yin, Xueli; Li, Xiang; Corvianawatie, Corry; Wang, Zheng; Li, Yao; Yang, Ya; Hu, Xiaoyue; Wang, Jing; Tan, Shuwen] Chinese Acad Sci, Ctr Ocean Megasci, Inst Oceanol, 7 Nanhai Rd, Qingdao, Peoples R China; [Yuan, Dongliang; Yang, Ya] Minist Nat Resources, Inst Oceanog 1, Key Lab Marine Sci &amp; Numer Modeling, 6 Xianxialing Rd, Qingdao, Peoples R China; [Yuan, Dongliang; Yin, Xueli; Li, Xiang; Corvianawatie, Corry; Wang, Zheng; Li, Yao; Yang, Ya; Hu, Xiaoyue; Wang, Jing; Tan, Shuwen] Pilot Natl Lab Marine Sci &amp; Technol Qingdao, Qingdao, Peoples R China; [Yuan, Dongliang; Yang, Ya] Shandong Key Lab Marine Sci &amp; Numer Modeling, 6 Xianxialing Rd, Qingdao, Peoples R China; [Yuan, Dongliang; Yin, Xueli; Corvianawatie, Corry; Yang, Ya; Hu, Xiaoyue; Wang, Jing; Tan, Shuwen] Univ Chinese Acad Sci, Beijing, Peoples R China; [Corvianawatie, Corry; Surinati, Dewi; Purwandana, Adi; Wardana, Adhitya Kusuma; Ismail, Mochamad Furqon Azis; Budiman, Asep Sandra; Bayhaqi, Ahmad; Avianto, Praditya; Santoso, Priyadi Dwi; Kusmanto, Edi; Dirhamsyah; Arifin, Zainal] Res Ctr Oceanog Natl Res &amp; Innovat Agcy RCO BRIN, Jakarta, Indonesia; [Pratt, Larry J.] Woods Hole Oceanog Inst, Dept Phys Oceanog, Falmouth, MA USA</t>
  </si>
  <si>
    <t>Chinese Academy of Sciences; Institute of Oceanology, CAS; Chinese Academy of Sciences; Institute of Oceanology, CAS; First Institute of Oceanography, Ministry of Natural Resources; Ministry of Natural Resources of the People's Republic of China; Laoshan Laboratory; Chinese Academy of Sciences; University of Chinese Academy of Sciences, CAS; National Research &amp; Innovation Agency of Indonesia (BRIN); Woods Hole Oceanographic Institution</t>
  </si>
  <si>
    <t>Yuan, DL (corresponding author), Chinese Acad Sci, Key Lab Ocean Circulat &amp; Waves, Inst Oceanol, 7 Nanhai Rd, Qingdao, Peoples R China.;Yuan, DL (corresponding author), Chinese Acad Sci, Ctr Ocean Megasci, Inst Oceanol, 7 Nanhai Rd, Qingdao, Peoples R China.;Yuan, DL (corresponding author), Minist Nat Resources, Inst Oceanog 1, Key Lab Marine Sci &amp; Numer Modeling, 6 Xianxialing Rd, Qingdao, Peoples R China.;Yuan, DL (corresponding author), Pilot Natl Lab Marine Sci &amp; Technol Qingdao, Qingdao, Peoples R China.;Yuan, DL (corresponding author), Shandong Key Lab Marine Sci &amp; Numer Modeling, 6 Xianxialing Rd, Qingdao, Peoples R China.;Yuan, DL (corresponding author), Univ Chinese Acad Sci, Beijing, Peoples R China.</t>
  </si>
  <si>
    <t>dyuan@fio.org.cn</t>
  </si>
  <si>
    <t>Ismail, Mochamad Furqon Azis/AAD-8063-2022; Purwandana, Adi/JBJ-1768-2023; Avianto, Praditya/CAF-2946-2022</t>
  </si>
  <si>
    <t>Ismail, Mochamad Furqon Azis/0000-0002-5250-8039; Avianto, Praditya/0000-0001-5592-5367; yin, xueli/0000-0002-2578-1240; Purwandana, Adi/0000-0002-7521-4535; Arifin, Zainal/0000-0002-0016-852X; Surinati, Dewi/0000-0001-7093-8270; Wang, Zheng/0000-0003-2913-4697; Tan, Shuwen/0000-0002-4598-3472</t>
  </si>
  <si>
    <t>NSFC [41720104008, 91858204, 41776011, 41876025]; National Key Research and Development Program of China [2020YFA0608800]; CAS [XDB42000000]; Shandong Provincial [U1606402]; Kunpeng Outstanding Scholar Program of the FIO/NMR of China; QMSNL [2018SDKJ0104-02]</t>
  </si>
  <si>
    <t>NSFC(National Natural Science Foundation of China (NSFC)); National Key Research and Development Program of China; CAS(Chinese Academy of Sciences); Shandong Provincial; Kunpeng Outstanding Scholar Program of the FIO/NMR of China; QMSNL</t>
  </si>
  <si>
    <t>This study is supported by NSFC (D.Y., Z.W., Y.L., Y.Y., S.T., J.W., and X.L.: 41720104008; D.Y., J.W., Y.L., X.L., Y.Y., S.T., X.H., and X.Y.: 91858204), the National Key Research and Development Program of China (D.Y. and X.L.: 2020YFA0608800), CAS (D.Y., Z.W., J.W., and Y.L.: XDB42000000), projects. Affiliations 1 and 2 share the first position. D.Y. is supported by QMSNL (2018SDKJ0104-02), and Shandong Provincial (U1606402) and the Kunpeng Outstanding Scholar Program of the FIO/NMR of China, J.W. supported by NSFC (41776011), Z.W. by NSFC (41876025).</t>
  </si>
  <si>
    <t>10.1038/s41467-022-29617-6</t>
  </si>
  <si>
    <t>WOS:000784997300069</t>
  </si>
  <si>
    <t>Wang, JF; Luo, H; Yang, QH; Liu, JP; Yu, LJ; Shi, Q; Han, B</t>
  </si>
  <si>
    <t>Wang, Jinfei; Luo, Hao; Yang, Qinghua; Liu, Jiping; Yu, Lejiang; Shi, Qian; Han, Bo</t>
  </si>
  <si>
    <t>An Unprecedented Record Low Antarctic Sea-ice Extent during Austral Summer 2022</t>
  </si>
  <si>
    <t>ADVANCES IN ATMOSPHERIC SCIENCES</t>
  </si>
  <si>
    <t>Antarctic; record low; sea ice budget; atmospheric circulation</t>
  </si>
  <si>
    <t>ATMOSPHERIC RESPONSE; BUDGET; IMPACT</t>
  </si>
  <si>
    <t>Seasonal minimum Antarctic sea ice extent (SIE) in 2022 hit a new record low since recordkeeping began in 1978 of 1.9 million km(2) on 25 February, 0.17 million km(2) lower than the previous record low set in 2017. Significant negative anomalies in the Bellingshausen/Amundsen Seas, the Weddell Sea, and the western Indian Ocean sector led to the new record minimum. The sea ice budget analysis presented here shows that thermodynamic processes dominate sea ice loss in summer through enhanced poleward heat transport and albedo-temperature feedback. In spring, both dynamic and thermodynamic processes contribute to negative sea ice anomalies. Specifically, dynamic ice loss dominates in the Amundsen Sea as evidenced by sea ice thickness (SIT) change, while positive surface heat fluxes contribute most to sea ice melt in the Weddell Sea.</t>
  </si>
  <si>
    <t>[Wang, Jinfei; Luo, Hao; Yang, Qinghua; Shi, Qian; Han, Bo] Sun Yat Sen Univ, Sch Atmospher Sci, Zhuhai 519082, Peoples R China; [Wang, Jinfei; Luo, Hao; Yang, Qinghua; Shi, Qian; Han, Bo] Southern Marine Sci &amp; Engn Guangdong Lab Zhuhai, Zhuhai 519082, Peoples R China; [Liu, Jiping] SUNY Albany, Dept Atmospher &amp; Environm Sci, Albany, NY 12222 USA; [Yu, Lejiang] Polar Res Inst China, Minist Nat Resources, Key Lab Polar Sci, Shanghai 200136, Peoples R China</t>
  </si>
  <si>
    <t>Sun Yat Sen University; Southern Marine Science &amp; Engineering Guangdong Laboratory; Southern Marine Science &amp; Engineering Guangdong Laboratory (Zhuhai); State University of New York (SUNY) System; State University of New York (SUNY) Albany; Ministry of Natural Resources of the People's Republic of China; Polar Research Institute of China</t>
  </si>
  <si>
    <t>Han, Bo/KBC-0855-2024</t>
  </si>
  <si>
    <t>Han, Bo/0000-0002-6137-7907; Wang, Jinfei/0009-0006-8484-4949; Yang, Qinghua/0000-0002-7114-2036; Yu, Lejiang/0000-0003-0535-1937</t>
  </si>
  <si>
    <t>National Natural Science Foundation of China [41941009, 41922044, 42006191]; Guangdong Basic and Applied Basic Research Foundation [2020B1515020025]; Fundamental Research Funds for the Central Universities [19lgzd07]; Norges Forskningsrad [328886]</t>
  </si>
  <si>
    <t>National Natural Science Foundation of China(National Natural Science Foundation of China (NSFC)); Guangdong Basic and Applied Basic Research Foundation; Fundamental Research Funds for the Central Universities(Fundamental Research Funds for the Central Universities); Norges Forskningsrad(Research Council of Norway)</t>
  </si>
  <si>
    <t>The authors wish to thank the editor and two anonymous reviewers for their very helpful comments and suggestions. This is a contribution to the Year of Polar Prediction (YOPP), a flagship activity of the Polar Prediction Project (PPP), initiated by the World Weather Research Programme (WWRP) of the World Meteorological Organisation (WMO). We acknowledge the WMO WWRP for its role in coordinating this international research activity. This study is supported by the National Natural Science Foundation of China (Grant Nos. 41941009, 41922044, and 42006191), the Guangdong Basic and Applied Basic Research Foundation (Grant No. 2020B1515020025), and the Fundamental Research Funds for the Central Universities (Grant No. 19lgzd07), the Norges Forskningsrad (Grant no. 328886).</t>
  </si>
  <si>
    <t>0256-1530</t>
  </si>
  <si>
    <t>1861-9533</t>
  </si>
  <si>
    <t>ADV ATMOS SCI</t>
  </si>
  <si>
    <t>Adv. Atmos. Sci.</t>
  </si>
  <si>
    <t>10.1007/s00376-022-2087-1</t>
  </si>
  <si>
    <t>3N7CC</t>
  </si>
  <si>
    <t>WOS:000784870700008</t>
  </si>
  <si>
    <t>Chattová, B; Cahová, T; Pinseel, E; Kopalová, K; Kohler, TJ; Hrbácek, F; Van de Vijver, B; Nyvlt, D</t>
  </si>
  <si>
    <t>Chattova, Barbora; Cahova, Tereza; Pinseel, Eveline; Kopalova, Katerina; Kohler, Tyler J.; Hrbacek, Filip; van de Vijver, Bart; Nyvlt, Daniel</t>
  </si>
  <si>
    <t>Diversity, ecology, and community structure of the terrestrial diatom flora from Ulu Peninsula (James Ross Island, NE Antarctic Peninsula)</t>
  </si>
  <si>
    <t>Community analysis; Diatoms; Ecology; Soil; James Ross Island; Ulu Peninsula</t>
  </si>
  <si>
    <t>MCMURDO DRY VALLEYS; GENUS MUELLERIA BACILLARIOPHYTA; SOUTH SHETLAND ISLANDS; FRESH-WATER; BENTHIC DIATOMS; EXPERIMENTAL DESICCATION; SPECIES BACILLARIOPHYTA; LIVINGSTON ISLAND; CLEARWATER MESA; BYERS PENINSULA</t>
  </si>
  <si>
    <t>Diatoms constitute an important and diverse component of terrestrial protist communities but remain poorly studied, especially in the Antarctic realm. Here, we investigated the diversity and community structure of the terrestrial diatom flora from the Ulu Peninsula, James Ross Island (Maritime Antarctic Region) using a morphology-based dataset and physico-chemical measurements. A total of 97 taxa belonging to 27 genera was identified in 59 samples from terrestrial environments, including soils and rock walls. The flora was dominated by the genera Hantzschia, Luticola, and Humidophila. Eight distinct diatom assemblages could be distinguished and were mainly structured by differences in environmental characteristics such as vegetation coverage, moisture, conductivity, pH, and nutrient concentrations. In general, James Ross Island harboured a unique diatom flora as evidenced by very low similarity values with other (sub-)Antarctic localities. Only 16% of the taxa have a typical cosmopolitan distribution, whereas 70% showed a restricted Antarctic distribution, supporting previous indications of high species-level endemism in environments characterized by harsh abiotic conditions. In addition, several of the cosmopolitan species uncovered in this study might harbour substantial levels of hidden diversity, including endemic taxa, as previously revealed for the Pinnularia borealis species complex on James Ross Island. Taken together, the present study improves our knowledge and understanding of the diversity, ecology, and community structure of the terrestrial diatom flora of Ulu Peninsula and highlights that soils and wet rock walls represent important terrestrial habitats in this transitional zone between Maritime and Continental Antarctica.</t>
  </si>
  <si>
    <t>[Chattova, Barbora; Cahova, Tereza] Masaryk Univ, Fac Sci, Dept Bot &amp; Zool, Kotlarska 2, Brno 61137, Czech Republic; [Pinseel, Eveline] Univ Ghent, Fac Sci, Dept Biol, Protistol &amp; Aquat Ecol PAE, Krijgslaan 281-S8, B-9000 Ghent, Belgium; [Pinseel, Eveline] Univ Arkansas, Dept Biol Sci, 850 W Dickson St, Fayetteville, AR 72701 USA; [Kopalova, Katerina] Charles Univ Prague, Fac Sci, Dept Ecol, Vinicna 7, Prague 12844 2, Czech Republic; [Kopalova, Katerina] Czech Acad Sci, Inst Bot, Sect Plant Ecol, Dukelska 135, Trebon 37982, Czech Republic; [Kohler, Tyler J.] Ecole Polytech Federate Lausanne EPFL, Alpine &amp; Polar Environm Res Ctr, River Ecosyst Lab, Lausanne, Switzerland; [Hrbacek, Filip; Nyvlt, Daniel] Masaryk Univ, Fac Sci, Dept Geog, Polar GeoLab, Kotlarska 2, Brno 61137, Czech Republic; [Pinseel, Eveline; van de Vijver, Bart] Meise Bot Garden, Res Dept, Nieuwelaan 38, B-1860 Meise, Belgium; [Pinseel, Eveline; van de Vijver, Bart] Univ Antwerp, Dept Biol, ECOBE, Univ Pl 1, B-2610 Antwerp, Belgium</t>
  </si>
  <si>
    <t>Masaryk University Brno; Ghent University; University of Arkansas System; University of Arkansas Fayetteville; Charles University Prague; Czech Academy of Sciences; Institute of Botany of the Czech Academy of Sciences; Swiss Federal Institutes of Technology Domain; Ecole Polytechnique Federale de Lausanne; Masaryk University Brno; University of Antwerp</t>
  </si>
  <si>
    <t>Chattová, B (corresponding author), Masaryk Univ, Fac Sci, Dept Bot &amp; Zool, Kotlarska 2, Brno 61137, Czech Republic.</t>
  </si>
  <si>
    <t>barbora.chattova@gmail.com</t>
  </si>
  <si>
    <t>Hrbacek, Filip/ABG-4319-2020; Kohler, Tyler Joe/IUO-5352-2023; Kopalová, Kateřina/M-6207-2017; Pinseel, Eveline/ABF-5980-2020; Nyvlt, Daniel/D-5708-2011</t>
  </si>
  <si>
    <t>Hrbacek, Filip/0000-0001-5032-9216; Kohler, Tyler Joe/0000-0001-5137-4844; Pinseel, Eveline/0000-0002-1801-2187; Nyvlt, Daniel/0000-0002-6876-490X</t>
  </si>
  <si>
    <t>Simons Foundation [725407]; Belgian American Education Foundation (B.A.E. F.); Fulbright Belgium; Fund for Scientific Research-Flanders (FWO) through aspirant Grants [1104315N, 1104317N]; Czech Academy of Sciences [RVO 67985939]</t>
  </si>
  <si>
    <t>Simons Foundation; Belgian American Education Foundation (B.A.E. F.); Fulbright Belgium; Fund for Scientific Research-Flanders (FWO) through aspirant Grants(FWO); Czech Academy of Sciences(Czech Academy of Sciences)</t>
  </si>
  <si>
    <t>E.P. is supported by a grant from the Simons Foundation (award 725407), and previously benefited from grants the Belgian American Education Foundation (B.A.E. F.), Fulbright Belgium, and the Fund for Scientific Research-Flanders (FWO) through aspirant Grants 1104315N and 1104317N. This study was also supported by long-term research development project No. RVO 67985939 of the Czech Academy of Sciences.</t>
  </si>
  <si>
    <t>10.1007/s00300-022-03038-z</t>
  </si>
  <si>
    <t>WOS:000784279000001</t>
  </si>
  <si>
    <t>Cheng, J; Wang, SH; Li, G; Xu, WH; Yan, W; Luo, Y; Tian, YH; Wang, MM</t>
  </si>
  <si>
    <t>Cheng, Jun; Wang, Shuhong; Li, Gang; Xu, Weihai; Yan, Wen; Luo, Yun; Tian, Yuhang; Wang, Mingmin</t>
  </si>
  <si>
    <t>Origin of large-scale variegated reef limestones in the southern South China Sea: Implications for Miocene regional and global geological evolution</t>
  </si>
  <si>
    <t>JOURNAL OF ASIAN EARTH SCIENCES</t>
  </si>
  <si>
    <t>Variegated reef limestones; Coloration origin; Subaerial exposure; Nansha Block; Southern South China Sea</t>
  </si>
  <si>
    <t>RARE-EARTH-ELEMENTS; STRONTIUM-ISOTOPE STRATIGRAPHY; TERRA ROSSA; METEORIC DIAGENESIS; CENTRAL PHILIPPINES; CARBONATE; ATOLL; BASIN; SEQUENCE; INSIGHTS</t>
  </si>
  <si>
    <t>Marine sediments featuring special colors have always played an important role in disclosing regional or global environmental transitions and geological evolution. A deep well (Nanke-1), drilled on Meiji Atoll in 2017, penetrated Cenozoic reef strata in the central Nansha Block (also referred to as Dangerous Grounds) in the southern South China Sea (SCS) and revealed two pronounced variegated (containing colors of white, reddish and red brown) reef limestone layers in the Miocene. Similar large-scale variegated reef limestones have not been found in other reef drilling cores to date, so its coloration origin, formation mechanism and geological implications are unclear. Here, synthesized mineralogical, petrographic, and geochemical analyses demonstrated that the presence of trace amounts of amorphous microsized hematite with varying crystallinity imparted reddish or red brown colors to reef limestones. Hematite formed during meteoric water-induced karstification after the carbonate platform was exposed subaerially. Long-term exposures were mainly controlled by regional tectonic uplifts closely associated with the subduction of the proto-SCS, the seafloor spreading of the Southwest Sub-basin and the collision between blocks (i.e., the Sabah collision and the Palawan collision). The different tectonic settings have led to the different developments of carbonate platforms in the northern and southern SCS during most of the Early and Middle Miocene, but the major expansion of the high-latitude Antarctic ice sheets and the resultant significant drop in global sea level may have contributed to wide exposure of carbonate platforms both in the northern and southern SCS in the late Middle Miocene. Our studies demonstrated that the occurrences of variegated reef limestones in isolated oceanic reef carbonate platforms have great potential in indicating sub aerial exposure, regional tectonic uplift or sea level fall.</t>
  </si>
  <si>
    <t>[Cheng, Jun; Wang, Shuhong; Li, Gang; Xu, Weihai; Yan, Wen; Luo, Yun; Tian, Yuhang; Wang, Mingmin] Chinese Acad Sci, South China Sea Inst Oceanol, Key Lab Ocean &amp; Marginal Sea Geol, Innovat Acad South China Sea Ecol &amp; Environm Engn, Guangzhou 510301, Peoples R China; [Cheng, Jun; Wang, Shuhong; Li, Gang; Xu, Weihai; Yan, Wen; Luo, Yun; Tian, Yuhang; Wang, Mingmin] Southern Marine Sci &amp; Engn Guangdong Lab Guangzho, Guangzhou 511458, Peoples R China; [Cheng, Jun; Yan, Wen; Wang, Mingmin] Univ Chinese Acad Sci, Beijing 100049, Peoples R China</t>
  </si>
  <si>
    <t>Chinese Academy of Sciences; South China Sea Institute of Oceanology, CAS; Hong Kong Branch of the Southern Marine Science &amp; Engineering Guangdong Laboratory (Guangzhou); Chinese Academy of Sciences; University of Chinese Academy of Sciences, CAS</t>
  </si>
  <si>
    <t>Wang, SH; Yan, W (corresponding author), Chinese Acad Sci, South China Sea Inst Oceanol, Key Lab Ocean &amp; Marginal Sea Geol, Innovat Acad South China Sea Ecol &amp; Environm Engn, Guangzhou 510301, Peoples R China.</t>
  </si>
  <si>
    <t>wshds@scsio.ac.cn; wyan@scsio.ac.cn</t>
  </si>
  <si>
    <t>Li, Gang/0000-0002-9594-9176</t>
  </si>
  <si>
    <t>Strategic Priority Research Program of the Chinese Academy of Sciences [XDA13010102]; Key Special Project for Introduced Talents Team of Southern Marine Science and Engineering Guangdong Laboratory (Guangzhou) [GML2019ZD0206]; National Natural Science Foundation of China [41976063]</t>
  </si>
  <si>
    <t>Strategic Priority Research Program of the Chinese Academy of Sciences(Chinese Academy of Sciences); Key Special Project for Introduced Talents Team of Southern Marine Science and Engineering Guangdong Laboratory (Guangzhou); National Natural Science Foundation of China(National Natural Science Foundation of China (NSFC))</t>
  </si>
  <si>
    <t>Acknowledgements We would like to thank Editor Prof. Zhonghui Liu and two anony-mous reviewers for providing constructive suggestions to help improve this manuscript. The study is supported by the Strategic Priority Research Program of the Chinese Academy of Sciences (XDA13010102) , the Key Special Project for Introduced Talents Team of Southern Marine Science and Engineering Guangdong Laboratory (Guangzhou) (GML2019ZD0206) and the National Natural Science Foundation of China (41976063) .</t>
  </si>
  <si>
    <t>1367-9120</t>
  </si>
  <si>
    <t>1878-5786</t>
  </si>
  <si>
    <t>J ASIAN EARTH SCI</t>
  </si>
  <si>
    <t>J. Asian Earth Sci.</t>
  </si>
  <si>
    <t>10.1016/j.jseaes.2022.105202</t>
  </si>
  <si>
    <t>1H4YV</t>
  </si>
  <si>
    <t>WOS:000796550300001</t>
  </si>
  <si>
    <t>Menéndez-Blazquez, J</t>
  </si>
  <si>
    <t>Menendez-Blazquez, Javier</t>
  </si>
  <si>
    <t>The return of the South Pole sled dogs: with Amundsen's and Mawson's Antarctic expeditions</t>
  </si>
  <si>
    <t>Book Review</t>
  </si>
  <si>
    <t>[Menendez-Blazquez, Javier] CSIC, Dept Evolutionary Ecol, MNCN, C Jose Gutierrez Abascal 2, Madrid 28006, Spain</t>
  </si>
  <si>
    <t>Consejo Superior de Investigaciones Cientificas (CSIC)</t>
  </si>
  <si>
    <t>Menéndez-Blazquez, J (corresponding author), CSIC, Dept Evolutionary Ecol, MNCN, C Jose Gutierrez Abascal 2, Madrid 28006, Spain.</t>
  </si>
  <si>
    <t>jmenendezblazquez@gmail.com</t>
  </si>
  <si>
    <t>APR 18</t>
  </si>
  <si>
    <t>10.33265/polar.v41.8487</t>
  </si>
  <si>
    <t>1A5ZY</t>
  </si>
  <si>
    <t>WOS:000791835900001</t>
  </si>
  <si>
    <t>von Albedyll, L; Hendricks, S; Grodofzig, R; Krumpen, T; Arndt, S; Belter, HJ; Birnbaum, G; Cheng, B; Hoppmann, M; Hutchings, J; Itkin, P; Lei, RB; Nicolaus, M; Ricker, R; Rohde, J; Suhrhoff, M; Timofeeva, A; Watkins, D; Webster, M; Haas, C</t>
  </si>
  <si>
    <t>von Albedyll, Luisa; Hendricks, Stefan; Grodofzig, Raphael; Krumpen, Thomas; Arndt, Stefanie; Belter, H. Jakob; Birnbaum, Gerit; Cheng, Bin; Hoppmann, Mario; Hutchings, Jennifer; Itkin, Polona; Lei, Ruibo; Nicolaus, Marcel; Ricker, Robert; Rohde, Jan; Suhrhoff, Mira; Timofeeva, Anna; Watkins, Daniel; Webster, Melinda; Haas, Christian</t>
  </si>
  <si>
    <t>Thermodynamic and dynamic contributions to seasonal Arctic sea ice thickness distributions from airborne observations</t>
  </si>
  <si>
    <t>ELEMENTA-SCIENCE OF THE ANTHROPOCENE</t>
  </si>
  <si>
    <t>Sea ice thickness; Sea ice dynamics; MOSAiC; Ice mass balance; Arctic; Sea ice deformation</t>
  </si>
  <si>
    <t>MASS-BALANCE; SURFACE-ROUGHNESS; VARIABILITY; DRIFT; DEFORMATION; GREENLAND; SUMMER; NORTH; EM; TOPOGRAPHY</t>
  </si>
  <si>
    <t>Sea ice thickness is a key parameter in the polar climate and ecosystem. Thermodynamic and dynamic processes alter the sea ice thickness. The Multidisciplinary drifting Observatory for the Study of Arctic Climate (MOSAiC) expedition provided a unique opportunity to study seasonal sea ice thickness changes of the same sea ice. We analyzed 11 large-scale (similar to 50 km) airborne electromagnetic sea thickness and surface roughness surveys from October 2019 to September 2020. Data from ice mass balance and position buoys provided additional information. We found that thermodynamic growth and decay dominated the seasonal cycle with a total mean sea ice thickness increase of 1.4 m (October 2019 to June 2020) and decay of 1.2 m (June 2020 to September 2020). Ice dynamics and deformation-related processes, such as thin ice formation in leads and subsequent ridging, broadened the ice thickness distribution and contributed 30% to the increase in mean thickness. These processes caused a 1-month delay between maximum thermodynamic sea ice thickness and maximum mean ice thickness. The airborne EM measurements bridged the scales from local floe-scale measurements to Arctic-wide satellite observations and model grid cells. The spatial differences in mean sea ice thickness between the Central Observatory (&lt;10 km) of MOSAiC and the Distributed Network (&lt;50 km) were negligible in fall and only 0.2 m in late winter, but the relative abundance of thin and thick ice varied. One unexpected outcome was the large dynamic thickening in a regime where divergence prevailed on average in the western Nansen Basin in spring. We suggest that the large dynamic thickening was due to the mobile, unconsolidated sea ice pack and periodic, sub-daily motion. We demonstrate that this Lagrangian sea ice thickness data set is well suited for validating the existing redistribution theory in sea ice models. Our comprehensive description of seasonal changes of the sea ice thickness distribution is valuable for interpreting MOSAiC time series across disciplines and can be used as a reference to advance sea ice thickness modeling.</t>
  </si>
  <si>
    <t>[von Albedyll, Luisa; Hendricks, Stefan; Grodofzig, Raphael; Krumpen, Thomas; Arndt, Stefanie; Belter, H. Jakob; Birnbaum, Gerit; Hoppmann, Mario; Nicolaus, Marcel; Ricker, Robert; Rohde, Jan; Suhrhoff, Mira; Haas, Christian] Helmholtz Ctr Polar &amp; Marine Res, Alfred Wegener Inst, Bremerhaven, Germany; [Cheng, Bin] Finnish Meteorol Inst, Helsinki, Finland; [Hutchings, Jennifer; Watkins, Daniel] Oregon State Univ, Coll Earth Ocean &amp; Atmospher Sci, Corvallis, OR 97331 USA; [Itkin, Polona] UiT Arctic Univ Norway, Tromso, Norway; [Lei, Ruibo] Polar Res Inst China, Key Lab Polar Sci MNR, Shanghai, Peoples R China; [Ricker, Robert] Norwegian Res Ctr, Tromso, Norway; [Timofeeva, Anna] Arctic &amp; Antarctic Res Inst, St Petersburg, Russia; [Webster, Melinda] Univ Alaska Fairbanks, Inst Geophys, Fairbanks, AK 99775 USA; [Haas, Christian] Univ Bremen, Inst Environm Phys, Bremen, Germany</t>
  </si>
  <si>
    <t>Helmholtz Association; Alfred Wegener Institute, Helmholtz Centre for Polar &amp; Marine Research; Finnish Meteorological Institute; Oregon State University; UiT The Arctic University of Tromso; Polar Research Institute of China; Norwegian Research Centre (NORCE); Arctic &amp; Antarctic Research Institute; University of Alaska System; University of Alaska Fairbanks; University of Bremen</t>
  </si>
  <si>
    <t>von Albedyll, L (corresponding author), Helmholtz Ctr Polar &amp; Marine Res, Alfred Wegener Inst, Bremerhaven, Germany.</t>
  </si>
  <si>
    <t>luisa.von.albedyll@awi.de</t>
  </si>
  <si>
    <t>Arndt, Stefanie/AAA-6178-2021; Timofeeva, Anna/ITV-2270-2023; Krumpen, Thomas/D-5163-2011; Hoppmann, Mario/KFB-0363-2024; Hutchings, Jennifer K/P-6356-2017; Hendricks, Stefan/D-5168-2011; Nicolaus, Marcel/A-3658-2013; Ricker, Robert/Z-4214-2019</t>
  </si>
  <si>
    <t>Arndt, Stefanie/0000-0001-9782-3844; Timofeeva, Anna/0000-0002-0566-6149; Krumpen, Thomas/0000-0001-6234-8756; Hoppmann, Mario/0000-0003-1294-9531; Hendricks, Stefan/0000-0002-1412-3146; Nicolaus, Marcel/0000-0003-0903-1746; Ricker, Robert/0000-0001-6928-7757; Bunger, H. Jakob/0000-0001-9383-911X; von Albedyll, Luisa/0000-0002-6768-0368; Webster, Melinda/0000-0002-5976-9485; Watkins, Daniel/0000-0003-3173-152X</t>
  </si>
  <si>
    <t>MOSAiC project [AWI_PS122_00]; German Federal Ministry of Education and Research (BMBF); Polarstern expedition PS122 [N-2014-H-060]; AWI; National Natural Science Foundation of China [41976219]; European Union's Horizon 2020 research and innovation program [727890-INTAROS]; German Research Council (DFG) [SPP1158, AR1236/1]; NASA [80NSSC20K0658]; Open Access Publication Funds of Alfred-Wegener-Institut Helmholtz-Zentrum fur Polar-und Meeresforschung</t>
  </si>
  <si>
    <t>MOSAiC project; German Federal Ministry of Education and Research (BMBF)(Federal Ministry of Education &amp; Research (BMBF)); Polarstern expedition PS122; AWI; National Natural Science Foundation of China(National Natural Science Foundation of China (NSFC)); European Union's Horizon 2020 research and innovation program; German Research Council (DFG)(German Research Foundation (DFG)); NASA(National Aeronautics &amp; Space Administration (NASA)); Open Access Publication Funds of Alfred-Wegener-Institut Helmholtz-Zentrum fur Polar-und Meeresforschung</t>
  </si>
  <si>
    <t>Data used in this manuscript were produced as part of the international MOSAiC project with the tag MOSAiC20192020, Project ID: AWI_PS122_00. This work was mainly funded by the German Federal Ministry of Education and Research (BMBF) through financing the Alfred-Wegener-Institut Helmholtz-Zentrum fur Polar-und Meeresforschung (AWI) and the Polarstern expedition PS122 under the grant N-2014-H-060_Dethloff and the AWI through its projects: AWI_ICE and AWI_SNOW. RL was supported by the National Natural Science Foundation of China (41976219). BC was supported by the European Union's Horizon 2020 research and innovation program (727890-INTAROS). SA was supported by the German Research Council (DFG) in the framework of the priority program `Antarctic Research with comparative investigations in the Arctic ice areas' (grant nos. SPP1158 and AR1236/1). MW was supported by NASA's New Investigator Program in Earth Science (80NSSC20K0658). We acknowledge support by the Open Access Publication Funds of Alfred-Wegener-Institut Helmholtz-Zentrum fur Polar-und Meeresforschung.</t>
  </si>
  <si>
    <t>UNIV CALIFORNIA PRESS</t>
  </si>
  <si>
    <t>OAKLAND</t>
  </si>
  <si>
    <t>155 GRAND AVE, SUITE 400, OAKLAND, CA 94612-3758 USA</t>
  </si>
  <si>
    <t>2325-1026</t>
  </si>
  <si>
    <t>ELEMENTA-SCI ANTHROP</t>
  </si>
  <si>
    <t>Elementa-Sci. Anthrop.</t>
  </si>
  <si>
    <t>10.1525/elementa.2021.00074</t>
  </si>
  <si>
    <t>0S5GR</t>
  </si>
  <si>
    <t>WOS:000786302600001</t>
  </si>
  <si>
    <t>Frankish, CK; Manica, A; Clay, TA; Wood, AG; Phillips, RA</t>
  </si>
  <si>
    <t>Frankish, Caitlin K.; Manica, Andrea; Clay, Thomas A.; Wood, Andrew G.; Phillips, Richard A.</t>
  </si>
  <si>
    <t>Ontogeny of movement patterns and habitat selection in juvenile albatrosses</t>
  </si>
  <si>
    <t>OIKOS</t>
  </si>
  <si>
    <t>habitat selection; ontogeny; seabird ecology; step-selection; tracking</t>
  </si>
  <si>
    <t>AREA-RESTRICTED SEARCH; WANDERING ALBATROSS; MIGRATION STRATEGIES; RESOURCE SELECTION; FORAGING ECOLOGY; MARINE PREDATOR; ANIMAL MOVEMENT; LIFE; WIND; DYNAMICS</t>
  </si>
  <si>
    <t>Optimal selection of foraging habitats is key to survival, but it remains unclear how naive individuals are able to locate patchily-distributed resources and maximize energy gain in completely new environments. In most animals, juveniles disperse unaccompanied by their parents, and hence their movements are likely guided, at least at fine scales, by external cues. However, the extent to which environmental processes and individual learning shape habitat selection and movement strategies of juveniles remains unclear, especially in species with cryptic life-stages. Here, we use a mechanistic modelling framework - integrated step selection analysis - to examine the development of habitat preferences in a pelagic seabird with a prolonged period of immaturity, the grey-headed albatross Thalassarche chrysostoma. Juveniles were tracked from Bird Island, South Georgia, in two years (n = 9 in 2018 and n = 12 in 2019), using satellite transmitters (platform terminal transmitters), and we investigated ontogenetic changes in individual movement characteristics (step lengths and turning angles) in response to two environmental variables; tailwind support (which enables low-cost movement) and chlorophyll a concentration (a proxy for resources) during their first four months at sea. Naive juveniles dispersed rapidly away from South Georgia towards the same general region (subantarctic and subtropical waters in the east Atlantic Ocean) by increasing their travel speeds and directional persistence in response to favourable wind conditions. In the first month post-fledging, juveniles also responded to local resource availability (chlorophyll a concentration) by reducing travel speeds in more productive regions, but thereafter engaged in comparatively slower and more sinuous movements, apparently focusing foraging effort on frontal zones. While complex movement strategies such as long-distance migrations may take several years to develop, our results indicate that dispersing juveniles are able to respond rapidly both to changes in wind and local resource availability, maximising flight and foraging efficiency.</t>
  </si>
  <si>
    <t>[Frankish, Caitlin K.; Wood, Andrew G.; Phillips, Richard A.] Natl Environm Res Council, British Antarctic Survey, Cambridge, England; [Frankish, Caitlin K.; Manica, Andrea] Univ Cambridge, Dept Zool, Cambridge, England; [Clay, Thomas A.] Univ Liverpool, Sch Environm Sci, Liverpool, Merseyside, England; [Clay, Thomas A.] Univ Calif Santa Cruz, Inst Marine Sci, Santa Cruz, CA 95064 USA</t>
  </si>
  <si>
    <t>UK Research &amp; Innovation (UKRI); Natural Environment Research Council (NERC); NERC British Antarctic Survey; University of Cambridge; University of Liverpool; University of California System; University of California Santa Cruz</t>
  </si>
  <si>
    <t>Frankish, CK (corresponding author), Natl Environm Res Council, British Antarctic Survey, Cambridge, England.;Frankish, CK (corresponding author), Univ Cambridge, Dept Zool, Cambridge, England.</t>
  </si>
  <si>
    <t>ckf@ecos.au.dk</t>
  </si>
  <si>
    <t>Manica, Andrea/N-9013-2019; Clay, Tommy/W-4867-2019</t>
  </si>
  <si>
    <t>Manica, Andrea/0000-0003-1895-450X; Clay, Tommy/0000-0002-0644-6105; Frankish, Caitlin Kim/0000-0002-4930-6153</t>
  </si>
  <si>
    <t>NERC [NE/L002507/1]; David and Lucile Packard Foundation, through the BirdLife International Global Seabird Programme; South Georgia Heritage Trust; Government of South Georgia; South Sandwich Islands; CASE from the Royal Society for the Protection of Birds (RSPB)</t>
  </si>
  <si>
    <t>NERC(UK Research &amp; Innovation (UKRI)Natural Environment Research Council (NERC)); David and Lucile Packard Foundation, through the BirdLife International Global Seabird Programme; South Georgia Heritage Trust; Government of South Georgia; South Sandwich Islands; CASE from the Royal Society for the Protection of Birds (RSPB)</t>
  </si>
  <si>
    <t>This study represents a contribution to the Ecosystems component of the British Antarctic Survey Polar Science for Planet Earth Programme, funded by NERC. The tracking devices were funded by the David and Lucile Packard Foundation, through the BirdLife International Global Seabird Programme, and by the South Georgia Heritage Trust. CFK was supported by a studentship co-funded by NERC (Grant Number: NE/L002507/1) and the Government of South Georgia and the South Sandwich Islands, with CASE funding from the Royal Society for the Protection of Birds (RSPB).</t>
  </si>
  <si>
    <t>0030-1299</t>
  </si>
  <si>
    <t>1600-0706</t>
  </si>
  <si>
    <t>Oikos</t>
  </si>
  <si>
    <t>e09057</t>
  </si>
  <si>
    <t>10.1111/oik.09057</t>
  </si>
  <si>
    <t>1S5MG</t>
  </si>
  <si>
    <t>WOS:000783163000001</t>
  </si>
  <si>
    <t>Franklin, KA; Nicoll, MAC; Butler, SJ; Norris, K; Ratcliffe, N; Nakagawa, S; Gill, JA</t>
  </si>
  <si>
    <t>Franklin, Kirsty A.; Nicoll, Malcolm A. C.; Butler, Simon J.; Norris, Ken; Ratcliffe, Norman; Nakagawa, Shinichi; Gill, Jennifer A.</t>
  </si>
  <si>
    <t>Individual repeatability of avian migration phenology: A systematic review and meta-analysis</t>
  </si>
  <si>
    <t>JOURNAL OF ANIMAL ECOLOGY</t>
  </si>
  <si>
    <t>annual cycle; bird migration; consistent individual differences; individual variation; intraclass correlation coefficient; timing</t>
  </si>
  <si>
    <t>LONG-DISTANCE MIGRANT; SPRING ARRIVAL DATES; FITNESS CONSEQUENCES; PIED FLYCATCHERS; WINTERING SITES; CLIMATE-CHANGE; CONSISTENCY; BEHAVIOR; BIRDS; EVOLUTIONARY</t>
  </si>
  <si>
    <t>Changes in phenology and distribution are being widely reported for many migratory species in response to shifting environmental conditions. Understanding these changes and the situations in which they occur can be aided by understanding consistent individual differences in phenology and distribution and the situations in which consistency varies in strength or detectability. Studies tracking the same individuals over consecutive years are increasingly reporting migratory timings to be a repeatable trait, suggesting that flexible individual responses to environmental conditions may contribute little to population-level changes in phenology and distribution. However, how this varies across species and sexes, across the annual cycle and in relation to study (tracking method, study design) and/or ecosystem characteristics is not yet clear. Here, we take advantage of the growing number of publications in movement ecology to perform a phylogenetic multilevel meta-analysis of repeatability estimates for avian migratory timings to investigate these questions. Of 2,433 reviewed studies, 54 contained suitable information for meta-analysis, resulting in 177 effect sizes from 47 species. Individual repeatability of avian migratory timings averaged 0.414 (95% confidence interval: 0.3-0.5) across landbirds, waterbirds and seabirds, suggesting consistent individual differences in migratory timings is a common feature of migratory systems. Timing of departure from the non-breeding grounds was more repeatable than timings of arrival at or departure from breeding grounds, suggesting that conditions encountered on migratory journeys and outcome of breeding attempts can influence individual variation. Population-level shifts in phenology could arise through individual timings changing with environmental conditions and/or through shifts in the numbers of individuals with different timings. Our findings suggest that, in addition to identifying the conditions associated with individual variation in phenology, exploring the causes of between-individual variation will be key in predicting future rates and directions of changes in migratory timings. We therefore encourage researchers to report the within- and between- individual variance components underpinning the reported repeatability estimates to aid interpretation of migration behaviour. In addition, the lack of studies in the tropics means that levels of repeatability in less strongly seasonal environments are not yet clear.</t>
  </si>
  <si>
    <t>[Franklin, Kirsty A.; Butler, Simon J.; Gill, Jennifer A.] Univ East Anglia, Sch Biol Sci, Norwich, Norfolk, England; [Franklin, Kirsty A.; Nicoll, Malcolm A. C.] Zool Soc London, Inst Zool, London, England; [Norris, Ken] Nat Hist Museum, London, England; [Ratcliffe, Norman] British Antarctic Survey, Cambridge, England; [Nakagawa, Shinichi] Univ New South Wales, Sch Biol Earth &amp; Environm Sci, Ecol &amp; Evolut Res Ctr, Sydney, NSW, Australia</t>
  </si>
  <si>
    <t>University of East Anglia; Zoological Society of London; Natural History Museum London; UK Research &amp; Innovation (UKRI); Natural Environment Research Council (NERC); NERC British Antarctic Survey; University of New South Wales Sydney</t>
  </si>
  <si>
    <t>Franklin, KA (corresponding author), Univ East Anglia, Sch Biol Sci, Norwich, Norfolk, England.;Franklin, KA (corresponding author), Zool Soc London, Inst Zool, London, England.</t>
  </si>
  <si>
    <t>kirsty.franklin@uea.ac.uk</t>
  </si>
  <si>
    <t>Franklin, Kirsty Ann/KBB-2532-2024; Nakagawa, Shinichi/B-5571-2011; Butler, Simon/H-1703-2011</t>
  </si>
  <si>
    <t>Nakagawa, Shinichi/0000-0002-7765-5182; Franklin, Kirsty/0000-0001-5004-9740; Butler, Simon/0000-0002-5111-5639</t>
  </si>
  <si>
    <t>British Ornithologists' Union; Natural Environment Research Council [NE/P002986/1]; NERC [NE/P002986/1] Funding Source: UKRI</t>
  </si>
  <si>
    <t>British Ornithologists' Union; Natural Environment Research Council(UK Research &amp; Innovation (UKRI)Natural Environment Research Council (NERC)); NERC(UK Research &amp; Innovation (UKRI)Natural Environment Research Council (NERC))</t>
  </si>
  <si>
    <t>British Ornithologists' Union, Grant/Award Number: Warham Studentship; Natural Environment Research Council, Grant/Award Number: NE/P002986/1</t>
  </si>
  <si>
    <t>0021-8790</t>
  </si>
  <si>
    <t>1365-2656</t>
  </si>
  <si>
    <t>J ANIM ECOL</t>
  </si>
  <si>
    <t>J. Anim. Ecol.</t>
  </si>
  <si>
    <t>10.1111/1365-2656.13697</t>
  </si>
  <si>
    <t>Ecology; Zoology</t>
  </si>
  <si>
    <t>Environmental Sciences &amp; Ecology; Zoology</t>
  </si>
  <si>
    <t>2Q6JU</t>
  </si>
  <si>
    <t>WOS:000783366700001</t>
  </si>
  <si>
    <t>Solodoch, A; Stewart, AL; Hogg, AM; Morrison, AK; Kiss, AE; Thompson, AF; Purkey, SG; Cimoli, L</t>
  </si>
  <si>
    <t>Solodoch, A.; Stewart, A. L.; Hogg, A. McC.; Morrison, A. K.; Kiss, A. E.; Thompson, A. F.; Purkey, S. G.; Cimoli, L.</t>
  </si>
  <si>
    <t>How Does Antarctic Bottom Water Cross the Southern Ocean?</t>
  </si>
  <si>
    <t>meridional overturning circulation; Antarctic Bottom Water; ocean circulation; Southern Ocean; Deep Western Boundary Currents; ocean stirring</t>
  </si>
  <si>
    <t>GLOBAL OVERTURNING CIRCULATION; WEDDELL GYRE; SEA-ICE; CIRCUMPOLAR CURRENT; DEEP; TRANSPORT; VENTILATION; PACIFIC; DENSITY; EXPORT</t>
  </si>
  <si>
    <t>Antarctic Bottom Water (AABW), which fills the global ocean abyss, is derived from dense water that forms in several distinct Antarctic shelf regions. Previous modeling studies have reached conflicting conclusions regarding export pathways of AABW across the Southern Ocean and the degree to which AABW originating from distinct source regions are blended during their export. This study addresses these questions using passive tracer deployments in a 61-year global high-resolution (0.1 degrees) ocean/sea-ice simulation. Two distinct export conduits are identified: Weddell Sea- and Prydz Bay-sourced AABW are blended together and exported mainly to the Atlantic and Indian Oceans, while Ross Sea- and Adelie Land-sourced AABW are exported mainly to the Pacific Ocean. Northward transport of each tracer occurs almost exclusively (&gt;90%) within a single conduit. These findings imply that regional changes in AABW production may impact the three-dimensional structure of the global overturning circulation.</t>
  </si>
  <si>
    <t>[Solodoch, A.; Stewart, A. L.] Univ Calif Los Angeles, Dept Atmospher &amp; Ocean Sci, Los Angeles, CA 90095 USA; [Hogg, A. McC.; Morrison, A. K.; Kiss, A. E.] Australian Natl Univ, Res Sch Earth Sci, Canberra, ACT, Australia; [Hogg, A. McC.; Kiss, A. E.] ARC Ctr Excellence Climate Extremes, Douglas, Qld, Australia; [Morrison, A. K.] Australian Ctr Excellence Antarctic Sci, Parkville, Vic, Australia; [Thompson, A. F.] CALTECH, Environm Sci &amp; Engn, Pasadena, CA 91125 USA; [Purkey, S. G.; Cimoli, L.] Scripps Inst Oceanog, UCSD, San Diego, CA USA</t>
  </si>
  <si>
    <t>University of California System; University of California Los Angeles; Australian National University; California Institute of Technology; University of California System; University of California San Diego; Scripps Institution of Oceanography</t>
  </si>
  <si>
    <t>Solodoch, A (corresponding author), Univ Calif Los Angeles, Dept Atmospher &amp; Ocean Sci, Los Angeles, CA 90095 USA.</t>
  </si>
  <si>
    <t>asolodoch@atmos.ucla.edu</t>
  </si>
  <si>
    <t>Hogg, Andy McC./A-7553-2011; Purkey, Sarah G/K-1983-2012; Kiss, Andrew E/E-7733-2016; Solodoch, Aviv/GYD-8603-2022; Morrison, Adele/C-1774-2012</t>
  </si>
  <si>
    <t>Hogg, Andy McC./0000-0001-5898-7635; Kiss, Andrew E/0000-0001-8960-9557; Purkey, Sarah/0000-0002-1893-6224; Morrison, Adele/0000-0002-9904-4980; Solodoch, Aviv/0000-0003-0701-5937; Cimoli, Laura/0000-0002-0720-8985; Stewart, Andrew/0000-0001-5861-4070</t>
  </si>
  <si>
    <t>Australian Government; National Science Foundation (NSF) [OPP-2023244]; National Aeronautics and Space Administration ROSES Physical Oceanography program [80NSSC19K1192]; Australian Research Council (ARC) DECRA Fellowship [DE170100184]; ARC grant [LP160100073]; Australian Government's Australian Antarctic Science Grant Program; NSF [OCE-2023259]; Australian Research Council [LP160100073] Funding Source: Australian Research Council</t>
  </si>
  <si>
    <t>Australian Government(Australian Government); National Science Foundation (NSF)(National Science Foundation (NSF)); National Aeronautics and Space Administration ROSES Physical Oceanography program; Australian Research Council (ARC) DECRA Fellowship(Australian Research Council); ARC grant(Australian Research Council); Australian Government's Australian Antarctic Science Grant Program(Australian Government); NSF(National Science Foundation (NSF)); Australian Research Council(Australian Research Council)</t>
  </si>
  <si>
    <t>We thank two anonymous reviewers, which have provided helpful feedback and advice. We also kindly thank Fukamachi Yasushi, of the Institute of Low Temperature Science, Hokkaido University, for sharing their observational data of velocity and temperature at the Kerguelen Plateau (Fukamachi et al., 2010) (compared with model data in Text S6 of the Supporting Information S1). This work depended on the COSIMA consortium () which provides the ACCESS-OM2 suite of models. The numerical simulations and analyses were performed with the resources of the National Computational Infrastructure (Canberra, Australia), which is supported by the Australian Government. AS and ALS were partially supported by the National Science Foundation (NSF) under Grant Nos. OPP-2023244, and by the National Aeronautics and Space Administration ROSES Physical Oceanography program under Grant No. 80NSSC19K1192. AKM was supported by the Australian Research Council (ARC) DECRA Fellowship DE170100184. AEK was funded by ARC grant LP160100073 and the Australian Government's Australian Antarctic Science Grant Program. AFT was partially supported by NSF grant OCE-2023259.</t>
  </si>
  <si>
    <t>APR 16</t>
  </si>
  <si>
    <t>e2021GL097211</t>
  </si>
  <si>
    <t>10.1029/2021GL097211</t>
  </si>
  <si>
    <t>0M9EA</t>
  </si>
  <si>
    <t>WOS:000782449400005</t>
  </si>
  <si>
    <t>Trusel, LD; Pan, ZL; Moussavi, M</t>
  </si>
  <si>
    <t>Trusel, Luke D.; Pan, Zhuolai; Moussavi, Mahsa</t>
  </si>
  <si>
    <t>Repeated Tidally Induced Hydrofracture of a Supraglacial Lake at the Amery Ice Shelf Grounding Zone</t>
  </si>
  <si>
    <t>ice shelves; snowmelt; remote sensing; ice sheets; glaciology</t>
  </si>
  <si>
    <t>EAST ANTARCTICA; MASS-BALANCE; MELTWATER; CLIMATE; SHEET; MODEL; OCEAN</t>
  </si>
  <si>
    <t>Surface melting and lakes are common to Antarctic ice shelves, and their existence and drainages have been invoked as a precursor for ice shelf collapse. Here, we present satellite observations over 2014-2020 of repeated, rapid drainages of a supraglacial lake at the grounding zone of Amery Ice Shelf, East Antarctica. Post-drainage imagery in 2018 reveals lake bottom features characteristic of rapid, vertical lake drainage. Observed lake volumes indicate drainages are not associated with a threshold meltwater volume. Instead, drainages typically coincide with periods of high daily tidal amplitude, suggesting hydrofracture is assisted by tidally forced ice flexure inherent to the ice shelf grounding zone. Combined with observations of widespread grounding zone lake drainages on Amery, these findings indicate ice shelf meltwater accumulation may be inhibited by grounding zone drainage events, thus representing a potential stabilizing mechanism despite enhanced melting common to these regions.</t>
  </si>
  <si>
    <t>[Trusel, Luke D.; Pan, Zhuolai] Penn State Univ, Dept Geog, University Pk, PA 16802 USA; [Moussavi, Mahsa] Natl Snow &amp; Ice Data Ctr, Boulder, CO USA; [Moussavi, Mahsa] Univ Colorado, Cooperat Inst Res Environm Sci, Boulder, CO 80309 USA</t>
  </si>
  <si>
    <t>Pennsylvania Commonwealth System of Higher Education (PCSHE); Pennsylvania State University; Pennsylvania State University - University Park; University of Colorado System; University of Colorado Boulder</t>
  </si>
  <si>
    <t>Trusel, LD (corresponding author), Penn State Univ, Dept Geog, University Pk, PA 16802 USA.</t>
  </si>
  <si>
    <t>trusel@psu.edu</t>
  </si>
  <si>
    <t>Moussavi, Mahsa S./B-4051-2016; Trusel, Luke D/E-2578-2013</t>
  </si>
  <si>
    <t>Pan, Zhuolai/0000-0002-5707-0881; Trusel, Luke/0000-0002-7792-6173</t>
  </si>
  <si>
    <t>National Science Foundation Antarctic Glaciology Program [2021699, 1643715]; Pennsylvania State University; Polar Geospatial Center under NSF-OPP [1543501, 1810976, 1542736, 1559691, 1043681, 1541332, 0753663, 1548562, 1238993]; Byrd Polar and Climate Research Center; NASA [NNX10AN61G]; Office of Polar Programs (OPP); Directorate For Geosciences [0753663] Funding Source: National Science Foundation; Office of Polar Programs (OPP); Directorate For Geosciences [1543501, 1643715, 2021699] Funding Source: National Science Foundation</t>
  </si>
  <si>
    <t>National Science Foundation Antarctic Glaciology Program(National Science Foundation (NSF)NSF - Directorate for Geosciences (GEO)); Pennsylvania State University; Polar Geospatial Center under NSF-OPP; Byrd Polar and Climate Research Center; NASA(National Aeronautics &amp; Space Administration (NASA)); Office of Polar Programs (OPP); Directorate For Geosciences(National Science Foundation (NSF)NSF - Directorate for Geosciences (GEO)); Office of Polar Programs (OPP); Directorate For Geosciences(National Science Foundation (NSF)NSF - Directorate for Geosciences (GEO))</t>
  </si>
  <si>
    <t>This research was supported by the National Science Foundation Antarctic Glaciology Program Grant 2021699 to L. D. Trusel and 1643715 to M. Moussavi Additional financial support to L. D. Trusel was provided by Pennsylvania State University. Geospatial support for this work provided by the Polar Geospatial Center under NSF-OPP awards 1043681 and 1559691. DEMs provided by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DigitalGlobe, Inc. We thank Michiel van den Broeke for providing RACMO2 model output, and the Penn State Ice and Climate (PSICE) group for productive discussions. Computations for this research were performed on the Pennsylvania State University's Institute for Computational and Data Sciences' Roar supercomputer. We thank the anonymous reviewers for their constructive evaluations that substantially improved this manuscript. 22 February 2018 Worldview-1 image in Figures 2a and 2b copyright 2018 Digital Globe, Inc. 28 February 2018 Worldview-2 image in Figure 2c copyright 2018 Digital Globe, Inc.</t>
  </si>
  <si>
    <t>e2021GL095661</t>
  </si>
  <si>
    <t>10.1029/2021GL095661</t>
  </si>
  <si>
    <t>WOS:000782449400006</t>
  </si>
  <si>
    <t>Sand, PH; McGee, J</t>
  </si>
  <si>
    <t>Sand, Peter H.; McGee, Jeffrey</t>
  </si>
  <si>
    <t>Lessons learnt from two decades of international environmental agreements: law</t>
  </si>
  <si>
    <t>INTERNATIONAL ENVIRONMENTAL AGREEMENTS-POLITICS LAW AND ECONOMICS</t>
  </si>
  <si>
    <t>Environmental justice; Fiduciary accountability; International environmental law; Inter-regime learning; Post-treaty lawmaking; Synergies</t>
  </si>
  <si>
    <t>CLIMATE JUSTICE; IMPLEMENTATION; CONVENTION; EMERGENCE; LIABILITY; POLLUTION; PROTOCOL; WORLD</t>
  </si>
  <si>
    <t>As Patricia Birnie cautiously and prophetically put it in the inaugural issue of this journal (INEA 1, January 2001, p. 74), we do not know whether States and the tentative regimes they have so far established can withstand the pressures of globalization of trade and degradation and over-exploitation generated by advances in technologies for locating, fertilizing, harvesting, processing and modifying natural resources and biodiversity. This is truly terra incognita in which such seeds of destruction may already be implanted. Among the 600 or so papers and reviews published in INEA from 2001 to 2020, more than 70 deal wholly or partly with legal aspects of environmental problems and the international dimensions of environmental justice. While the main focus of INEA has been on issues of public international (inter-state) law, there have also been important inputs drawn from comparative legal analysis (of national legislation and judicial decisions) and from transnational administrative law that influence the effectiveness of multilateral treaties and their associated international institutions. Novel concepts and practices emerging from the environmental field (such as recourse to a range of soft law principles; flexible delegated standard-setting in the face of global change; and equitable differentiation of compliance duties) have inspired developments in related areas of contemporary international law-making and law-applying. At the same time, the very proliferation of multilateral and bilateral environmental instruments raised new questions and expressions of alarm over treaty congestion and fragmentation within the international law system. It is not the intention of this paper to explore the general interaction of international environmental law with neighboring disciplines such as international economic law or human rights law, but simply to record the seismographic impact of INEA on legal-intellectual discourse over these past two decades. To some extent, the role of the Journal in identifying both new prospects and new risks in this field could indeed be likened to that of a canary in the coal-mine. The lessons so learnt may thus offer new insights to help in averting the destruction which Birnie visualized, and to advance inter-generationally and intra- generationally shared values of environmental justice.</t>
  </si>
  <si>
    <t>[Sand, Peter H.] Univ Munich, Inst Int Law, Munich, Germany; [McGee, Jeffrey] Univ Tasmania, Fac Law, Hobart, Tas, Australia; [McGee, Jeffrey] Univ Tasmania, Inst Marine &amp; Antarctic Studies, Hobart, Tas, Australia</t>
  </si>
  <si>
    <t>University of Munich; University of Tasmania; University of Tasmania</t>
  </si>
  <si>
    <t>McGee, J (corresponding author), Univ Tasmania, Fac Law, Hobart, Tas, Australia.;McGee, J (corresponding author), Univ Tasmania, Inst Marine &amp; Antarctic Studies, Hobart, Tas, Australia.</t>
  </si>
  <si>
    <t>Jeffrey.McGee@utas.edu.au</t>
  </si>
  <si>
    <t>McGee, Jeffrey/K-7322-2015</t>
  </si>
  <si>
    <t>McGee, Jeffrey/0000-0002-2093-5896</t>
  </si>
  <si>
    <t>CAUL and its Member Institutions</t>
  </si>
  <si>
    <t>Open Access funding enabled and organized by CAUL and its Member Institutions.</t>
  </si>
  <si>
    <t>1567-9764</t>
  </si>
  <si>
    <t>1573-1553</t>
  </si>
  <si>
    <t>INT ENVIRON AGREEM-P</t>
  </si>
  <si>
    <t>Int. Environ. Agreem.-Polit. Law Econom.</t>
  </si>
  <si>
    <t>10.1007/s10784-022-09572-9</t>
  </si>
  <si>
    <t>Economics; Environmental Studies; Law; Political Science</t>
  </si>
  <si>
    <t>Social Science Citation Index (SSCI)</t>
  </si>
  <si>
    <t>Business &amp; Economics; Environmental Sciences &amp; Ecology; Government &amp; Law</t>
  </si>
  <si>
    <t>1D5KO</t>
  </si>
  <si>
    <t>WOS:000782871200001</t>
  </si>
  <si>
    <t>Murray, S; Fryer, E</t>
  </si>
  <si>
    <t>Murray, Sarah; Fryer, Emily</t>
  </si>
  <si>
    <t>Collaboration as a Solution to the Challenge of Re-instating the Statue of Scott After the Canterbury Earthquake, New Zealand</t>
  </si>
  <si>
    <t>STUDIES IN CONSERVATION</t>
  </si>
  <si>
    <t>Sculpture; marble; earthquake; carbon rod; carbon fibre tow; Scott; Antarctica; cyclododecane; seismic protection</t>
  </si>
  <si>
    <t>The marble statue of Antarctic explorer Captain Robert Falcon Scott fell from its plinth in the 2011 earthquake in Canterbury, New Zealand. The statue, carved by his wife the sculptor Kathleen Scott, broke into two pieces. The subsequent conservation treatment to provide resilience against future earthquakes was not one that had been carried out previously on an historic statue. This paper discusses the treatment planning and treatment of the statue. It reflects on the people that inspired, created, commissioned and use the memorial, providing meaning and purpose for it. The paper considers how the conservation treatment was guided by these voices, and the voices of those who represent them today, in order to develop a treatment that is fit for purpose and reflects the spirit of the original site.</t>
  </si>
  <si>
    <t>[Murray, Sarah; Fryer, Emily] Canterbury Museum, Canterbury, New Zealand</t>
  </si>
  <si>
    <t>Fryer, E (corresponding author), Canterbury Museum, Conservat, Canterbury, New Zealand.</t>
  </si>
  <si>
    <t>efryer@canterburymuseum.com</t>
  </si>
  <si>
    <t>Murray, Sarah/0000-0002-5838-7231</t>
  </si>
  <si>
    <t>ROUTLEDGE JOURNALS, TAYLOR &amp; FRANCIS LTD</t>
  </si>
  <si>
    <t>2-4 PARK SQUARE, MILTON PARK, ABINGDON OX14 4RN, OXON, ENGLAND</t>
  </si>
  <si>
    <t>0039-3630</t>
  </si>
  <si>
    <t>2047-0584</t>
  </si>
  <si>
    <t>STUD CONSERV</t>
  </si>
  <si>
    <t>Stud. Conserv.</t>
  </si>
  <si>
    <t>AUG 10</t>
  </si>
  <si>
    <t>10.1080/00393630.2022.2059644</t>
  </si>
  <si>
    <t>Archaeology; Art; Chemistry, Applied; Chemistry, Analytical; Spectroscopy</t>
  </si>
  <si>
    <t>Science Citation Index Expanded (SCI-EXPANDED); Arts &amp; Humanities Citation Index (A&amp;HCI)</t>
  </si>
  <si>
    <t>Archaeology; Art; Chemistry; Spectroscopy</t>
  </si>
  <si>
    <t>4E2ML</t>
  </si>
  <si>
    <t>WOS:000783761900001</t>
  </si>
  <si>
    <t>Barthel, A; Hogg, AM; Waterman, S; Keating, S</t>
  </si>
  <si>
    <t>Barthel, Alice; Hogg, Andrew M.; Waterman, Stephanie; Keating, Shane</t>
  </si>
  <si>
    <t>Baroclinic Control of Southern Ocean Eddy Upwelling Near Topography</t>
  </si>
  <si>
    <t>Antarctic Circumpolar Current; mesoscale eddies; isopycnal transport; flow-topography interactions; stationary meanders; baroclinic flow</t>
  </si>
  <si>
    <t>ANTARCTIC CIRCUMPOLAR CURRENT; TRANSIENT EDDIES; GLOBAL OCEAN; TRANSPORT; TRENDS; CIRCULATION; PATHWAYS; DYNAMICS; HEAT</t>
  </si>
  <si>
    <t>In the Southern Ocean, mesoscale eddies contribute to the upwelling of deep waters along sloping isopycnals, helping to close the upper branch of the meridional overturning circulation. Eddy energy (EE) is not uniformly distributed along the Antarctic Circumpolar Current (ACC). Instead, hotspots of EE that are associated with enhanced eddy-induced upwelling exist downstream of topographic features. This study shows that, in idealized eddy-resolved simulations, a topographic feature in the ACC path can enhance and localize eddy-induced upwelling. However, the upwelling systematically occurs in regions where eddies grow through baroclinic instability, rather than in regions where EE is large. Across a range of parameters, along-stream eddy growth rate is a more reliable indicator of eddy upwelling than traditional parameterizations such as eddy kinetic energy, eddy potential energy, or isopycnal slope. Ocean eddy parameterizations should consider metrics specific to the growth of baroclinic instability to accurately model eddy upwelling near topography.</t>
  </si>
  <si>
    <t>[Barthel, Alice] Los Alamos Natl Lab, Los Alamos, NM 87545 USA; [Hogg, Andrew M.] Australian Natl Univ, Res Sch Earth Sci, Canberra, ACT, Australia; [Waterman, Stephanie] Univ British Columbia, Dept Earth Ocean &amp; Atmospher Sci, Vancouver, BC, Canada; [Keating, Shane] Univ New South Wales, Sydney, NSW, Australia</t>
  </si>
  <si>
    <t>United States Department of Energy (DOE); Los Alamos National Laboratory; Australian National University; University of British Columbia; University of New South Wales Sydney</t>
  </si>
  <si>
    <t>Barthel, A (corresponding author), Los Alamos Natl Lab, Los Alamos, NM 87545 USA.</t>
  </si>
  <si>
    <t>ambarthel26@gmail.com</t>
  </si>
  <si>
    <t>Waterman, Stephanie/AAY-6033-2020; Barthel, Alice/AHE-2973-2022; Hogg, Andy McC./A-7553-2011</t>
  </si>
  <si>
    <t>Waterman, Stephanie/0000-0001-5797-1092; Barthel, Alice/0000-0002-2481-8646; Hogg, Andy McC./0000-0001-5898-7635; Keating, Shane/0000-0002-6817-925X</t>
  </si>
  <si>
    <t>RGMA program of the US Department of Energy; Australian Research Council [DE120102927]; National Science and Engineering Research Council of Canada [22R23085]; UNSW Silverstar research grant; Australian Commonwealth Government; Australian Research Council [DE120102927] Funding Source: Australian Research Council</t>
  </si>
  <si>
    <t>RGMA program of the US Department of Energy(United States Department of Energy (DOE)); Australian Research Council(Australian Research Council); National Science and Engineering Research Council of Canada(Natural Sciences and Engineering Research Council of Canada (NSERC)); UNSW Silverstar research grant; Australian Commonwealth Government(Australian Government); Australian Research Council(Australian Research Council)</t>
  </si>
  <si>
    <t>A. Barthel was partially supported by the RGMA program of the US Department of Energy. S. Waterman acknowledges support from the Australian Research Council (DE120102927) and the National Science and Engineering Research Council of Canada (22R23085). S. R. Keating was supported by a UNSW Silverstar research grant. This research was undertaken on the NCI National Facility in Canberra, Australia, supported by the Australian Commonwealth Government.</t>
  </si>
  <si>
    <t>e2021GL097491</t>
  </si>
  <si>
    <t>10.1029/2021GL097491</t>
  </si>
  <si>
    <t>0I3HJ</t>
  </si>
  <si>
    <t>WOS:000779313900001</t>
  </si>
  <si>
    <t>Zhu, K; Barrat, JA; Yamaguchi, A; Rouxel, O; Germain, Y; Langlade, J; Moynier, F</t>
  </si>
  <si>
    <t>Zhu, Ke; Barrat, Jean-Alix; Yamaguchi, Akira; Rouxel, Olivier; Germain, Yoan; Langlade, Jessica; Moynier, Frederic</t>
  </si>
  <si>
    <t>Nickel and Chromium Stable Isotopic Composition of Ureilites: Implications for the Earth's Core Formation and Differentiation of the Ureilite Parent Body</t>
  </si>
  <si>
    <t>ureilites; Ni stable isotopes; Cr stable isotopes; core formation; partial melting; mantle heterogeneity</t>
  </si>
  <si>
    <t>CONDENSATION TEMPERATURES; MISSING BASALTS; SILICATE; FRACTIONATION; CHONDRITES; ORIGIN; METAL; HETEROGENEITY; VOLATILE; ELEMENTS</t>
  </si>
  <si>
    <t>We report the first Ni and Cr stable isotope data for ureilite meteorites that are the mantle residue of a carbon-rich differentiated planet. Ureilites have similar Ni stable isotope compositions as chondrites, suggesting that the core-mantle differentiation of ureilite parent body (UPB) did not fractionate Ni isotopes. Since the size of Earth is potentially larger than that of UPB; with diameter &gt;690 km), resulting in higher temperatures at the core-mantle boundary of Earth, it can be predicted that the terrestrial core formation may not directly cause Ni stable isotope fractionation. On the other hand, we also report high-precision Cr stable isotope composition of ureilites, including one ureilitic trachyandesite (ALM-A) that is enriched in lighter Cr stable isotopes relative to the main-group ureilites, which suggests that the partial melting occurred on UPB. The globally heavy Cr in the UPB compared to chondrites can be caused by sulfur-rich core formation processes.</t>
  </si>
  <si>
    <t>[Zhu, Ke] Free Univ Berlin, Inst Geolog Wissensch, Berlin, Germany; [Zhu, Ke; Moynier, Frederic] Univ Paris Cite, CNRS UMR 7154, Inst Phys Globe Paris, Paris, France; [Barrat, Jean-Alix] Inst Univ France, Paris, France; [Barrat, Jean-Alix; Langlade, Jessica] Univ Brest, LEMAR, IFREMER, CNRS,IRD, Plouzane, France; [Yamaguchi, Akira] Natl Inst Polar Res, Tokyo, Japan; [Rouxel, Olivier; Germain, Yoan] IFREMER, Unite Geosci Marines, Plouzane, France</t>
  </si>
  <si>
    <t>Free University of Berlin; Universite Paris Cite; Centre National de la Recherche Scientifique (CNRS); CNRS - National Institute for Earth Sciences &amp; Astronomy (INSU); Institut Universitaire de France; Centre National de la Recherche Scientifique (CNRS); Ifremer; Institut de Recherche pour le Developpement (IRD); Universite de Bretagne Occidentale; Research Organization of Information &amp; Systems (ROIS); National Institute of Polar Research (NIPR) - Japan; Ifremer</t>
  </si>
  <si>
    <t>Zhu, K (corresponding author), Free Univ Berlin, Inst Geolog Wissensch, Berlin, Germany.</t>
  </si>
  <si>
    <t>zhuke618@foxmail.com</t>
  </si>
  <si>
    <t>Barrat, Jean-Alix/C-8416-2017; ZHU, Ke/P-4849-2019; Moynier, Frederic/AFL-9257-2022</t>
  </si>
  <si>
    <t>ZHU, Ke/0000-0003-3613-7239; Moynier, Frederic/0000-0003-4321-5581; Rouxel, Olivier/0000-0002-1431-222X</t>
  </si>
  <si>
    <t>Alexander von Humboldt Foundation; China Scholarship Council (CSC) [201706340161]; Purple Mountain Observation, CAS; European Research Council [101001282-METAL]; UnivEarthS Labex program at Sorbonne Paris Cite [ANR-10-LABX-0023, ANR-11-IDEX-0005-02]; ANR through a chaire d'excellence Sorbonne Paris Cite; IPGP multidisciplinary program PARI; Region ile-de-France SESAME [12015908, EX047016]; IdEx Universite de Paris grant [ANR-18-IDEX-0001]; DIM ACAV+; NSF; NASA; Department of Mineral Sciences of the Smithsonian Institution; Astromaterials Acquisition and Curation Office at NASA Johnson Space Center; Projekt DEAL</t>
  </si>
  <si>
    <t>Alexander von Humboldt Foundation(Alexander von Humboldt Foundation); China Scholarship Council (CSC)(China Scholarship Council); Purple Mountain Observation, CAS; European Research Council(European Research Council (ERC)); UnivEarthS Labex program at Sorbonne Paris Cite; ANR through a chaire d'excellence Sorbonne Paris Cite(Agence Nationale de la Recherche (ANR)); IPGP multidisciplinary program PARI; Region ile-de-France SESAME(Region Ile-de-France); IdEx Universite de Paris grant; DIM ACAV+; NSF(National Science Foundation (NSF)); NASA(National Aeronautics &amp; Space Administration (NASA)); Department of Mineral Sciences of the Smithsonian Institution; Astromaterials Acquisition and Curation Office at NASA Johnson Space Center; Projekt DEAL</t>
  </si>
  <si>
    <t>We thank Steve Jacobsen for editorial handling, and Matthew Jerram and one anonymous reviewer for insightful comments. K. Zhu thanks the Alexander von Humboldt Foundation for a postdoctoral fellowship, the China Scholarship Council (CSC) for a PhD fellowship (#201706340161), and Purple Mountain Observation, CAS (host: Weibiao Hsu and Yun Jiang) for a guest fellowship during his stay in Nanjing in summer 2021. F. Moynier acknowledges funding from the European Research Council under the H2020 framework program/ERC consolidator Grant Agreement (#101001282-METAL) and financial support of the UnivEarthS Labex program at Sorbonne Paris Cite (#ANR-10-LABX-0023 and #ANR-11-IDEX-0005-02), and the ANR through a chaire d'excellence Sorbonne Paris Cite. Parts of this work were supported by IPGP multidisciplinary program PARI, by Region ile-de-France SESAME Grants no. 12015908, EX047016 and the IdEx Universite de Paris grant, ANR-18-IDEX-0001, and the DIM ACAV+. Pierre Burckel and Pascale Louvat were appreciated for analysis on ICP-MS and MC-ICP-MS at IPGP, respectively. US Antarctic meteorite samples were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Open access funding enabled and organized by Projekt DEAL.</t>
  </si>
  <si>
    <t>e2021GL095557</t>
  </si>
  <si>
    <t>10.1029/2021GL095557</t>
  </si>
  <si>
    <t>0H1RR</t>
  </si>
  <si>
    <t>hybrid, Green Published, Green Submitted</t>
  </si>
  <si>
    <t>WOS:000778516500001</t>
  </si>
  <si>
    <t>Hepworth, E; Messori, G; Vichi, M</t>
  </si>
  <si>
    <t>Hepworth, Ehlke; Messori, Gabriele; Vichi, Marcello</t>
  </si>
  <si>
    <t>Association Between Extreme Atmospheric Anomalies Over Antarctic Sea Ice, Southern Ocean Polar Cyclones and Atmospheric Rivers</t>
  </si>
  <si>
    <t>polar cyclones; atmospheric rivers; Antarctic sea ice; atmospheric anomalies; Southern Ocean</t>
  </si>
  <si>
    <t>EXTRATROPICAL CYCLONES; HEMISPHERE; BEHAVIOR; PRECIPITATION; 20TH-CENTURY; VARIABILITY; ALGORITHM; MOISTURE; EXTENT</t>
  </si>
  <si>
    <t>This study analyses the association of Southern Ocean extratropical cyclones and atmospheric rivers (ARs) with extreme temperature and/or moisture atmospheric anomalies over Antarctic sea ice. The hypothesis we test is whether the circulations associated with cyclones and ARs may routinely lead to the presence of unusually warm, moist air masses over ice-covered regions. The analysis is conducted over the extended Austral winter seasons (May-September) between May 1979 and September 2012, based on the European Centre for Medium-Range Weather Forecasts Interim reanalysis data. Approximately 27% of intense Southern Ocean cyclones and 20% of ARs occur in the vicinity of extreme temperature anomalies, while 12% of intense cyclones and 46% of ARs occur in the vicinity of extreme moisture anomalies. We summarize our results as follows: (a) extreme atmospheric anomalies over sea ice often occur in the absence of cyclones or ARs; (b) intense cyclones have a stronger association with extreme temperature anomalies than ARs; (c) approximately half of the ARs are in the vicinity of extreme moisture anomalies, while the latter's link with cyclones is weak; and (d) if an AR is in the vicinity of an extreme temperature anomaly, there will likely be a concurrent extreme moisture anomaly. This points to a strong association between ARs and moisture extremes, and a nuanced link between Southern Ocean polar cyclones and atmospheric anomalies over Antarctic sea ice.</t>
  </si>
  <si>
    <t>[Hepworth, Ehlke; Vichi, Marcello] Univ Cape Town, Dept Oceanog, Cape Town, South Africa; [Messori, Gabriele] Uppsala Univ, Dept Earth Sci, Ctr Nat Hazards &amp; Disaster Sci CNDS, Uppsala, Sweden; [Messori, Gabriele] Stockholm Univ, Dept Meteorol, Bolin Ctr Climate Res, Stockholm, Sweden; [Vichi, Marcello] Univ Cape Town, Marine &amp; Antarctic Res Ctr Innovat &amp; Sustainabil, Cape Town, South Africa</t>
  </si>
  <si>
    <t>University of Cape Town; Centre of Natural Hazards &amp; Disaster Science (CNDS); Uppsala University; Stockholm University; University of Cape Town</t>
  </si>
  <si>
    <t>Hepworth, E (corresponding author), Univ Cape Town, Dept Oceanog, Cape Town, South Africa.</t>
  </si>
  <si>
    <t>djneh1001@myuct.ac.za</t>
  </si>
  <si>
    <t>Vichi, Marcello/GLR-9823-2022</t>
  </si>
  <si>
    <t>Vichi, Marcello/0000-0002-0686-9634; Hepworth, Ehlke/0000-0002-4230-0912</t>
  </si>
  <si>
    <t>National Research Foundation of South Africa [118598, 112632]; Swedish Foundation for International Cooperation in Research and Higher Education [SA2017-7063]</t>
  </si>
  <si>
    <t>National Research Foundation of South Africa(National Research Foundation - South Africa); Swedish Foundation for International Cooperation in Research and Higher Education</t>
  </si>
  <si>
    <t>This work is based on the research supported by the National Research Foundation of South Africa (Grant Nos. 118598 and 112632) and the Swedish Foundation for International Cooperation in Research and Higher Education (Grant No. SA2017-7063). Computations were performed using facilities provided by the University of Cape Town's ICTS High Performance Computing team: . Lastly, the authors would like to acknowledge Diana Francis for recommending the addition of ARs to this study.</t>
  </si>
  <si>
    <t>e2021JD036121</t>
  </si>
  <si>
    <t>10.1029/2021JD036121</t>
  </si>
  <si>
    <t>0H2DO</t>
  </si>
  <si>
    <t>WOS:000778547600001</t>
  </si>
  <si>
    <t>Van Breedam, J; Huybrechts, P; Crucifix, M</t>
  </si>
  <si>
    <t>Van Breedam, Jonas; Huybrechts, Philippe; Crucifix, Michel</t>
  </si>
  <si>
    <t>Modelling evidence for late Eocene Antarctic glaciations</t>
  </si>
  <si>
    <t>Antarctica; late Eocene; ice sheets; Eocene-Oligocene transition; emulator</t>
  </si>
  <si>
    <t>ATMOSPHERIC CARBON-DIOXIDE; ICE-SHEET; CLIMATE; EVOLUTION; IMPACT; GREENLAND; ONSET; OCEAN</t>
  </si>
  <si>
    <t>It is generally believed that a large scale Antarctic ice sheet formed at the Eocene-Oligocene transition (34.44-33.65 Ma). However, oxygen isotope excursions during the late Eocene (38-34 Ma) and geomorphic evidence of glacial erosion suggest that there were ephemeral continental scale glaciations before the Oi-1 event. Here, we investigate the Antarctic ice sheet evolution over a multi-million year timescale during the late Eocene up to the early Oligocene with the most recent estimates of carbon dioxide evolution over this time period and different bedrock elevation reconstructions. A novel ice sheet-climate modelling approach is applied where the Antarctic ice sheet model VUB-AISMPALEO is coupled to the emulated climate from HadSM3 using the coupler CLISEMv1.0. Our modelling results show that short-lived continental scale Antarctic glaciation might have occurred during the late Eocene when austral summer insolation reached a minimum in a narrow range of carbon dioxide concentrations. The Antarctic ice sheet first reached the coast in Prydz Bay and later in the Weddell Sea region, supporting the glaciomarine sediments dated prior to the EOT. (C) 2022 The Author(s). Published by Elsevier B.V.</t>
  </si>
  <si>
    <t>[Van Breedam, Jonas; Huybrechts, Philippe] Vrije Univ Brussel, Earth Syst Sci, Brussels, Belgium; [Van Breedam, Jonas; Huybrechts, Philippe] Vrije Univ Brussel, Dept Geog, Brussels, Belgium; [Crucifix, Michel] Catholic Univ Louvain, Earth &amp; Life Inst, Louvain La Neuve, Belgium</t>
  </si>
  <si>
    <t>Vrije Universiteit Brussel; Vrije Universiteit Brussel; Universite Catholique Louvain</t>
  </si>
  <si>
    <t>Van Breedam, J (corresponding author), Vrije Univ Brussel, Earth Syst Sci, Brussels, Belgium.;Van Breedam, J (corresponding author), Vrije Univ Brussel, Dept Geog, Brussels, Belgium.</t>
  </si>
  <si>
    <t>jonas.van.breedam@vub.be</t>
  </si>
  <si>
    <t>Huybrechts, Philippe/J-5278-2013</t>
  </si>
  <si>
    <t>Huybrechts, Philippe/0000-0003-1406-0525; Van Breedam, Jonas/0000-0003-1504-9520</t>
  </si>
  <si>
    <t>Research Foundation Flanders (FWO Vlaanderen) [G091820N]; Belgian National Fund of Scientific Research FNRS</t>
  </si>
  <si>
    <t>Research Foundation Flanders (FWO Vlaanderen)(FWO); Belgian National Fund of Scientific Research FNRS(Fonds de la Recherche Scientifique - FNRS)</t>
  </si>
  <si>
    <t>Jonas Van Breedam acknowledges support from project G091820N, funded by the Research Foundation Flanders (FWO Vlaanderen). Michel Crucifix is funded as Research Director with the Belgian National Fund of Scientific Research FNRS.</t>
  </si>
  <si>
    <t>10.1016/j.epsl.2022.117532</t>
  </si>
  <si>
    <t>2P7OA</t>
  </si>
  <si>
    <t>WOS:000819924200002</t>
  </si>
  <si>
    <t>Dunham, ET; Wadhwa, M; Desch, SJ; Liu, MC; Fukuda, K; Kita, N; Hertwig, AT; Hervig, RL; Defouilloy, C; Simon, SB; Davidson, J; Schrader, DL; Fujimoto, Y</t>
  </si>
  <si>
    <t>Dunham, E. T.; Wadhwa, M.; Desch, S. J.; Liu, M. C.; Fukuda, K.; Kita, N.; Hertwig, A. T.; Hervig, R. L.; Defouilloy, C.; Simon, S. B.; Davidson, J.; Schrader, D. L.; Fujimoto, Y.</t>
  </si>
  <si>
    <t>Uniform initial 10Be/9Be inferred from refractory inclusions in CV3, CO3, CR2, and CH/CB chondrites</t>
  </si>
  <si>
    <t>Cosmochemistry; Carbonaceous chondrites; CAIs; SIMS; Short-lived radionuclides; Beryllium-10; Astrophysics; Molecular cloud</t>
  </si>
  <si>
    <t>AL-RICH INCLUSIONS; EARLY SOLAR-SYSTEM; DOMINION RANGE 08006; SHORT-LIVED BE-10; BERYLLIUM-BORON; OXYGEN ISOTOPES; PROTOPLANETARY DISK; IRRADIATION ORIGIN; MINERAL CHEMISTRY; MELILITE CRYSTALS</t>
  </si>
  <si>
    <t>Short-lived radionuclides (SLRs) once present in the solar nebula can be used as probes of the formation environment of our Solar System within the Milky Way Galaxy. The first-formed solids in the Solar System, calcium-, aluminum-rich inclusions (CAIs) in meteorites, record the one-time existence of SLRs such as 10Be and 26Al in the solar nebula. We measured the 10Be-10B isotope systematics in 29 CAIs from several CV3, CO3, CR2, and CH/CB chondrites and show that all except for a FUN CAI record a homogeneous initial 10Be/9Be with a single probability density peak at 10Be/9Be = 7.4 x 10-4. Integrating these data with those of previous studies, we find that most CAIs (81%) for which 10Be-10B isotope systematics have been determined, record a homogeneous initial 10Be/9Be ratio in the early Solar System with a weighted mean 10Be/9Be = (7.1 +/- 0.2) x 10-4. This uniform distribution provides evidence that 10Be was predominantly formed in the parent molecular cloud and inherited by the solar nebula. Possible explanations for why unusual CAIs (FUNs, PLACs, those from CH/CBs, and those irradiated on the parent body) recorded a 10Be/9Be ratio outside of 7.1 x 10-4 include the following: 1) They incorporated a component of 10Be that was produced in the nebula by irradiation; 2) they formed after normal CAIs; and 3) they were processed (post-formation) in a way that affected their original 10Be signatures. Given the rarity of these examples, the overall uniformity of initial 10Be/9Be suggests that Solar System 10Be was predominantly inherited from the molecular cloud. (c) 2022 The Authors. Published by Elsevier Ltd. This is an open access article under the CC BY license (http://creativecommons.org/</t>
  </si>
  <si>
    <t>[Dunham, E. T.; Wadhwa, M.; Davidson, J.; Schrader, D. L.] Arizona State Univ ASU, Buseck Ctr Meteorite Studies, Tempe, AZ 85287 USA; [Dunham, E. T.; Wadhwa, M.; Desch, S. J.; Hervig, R. L.; Davidson, J.; Schrader, D. L.] Arizona State Univ, Sch Earth &amp; Space Explorat, Tempe, AZ 85287 USA; [Dunham, E. T.; Liu, M. C.; Hertwig, A. T.] Univ Calif Los Angeles UCLA, Dept Earth Planetary &amp; Space Sci, Los Angeles, CA 90095 USA; [Fukuda, K.; Kita, N.] Univ Wisconsin, Dept Geosci, Madison, WI 53706 USA; [Hertwig, A. T.] Heidelberg Univ, Inst Geowissensch, D-69120 Heidelberg, Germany; [Defouilloy, C.] Cameca SA, 29 Quai Gresillons, F-92622 Gennevilliers, France; [Simon, S. B.] Univ New Mexico, Inst Meteorit, Albuquerque, NM 87131 USA; [Fujimoto, Y.] Univ Aizu, Dept Comp Sci &amp; Engn, Tsuruga Ikki Machi, Fukushima 9658580, Japan; [Fujimoto, Y.] Carnegie Inst Sci, Earth &amp; Planets Lab, 5241 Broad Branch Rd NW, Washington, DC 20015 USA</t>
  </si>
  <si>
    <t>Arizona State University; Arizona State University-Tempe; Arizona State University; Arizona State University-Tempe; University of California System; University of California Los Angeles; University of Wisconsin System; University of Wisconsin Madison; Ruprecht Karls University Heidelberg; University of New Mexico; University of Aizu; Carnegie Institution for Science</t>
  </si>
  <si>
    <t>Dunham, ET (corresponding author), Arizona State Univ ASU, Buseck Ctr Meteorite Studies, Tempe, AZ 85287 USA.;Dunham, ET (corresponding author), Arizona State Univ, Sch Earth &amp; Space Explorat, Tempe, AZ 85287 USA.;Dunham, ET (corresponding author), Univ Calif Los Angeles UCLA, Dept Earth Planetary &amp; Space Sci, Los Angeles, CA 90095 USA.</t>
  </si>
  <si>
    <t>etdunham@g.ucla.edu</t>
  </si>
  <si>
    <t>Schrader, Devin L/H-6293-2012; Liu, Ming-Chang/D-1885-2010; Kita, Noriko T./H-8035-2016</t>
  </si>
  <si>
    <t>Liu, Ming-Chang/0000-0003-4030-5258; Kita, Noriko T./0000-0002-0204-0765; Hertwig, Andreas/0000-0001-5696-339X; Fukuda, Kohei/0000-0002-8883-9251; Fujimoto, Yusuke/0000-0002-2107-1460; Schrader, Devin/0000-0001-5282-232X</t>
  </si>
  <si>
    <t>NASA; NASA Earth and Space Sciences Fellowship from NASA Emerging Worlds program [NNCI-ECCS-1542160, EAR-1658823, NNX1AP48H, 2020-1829, NNX15AH41G]; NASAs Science Mission Directorate; NExSS [NNX17AI43G]; NSF Instrumentation and Facilities program [80NSSC18K0602]; ASU secondary ion mass spectrometer [NNX15AD53G]; NSF [EAR 1819550]</t>
  </si>
  <si>
    <t>NASA(National Aeronautics &amp; Space Administration (NASA)); NASA Earth and Space Sciences Fellowship from NASA Emerging Worlds program; NASAs Science Mission Directorate; NExSS; NSF Instrumentation and Facilities program(National Science Foundation (NSF)); ASU secondary ion mass spectrometer; NSF(National Science Foundation (NSF))</t>
  </si>
  <si>
    <t>We thank associate editor Dr. Thorsten Kleine for editorial handling and Dr. Andrew Davis and two anonymous reviewers for careful reviews that greatly improved the manuscript. We are grateful to Dr. Lynda Williams for her assistance in the ASU SIMS lab. We thank Dr. Ryan Ogliore and Dr. Chris Coath for useful discussions about statistics and ratio determination. We acknowledge the use of facilities within the Eyring Materials Center at ASU, supported in part by NNCI-ECCS-1542160, with the assistance of Dr. Axel Wittmann. We acknowledge ASUs Buseck Center for Meteorite Studies collection for providing samples of NWA 5028, NWA 6991 (CAI B4) , eoville, Allende (CAI CMS-1) , NWA 7891, and NWA 7892; the Field Museum of Natural History for Allende CAIs TS23A and TS68; Dr. Gregory Brennecka for providing samples of DaG 005 and DaG 027; Dr. Devin Schrader for providing sample Shisr 033; Dr. Glenn MacPherson for providing the Vigarano sample with CAI 3137, and the US Antarctic meteorite collection for samples of DOM 08006, MIL 090657, and LAP 02342. The US Antarctic meteorite samples are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We acknowledge some prominent women astronauts and researchers in astronomy, geology, and physics by naming the CO3 and CH/CB CAIs studied here after them (Goeppert, Jemison, Anning, Mitchell, Bascom, Krafft, Burnell, Meitner, Rubin, Tharp, and Tereshkova) ; these women's achievements and contributions to science remain largely unacknowledged, and they are deserving of greater recognition. This work is supported by the NASA Earth and Space Sciences Fellowship grant NNX1AP48H (ETD and MW) , 51 Pegasi b grant #2020-1829 (ETD) , and grants NNX15AH41G (MW) , NNX17AI43G (SS) , and 80NSSC18K0602 (ML) from the NASA Emerging Worlds program. The results reported herein benefitted from collaborations and/or information exchange within NASA's Nexus for Exoplanet System Science (NExSS) research coordination network sponsored by NASA's Science Mission Directorate; we gratefully acknowledge support from NExSS grant NNX15AD53G (SJD) . The UCLA ion microprobe facility is partially supported by a grant from the NSF Instrumentation and Facilities program (EAR-1734856; ML) , as is the ASU secondary ion mass spectrometer (NSF EAR 1819550; RLH) . WiscSIMS is partly supported by NSF (EAR-1658823; NK) .</t>
  </si>
  <si>
    <t>10.1016/j.gca.2022.02.002</t>
  </si>
  <si>
    <t>1Q8ZP</t>
  </si>
  <si>
    <t>WOS:000802970500004</t>
  </si>
  <si>
    <t>Lampe, S; Soens, B; Chernonozhkin, SM; de Vega, CG; van Ginneken, M; Van Maldeghem, F; Vanhaecke, F; Glass, BP; Franchi, IA; Terryn, H; Debaille, V; Claeys, P; Goderis, S</t>
  </si>
  <si>
    <t>Lampe, Seppe; Soens, Bastien; Chernonozhkin, Stepan M.; de Vega, Claudia Gonzalez; van Ginneken, Matthias; Van Maldeghem, Flore; Vanhaecke, Frank; Glass, Billy P.; Franchi, Ian A.; Terryn, Herman; Debaille, Vinciane; Claeys, Philippe; Goderis, Steven</t>
  </si>
  <si>
    <t>Decoupling of chemical and isotope fractionation processes during atmospheric heating of micrometeorites</t>
  </si>
  <si>
    <t>Cosmic spherules; Atmospheric entry heating; Iron isotope ratios; Isotope fractionation; Precursor bodies</t>
  </si>
  <si>
    <t>GLASS COSMIC SPHERULES; OXYGEN-ISOTOPE; SILICATE MELTS; ANTARCTIC ICE; TRACE-ELEMENT; FE ISOTOPES; ENTRY; IRON; EQUILIBRIUM; CLASSIFICATION</t>
  </si>
  <si>
    <t>Micrometeorites experience varying degrees of evaporation and mixing with atmospheric oxygen during atmospheric entry. Evaporation due to gas drag heating alters the physicochemical properties of fully melted cosmic spherules (CSs), including the size, chemical and isotopic compositions and is thus expressed in its chemical and isotopic signatures. However, the extent of evaporation and atmospheric mixing in CSs often remains unclear, leading to uncertainties in precursor body identification and statistics. Several studies have previously estimated the extent of evaporation based on the contents of major refractory elements Ca and Al in combination with the determined Fe/Si atomic ratios. Similarly, attempts have been made to design classification schemes based on isotopic variations. However, a full integration of any previously defined chemical classification schemes with the observed isotopic variability has not yet been successful. As evaporation can lead to both chemical and isotope fractionation, it is important to verify whether the estimated degrees of evaporation based on chemical and isotopic proxies converge. Here, we have analysed the major and trace element compositions of 57 chondritic (mostly V-type) CSs, along with their Fe isotope ratios. The chemical (Zn, Na, K or CaO and Al2O3 concentrations) and delta Fe-56 isotope fractionation measured in these particles show no correlation. The interpretation of these results is twofold: (i) isotopic and chemical fractionation are governed by distinct processes or (ii) the proxies selected for chemical and isotope fractionation are inadequate. While the initial Fe isotopic ratios of chondrites are constrained within a relatively narrow range (0.005 +/- 0.008 parts per thousand delta Fe-56), the chemical compositions of CSs display larger variability. Cosmic spherules are thus often not chemically representative of their precursor bodies, due to their small size. As oxygen isotopes are commonly used to refine the precursor bodies of meteorites, triple oxygen isotope ratios were measured in thirty-seven of the characterized CSs. Based on the relationship between delta O-18 and delta Fe-57, the evaporation effect on the O isotope system can be calculated, which allows for a more accurate parent body determination. Using this correction method, two 'Group 4' spherules with strongly variable degrees of isotope fractionation (delta Fe-56 of similar to 1.0 parts per thousand and 29.1 parts per thousand, respectively) could be distinguished. Furthermore, it was observed that all CSs that probably have a OC-like heritage underwent roughly the same degree of atmospheric mixing (-8 parts per thousand delta O-18). This highlights the potential of including Fe isotope measurements to the regular methodologies applied to CS studies. (c) 2022 Elsevier Ltd. All rights reserved.</t>
  </si>
  <si>
    <t>[Lampe, Seppe; Soens, Bastien; Van Maldeghem, Flore; Claeys, Philippe; Goderis, Steven] Vrije Univ Brussel, Analyt Environm &amp; GeoChem AMGC, Pl Laan 2, B-1050 Brussels, Belgium; [Soens, Bastien; Debaille, Vinciane] Univ Libre Bruxelles, Lab G Time, 50,Av FD Roosevelt CP 160 02, B-1050 Brussels, Belgium; [Chernonozhkin, Stepan M.; de Vega, Claudia Gonzalez; Vanhaecke, Frank] Univ Ghent, Dept Chem, Atom &amp; Mass Spectrometry A&amp;MS Res Unit, Krijgslaan 281-S12, B-9000 Ghent, Belgium; [van Ginneken, Matthias] Univ Kent, Ctr Astrophys &amp; Planetary Sci, Sch Phys Sci, Canterbury CT2 7NZ, Kent, England; [Glass, Billy P.] Univ Delaware, Dept Geol Sci, 261 S Coll Ave,111 Robinson Hall, Newark, DE 19716 USA; [Franchi, Ian A.] Open Univ, Sch Phys Sci, Planetary &amp; Space Sci, Walton Hall, Milton Keynes MK7 6AA, Bucks, England; [Terryn, Herman] Vrije Univ Brussel, Electrochem &amp; Surface Engn, Pl Laan 2, B-1050 Brussels, Belgium</t>
  </si>
  <si>
    <t>Vrije Universiteit Brussel; Universite Libre de Bruxelles; Ghent University; University of Kent; University of Delaware; Open University - UK; Vrije Universiteit Brussel</t>
  </si>
  <si>
    <t>Lampe, S (corresponding author), Vrije Univ Brussel, Analyt Environm &amp; GeoChem AMGC, Pl Laan 2, B-1050 Brussels, Belgium.</t>
  </si>
  <si>
    <t>seppe.lampe@vub.be</t>
  </si>
  <si>
    <t>Herman, Terryn/A-2255-2013; (VUB), VRIJE UNIVERSITEIT BRUSSEL/B-4895-2008; Vanhaecke, Frank/AAO-4582-2020; Goderis, Steven/F-9908-2011</t>
  </si>
  <si>
    <t>(VUB), VRIJE UNIVERSITEIT BRUSSEL/0000-0002-4585-7687; Vanhaecke, Frank/0000-0002-1884-3853; Lampe, Seppe/0000-0002-7907-4496; Soens, Bastien/0000-0002-7695-6629; Van Maldeghem, Flore/0000-0002-9186-1679; Goderis, Steven/0000-0002-6666-7153</t>
  </si>
  <si>
    <t>Research Foundation - Flanders (FWO-Vlaanderen) [30442502]; VUB strategic program; Fonds voor Wetenschappelijk Onderzoek (FWO-Vlaanderen); EoS project; Belgian Science Policy (BELSPO); Marie Curie ClarinCOFUND project of the Principality of Asturias; European Union; MCICP-MS instrumentation [ZW15-02 - G0H6216N]; FRSFNRS; EuroPlanet [15-EPN-033]; STFC [ST/T000228/1] Funding Source: UKRI</t>
  </si>
  <si>
    <t>Research Foundation - Flanders (FWO-Vlaanderen)(FWO); VUB strategic program; Fonds voor Wetenschappelijk Onderzoek (FWO-Vlaanderen)(FWO); EoS project; Belgian Science Policy (BELSPO)(Belgian Federal Science Policy Office); Marie Curie ClarinCOFUND project of the Principality of Asturias(Marie Curie ActionsEuropean Union (EU)); European Union(European Union (EU)); MCICP-MS instrumentation; FRSFNRS(Fonds de la Recherche Scientifique - FNRS); EuroPlanet; STFC(UK Research &amp; Innovation (UKRI)Science &amp; Technology Facilities Council (STFC))</t>
  </si>
  <si>
    <t>The authors thank Cecile Engrand and the anonymous second reviewer for critically reading the manuscript and providing valuable feedback, which substantially improved the quality of this work. We also thank associate editor, Christian Koeberl, for his aid on this manuscript. SG and PC are supported by the Research Foundation - Flanders (FWO-Vlaanderen) , and the VUB strategic program. BS acknowledges the support of the Fonds voor Weten-schappelijk Onderzoek (FWO-Vlaanderen) as part of his PhD Fel-lowship. SCh acknowledges his postdoctoral grant from FWO-Vlaanderen in the context of an Excellence of Science (EoS) pro-ject (ET-HoME - ID 30442502) . FV, VD, PC and SG also acknowledge support from the EoS project ET-HoME. SG, VD and PC thank the Belgian Science Policy (BELSPO) for support through different projects (BELAM, Amundsen and BAMM) , CGdV acknowledges the grant from Marie Curie ClarinCOFUND project of the Principality of Asturias and the European Union. FWO-Vlaanderen is also acknowledged for providing the funding for the acquisition of MCICP-MS instrumentation (ZW15-02 - G0H6216N) . VD thanks the FRSFNRS for present support. NanoSIMS supported by EuroPlanet 15-EPN-033.</t>
  </si>
  <si>
    <t>10.1016/j.gca.2022.02.008</t>
  </si>
  <si>
    <t>WOS:000802970500005</t>
  </si>
  <si>
    <t>Siron, G; Fukuda, K; Kimura, M; Kita, NT</t>
  </si>
  <si>
    <t>Siron, Guillaume; Fukuda, Kohei; Kimura, Makoto; Kita, Noriko T.</t>
  </si>
  <si>
    <t>High precision 26Al-26Mg chronology of chondrules in unequilibrated ordinary chondrites: Evidence for restricted formation ages</t>
  </si>
  <si>
    <t>Al-26-Mg-26 chronology; SIMS; Chondrules; UOCs; Al-26/Al-27 initial ratio; Chondrule formation ages</t>
  </si>
  <si>
    <t>OXYGEN-ISOTOPE; SOLAR NEBULA; RICH CHONDRULES; FEO-RICH; SYSTEMATICS; CONSTRAINTS; AL-26; SEMARKONA; DISTINCT; PLAGIOCLASE</t>
  </si>
  <si>
    <t>Chondrules in ordinary chondrites are considered to form in high density environments, likely related to the evolution of protoplanets and large planetesimals. In order to determine the timing of their formation at high time resolution (&lt;= 0.1 Ma), we conducted high precision Al-Mg chronology of 17 porphyritic chondrules from 6 different unequilibrated ordinary chondrites (UOCs) of low petrologic subtypes (3.00-3.05). Detailed petrology, mineralogy, and oxygen isotope ratios of individual chondrules were also obtained that include 10 additional chondrules without Al-Mg ages. Seventeen chondrules for Al-Mg chronology consist of 14 chondrules with plagioclase (An(1)-An(87)) and three chondrules with Na-rich glassy mesostasis, all of which have high Al-27/Mg-24 ratios (30-3000). The inferred initial (Al-26/Al-27) 0 ratios range between (6.5 +/- 0.6) x 10(-6) to (9.5 +/- 1.0) x 10(-6), corresponding to chondrule formation ages of 1.74 +/- (0.12)/(0.11) Ma to 2.13 +/- 0.09 Ma after CAIs, which have a canonical ((26) Al/(27) Al) 0 ratio of 5.25 x 10(-5). Six albite-bearing chondrules (An(&lt;30)) show a much more restricted ages range, spanning between 2.00 +/- (0.11) / (0.10) Ma and 2.07 +/- (0.11) / (0.10) Ma. Including 14 anorthite-bearing chondrules studied previously, chondrules in ordinary chondrites have a restricted range of formation ages from 1.8 Ma to 2.2. Ma after CAIs. Based on the newly acquired oxygen isotope data and previous high precision studies, chondrules in L and LL chondrites do not show systematic difference in their delta O-18 and delta O-17 signatures. Majority of plagioclase-bearing chondrules studied for Al-Mg chronology show similar oxygen isotope ratios to those of glass-bearing chondrules. There is no obvious difference in Al-Mg ages of chondrules between L and LL chondrites. Thus, chondrules in L and LL chondrites would have formed in common environments and processes, though they accreted to two separate parent bodies by 2.2 Ma after CAIs, which timing is consistent with the proposed thermal model for ordinary chondrite parent bodies. Onset of chondrule formation at 1.8 Ma after CAIs may be caused by the delay of Jupiter formation or the formation of protoplanets in ordinary chondrite chondrule forming regions if chondrules formed by large scale disk shock or impact jetting of protoplanets. Alternatively, early formed chondrules would not be preserved before 1.8 Ma if chondrules formed by the impacts of molten planetesimals. (C) 2022 Elsevier Ltd. All rights reserved.</t>
  </si>
  <si>
    <t>[Siron, Guillaume; Fukuda, Kohei; Kita, Noriko T.] Univ Wisconsin, Dept Geosci, WiscSIMS, Madison, WI 53706 USA; [Kimura, Makoto] Meteorite Res Ctr, Natl Inst Polar Res, Midoricho 10-3, Tachikawa, Tokyo 1908518, Japan</t>
  </si>
  <si>
    <t>University of Wisconsin System; University of Wisconsin Madison; Research Organization of Information &amp; Systems (ROIS); National Institute of Polar Research (NIPR) - Japan</t>
  </si>
  <si>
    <t>Siron, G (corresponding author), Via Zamboni 67, I-40126 Bologna, Italy.</t>
  </si>
  <si>
    <t>guillaume.siron@unibo.it</t>
  </si>
  <si>
    <t>Kita, Noriko T./H-8035-2016; Siron, Guillaume/AAE-4293-2022</t>
  </si>
  <si>
    <t>Kita, Noriko T./0000-0002-0204-0765; Siron, Guillaume/0000-0001-6646-7648; Fukuda, Kohei/0000-0002-8883-9251; Kimura, Makoto/0000-0003-3352-4989</t>
  </si>
  <si>
    <t>NSF [EAR-1658823]; NASA [NNX17AE29G]; NASA Emerging World Program [NNX16AG80G]; NASA Laboratory Analysis of Returned Sam-ples and Planetary Major Equipment Programs [EAR-1355590]; NSF Instrumentation and Facility Program [DMR-17204015]; NSF through the Univer-sity of Wisconsin Materials Research Science and Engineering Cen-ter [18K03729]; Ministry of Education, Science, Sport, and Culture of Japa-nese government; NSF [EAR-1355590, DMR-17204015]; NASA; NASA Emerging World Program [EAR-1658823]; NASA Laboratory Analysis of Returned Samples and Planetary Major Equipment Programs [NNX17AE29G]; NSF Instrumentation and Facility Program [NNX16AG80G]; Ministry of Education, Science, Sport, and Culture of Japanese government [18K03729]; Grants-in-Aid for Scientific Research [18K03729] Funding Source: KAKEN</t>
  </si>
  <si>
    <t>NSF(National Science Foundation (NSF)); NASA(National Aeronautics &amp; Space Administration (NASA)); NASA Emerging World Program; NASA Laboratory Analysis of Returned Sam-ples and Planetary Major Equipment Programs; NSF Instrumentation and Facility Program(National Science Foundation (NSF)); NSF through the Univer-sity of Wisconsin Materials Research Science and Engineering Cen-ter; Ministry of Education, Science, Sport, and Culture of Japa-nese government(Ministry of Education, Culture, Sports, Science and Technology, Japan (MEXT)); NSF(National Science Foundation (NSF)); NASA(National Aeronautics &amp; Space Administration (NASA)); NASA Emerging World Program; NASA Laboratory Analysis of Returned Samples and Planetary Major Equipment Programs; NSF Instrumentation and Facility Program(National Science Foundation (NSF)); Ministry of Education, Science, Sport, and Culture of Japanese government(Ministry of Education, Culture, Sports, Science and Technology, Japan (MEXT)); Grants-in-Aid for Scientific Research(Ministry of Education, Culture, Sports, Science and Technology, Japan (MEXT)Japan Society for the Promotion of ScienceGrants-in-Aid for Scientific Research (KAKENHI))</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</si>
  <si>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Steve Simon, University of New Mexico, Timothy McCoy, Smithsonian Institution, and ANSMET program for allocation of meteorite samples. We acknowledge extensive supports from John Fournelle for EPMA, Bil Schneider for SEM, and Michael Spicuzza and Peter Sobol for SIMS support. We thank the three anonymous reviewers and associate editor Anders Meibom for their constructive comments that helped improve the manuscript. This work is supported by NASA Emerging World Program(NNX17AE29G, N. K.). The upgrade of the RF plasma source is supported by the NASA Laboratory Analysis of Returned Samples and Planetary Major Equipment Programs (NNX16AG80G)and the NSF Instrumentation and Facility Program (EAR-1355590). WiscSIMS is partly supported by NSF (EAR-1658823).FIB instrumentation was supported by NSF through the University of Wisconsin Materials Research Science and Engineering Cen-ter (DMR-17204015). This work was also supported by a Grant-in-aids of Ministry of Education, Science, Sport, and Culture of Japanese government, No. 18K03729 to M. K.</t>
  </si>
  <si>
    <t>10.1016/j.gca.2022.02.010</t>
  </si>
  <si>
    <t>WOS:000802970500009</t>
  </si>
  <si>
    <t>Clinger, A; Fox, M; Balco, G; Cuffey, K; Shuster, D</t>
  </si>
  <si>
    <t>Clinger, Anna; Fox, Matthew; Balco, Greg; Cuffey, Kurt; Shuster, David</t>
  </si>
  <si>
    <t>Tectonic controls on the timing of fjord incision at the Antarctic Peninsula</t>
  </si>
  <si>
    <t>glacial erosion; low-temperature thermochronology; geomorphology; topography</t>
  </si>
  <si>
    <t>ICE-SHEET; EROSION; MA; TOPOGRAPHY; TRANSITION; EVOLUTION; REVEALS; UPLIFT</t>
  </si>
  <si>
    <t>We report 534 detrital apatite (U-Th)/He thermochronometric ages collected along a &gt; 400 km latitudinal transect along the Antarctic Peninsula (AP). We use the dataset to evaluate the relative roles of climate change and tectonics on the timing of km-scale fjord incision. We find that the onset of km-scale topographic change occurred more than 15 million years after the initiation of glaciation in the region, and generally coincided with the arrival times of the spreading ridge at different latitudes. These results indicate that tectonically-initiated rock uplift accelerated rates of erosion during long glacial conditions at the AP. We infer that rock uplift primarily affected glacial erosion rates by increasing topographic relief, and thereby increasing ice motion and its capacity to erode. These are among the first empirical observations to reveal that a tectonic history, and its control on the regional topography of a landscape, has influenced glacial erosion rates over geologic timescales. (C)&amp; nbsp;2022 Elsevier B.V. All rights reserved.</t>
  </si>
  <si>
    <t>[Clinger, Anna; Cuffey, Kurt; Shuster, David] Univ Calif Berkeley, Dept Earth &amp; Planetary Sci, Berkeley, CA 94720 USA; [Clinger, Anna; Balco, Greg; Shuster, David] Berkeley Geochronol Ctr, Berkeley, CA USA; [Fox, Matthew] UCL, Dept Earth Sci, London, England; [Cuffey, Kurt] Univ Calif Berkeley, Dept Geog, Berkeley, CA USA</t>
  </si>
  <si>
    <t>University of California System; University of California Berkeley; Berkeley Geochronolgy Center; University of London; University College London; University of California System; University of California Berkeley</t>
  </si>
  <si>
    <t>Clinger, A; Shuster, D (corresponding author), Univ Calif Berkeley, Dept Earth &amp; Planetary Sci, Berkeley, CA 94720 USA.</t>
  </si>
  <si>
    <t>aeclinger@berkeley.edu; dshuster@berkeley.edu</t>
  </si>
  <si>
    <t>Fox, Matthew/K-2004-2019</t>
  </si>
  <si>
    <t>NSF [OPP-1543256]; NERC [NE/N015479/1]</t>
  </si>
  <si>
    <t>NSF(National Science Foundation (NSF)); NERC(UK Research &amp; Innovation (UKRI)Natural Environment Research Council (NERC))</t>
  </si>
  <si>
    <t>Acknowledgements This work was supported by NSF Award OPP-1543256 (to D. L. S. and G.B.) . M. F. was supported by NERC (NE/N015479/1) . We thank the scientific party and crew of the RV Laurence M. Gould 02-17 for supporting sample collection and Mary Lonsdale, Nicole Mizrahi, Moe Mijjum, Jessica Gagliardi, Paolo Sanchez, Nick Fylstra, and Brian Jones for assistance processing samples, picking detrital apatite crystals, and analytical support.</t>
  </si>
  <si>
    <t>10.1016/j.epsl.2022.117528</t>
  </si>
  <si>
    <t>1G3IK</t>
  </si>
  <si>
    <t>WOS:000795744400011</t>
  </si>
  <si>
    <t>Strain, EMA; Kompas, T; Boxshall, A; Kelvin, J; Swearer, S; Morris, RL</t>
  </si>
  <si>
    <t>Strain, E. M. A.; Kompas, T.; Boxshall, A.; Kelvin, J.; Swearer, S.; Morris, R. L.</t>
  </si>
  <si>
    <t>Assessing the coastal protection services of natural mangrove forests and artificial rock revetments</t>
  </si>
  <si>
    <t>ECOSYSTEM SERVICES</t>
  </si>
  <si>
    <t>Avicennia marina; Coastal infrastructure; Coastal Protection; Eco-engineering; Social science; Economic valuation</t>
  </si>
  <si>
    <t>INFRASTRUCTURE; RISK; ATTENUATION; PERCEPTION; HABITATS; DEFENSE; LINKING</t>
  </si>
  <si>
    <t>Coastal flooding and erosion cause significant social and economic impacts, globally. There is a growing interest in using natural habitats such as mangroves to defend coastlines. The protective services of mangroves, however, have not been assessed in the same rigorous engineering and socio-economic terms as rock revetments, and therefore are often overlooked by coastal managers. We used field measurements, a social science survey and economic valuation to compare the coastal protection services of mangroves and rock revetments, at five locations across Victoria, Australia. The results showed, in sheltered locations, both mangroves and rock revetments attenuated waves, however, the wave attenuation (per metre) of rock revetments was greater than mangroves, at two of the five locations. Only a small proportion of the survey respondents had observed flooding or erosion in their suburb but most agreed that mangroves provide important coastal protection benefits. Coastal landowners visited areas with mangroves more often than the public but were less likely to worry about the links between climate change and coastal erosion and flooding, or to agree that the coast was well protected with existing artificial coastal infrastructure, than other respondents. There were much higher up-front costs associated with building rock revetments, than planting mangroves, but rock revetments required less land than mangroves. Mangroves covered a larger area and averted more damages than rock revetments. Coastal managers and policy makers will have more success in advocating for nature-based solutions for coastal protection, if they are implemented in locations where they are eco-engineering and socio-economically acceptable options for climate change adaptation.</t>
  </si>
  <si>
    <t>[Strain, E. M. A.; Boxshall, A.; Swearer, S.; Morris, R. L.] Univ Melbourne, Natl Ctr Coasts &amp; Climate, Sch Biosci, Melbourne, Vic, Australia; [Strain, E. M. A.] Univ Tasmania, Inst Marine &amp; Antarctic Sci, Hobart, Tas, Australia; [Strain, E. M. A.] Univ Tasmania, Ctr Marine Socioecol, Hobart, Tas 7053, Australia; [Kompas, T.] Univ Melbourne, Ctr Excellence &amp; Biosecur Risk Anal, Sch Biosci, Sch Ecosyst &amp; Forest Sci, Melbourne, Vic, Australia; [Kelvin, J.] Deakin Univ, Ctr Integrat Ecol, Sch Life &amp; Environm Sci, Burwood, Vic, Australia</t>
  </si>
  <si>
    <t>University of Melbourne; Melbourne Genomics Health Alliance; University of Tasmania; University of Tasmania; Melbourne Genomics Health Alliance; University of Melbourne; Deakin University</t>
  </si>
  <si>
    <t>Strain, EMA (corresponding author), Univ Melbourne, Natl Ctr Coasts &amp; Climate, Sch Biosci, Melbourne, Vic, Australia.;Strain, EMA (corresponding author), Univ Tasmania, Inst Marine &amp; Antarctic Sci, Hobart, Tas, Australia.;Strain, EMA (corresponding author), Univ Tasmania, Ctr Marine Socioecol, Hobart, Tas 7053, Australia.</t>
  </si>
  <si>
    <t>Strain, Elisabeth/U-3520-2017; Swearer, Stephen/X-4882-2018</t>
  </si>
  <si>
    <t>Swearer, Stephen/0000-0001-6381-9943; Kompas, Tom/0000-0002-0665-0966; Boxshall, Anthony/0000-0001-6342-4167</t>
  </si>
  <si>
    <t>Earth Systems and Climate Change Hub by the Australian Government's National Environmental Science Program; University of Melbourne; Climate Change Innovation Fund; Victorian Coastal Council; Mapping Ocean Wealth foundation</t>
  </si>
  <si>
    <t>Earth Systems and Climate Change Hub by the Australian Government's National Environmental Science Program; University of Melbourne(University of Melbourne); Climate Change Innovation Fund; Victorian Coastal Council; Mapping Ocean Wealth foundation</t>
  </si>
  <si>
    <t>We thank Paul Carnell, Pawel Waryszak, Nina Incerti-Zapedowski and Johanna Tachas for their help with fieldwork, Darren James for providing information and estimates of the costs of constructing rock revetments and Jon Barrett for advice on the questionnaire. The National Centre for Coasts and Climate is funded through the Earth Systems and Climate Change Hub by the Australian Government's National Environmental Science Program. The research was supported by research funds awarded to ES and RB through the University of Melbourne, to RB and SS through the Climate Change Innovation Fund, to TK through the Victorian Coastal Council and to JK through the Mapping Ocean Wealth foundation.</t>
  </si>
  <si>
    <t>2212-0416</t>
  </si>
  <si>
    <t>ECOSYST SERV</t>
  </si>
  <si>
    <t>Ecosyst. Serv.</t>
  </si>
  <si>
    <t>10.1016/j.ecoser.2022.101429</t>
  </si>
  <si>
    <t>Ecology; Environmental Sciences; Environmental Studies</t>
  </si>
  <si>
    <t>1G0JJ</t>
  </si>
  <si>
    <t>WOS:000795543300003</t>
  </si>
  <si>
    <t>Bernard, ES; Coleman, R</t>
  </si>
  <si>
    <t>Bernard, E. S.; Coleman, R.</t>
  </si>
  <si>
    <t>Estimating variability in point load resistance of fibre reinforced shotcrete linings</t>
  </si>
  <si>
    <t>TUNNELLING AND UNDERGROUND SPACE TECHNOLOGY</t>
  </si>
  <si>
    <t>In the design of fibre reinforced shotcrete linings, the focus of attention is usually fixed on determining the maximum load capacity to satisfy ultimate limit state requirements. Less attention is focused on determining the variability in capacity, both in service and at ultimate load, but this variability is relevant to identification of a suitable partial safety factor for lining load capacity. To help address this deficit, a series of analyses have been undertaken to assess the likely magnitude of variation in the flexural and punching shear resistance of fibre reinforced shotcrete linings. The analyses have been based on an assessment of the propagation of variances using analytical and semi-empirical models of flexural and punching resistance. When compared to observed variability in full-scale tests of lining capacity, the analyses produce acceptable estimates of the measured Coefficient of Variation in lining load resistance.</t>
  </si>
  <si>
    <t>[Bernard, E. S.] Victoria Univ, Inst Sustainable Ind &amp; Liveable Cities ISILC, Melbourne, Vic 8001, Australia; [Coleman, R.] Univ Tasmania, Inst Marine &amp; Antarctic Studies, Hobart, Tas 7004, Australia</t>
  </si>
  <si>
    <t>Victoria University; Melbourne Genomics Health Alliance; University of Tasmania</t>
  </si>
  <si>
    <t>Bernard, ES (corresponding author), Victoria Univ, Inst Sustainable Ind &amp; Liveable Cities ISILC, Melbourne, Vic 8001, Australia.</t>
  </si>
  <si>
    <t>s.bernard@tse.net.au; richard.coleman@utas.edu.au</t>
  </si>
  <si>
    <t>Coleman, Richard/H-4425-2012</t>
  </si>
  <si>
    <t>0886-7798</t>
  </si>
  <si>
    <t>1878-4364</t>
  </si>
  <si>
    <t>TUNN UNDERGR SP TECH</t>
  </si>
  <si>
    <t>Tunn. Undergr. Space Technol.</t>
  </si>
  <si>
    <t>10.1016/j.tust.2022.104455</t>
  </si>
  <si>
    <t>Construction &amp; Building Technology; Engineering, Civil</t>
  </si>
  <si>
    <t>Construction &amp; Building Technology; Engineering</t>
  </si>
  <si>
    <t>1D3LB</t>
  </si>
  <si>
    <t>WOS:000793703900002</t>
  </si>
  <si>
    <t>Grant, ML; Bond, AL; Lavers, JL</t>
  </si>
  <si>
    <t>Grant, Megan L.; Bond, Alexander L.; Lavers, Jennifer L.</t>
  </si>
  <si>
    <t>The influence of seabirds on their breeding, roosting and nesting grounds: A systematic review and meta-analysis</t>
  </si>
  <si>
    <t>enrichment; guano; marine-derived; mobile link; vector</t>
  </si>
  <si>
    <t>GULLS LARUS-CACHINNANS; NITROGEN ISOTOPIC COMPOSITION; DRONNING MAUD LAND; KING GEORGE ISLAND; ROSS SEA REGION; TRACE-ELEMENTS; TERRESTRIAL ECOSYSTEMS; ORNITHOGENIC PRODUCTS; ATLANTIC ISLANDS; NUTRIENT STATUS</t>
  </si>
  <si>
    <t>Seabird species world-wide are integral to both marine and terrestrial environments, connecting the two systems by transporting vast quantities of marine-derived nutrients and pollutants to terrestrial breeding, roosting and nesting grounds via the deposition of guano and other allochthonous inputs (e.g. eggs, feathers). We conducted a systematic review and meta-analysis and provide insight into what types of nutrients and pollutants seabirds are transporting, the influence these subsidies are having on recipient environments, with a particular focus on soil, and what may happen if seabird populations decline. The addition of guano to colony soils increased nutrient levels compared to control soils for all seabirds studied, with cascading positive effects observed across a range of habitats. Deposited guano sometimes led to negative impacts, such as guanotrophication, or guano-induced eutrophication, which was often observed where there was an excess of guano or in areas with high seabird densities. While the literature describing nutrients transported by seabirds is extensive, literature regarding pollutant transfer is comparatively limited, with a focus on toxic and bioaccumulative metals. Research on persistent organic pollutants and plastics transported by seabirds is likely to increase in coming years. Studies were limited geographically, with hotspots of research activity in a few locations, but data were lacking from large regions around the world. Studies were also limited to seabird species listed as Least Concern on the IUCN Red List. As seabird populations are impacted by multiple threats and steep declines have been observed for many species world-wide, gaps in the literature are particularly concerning. The loss of seabirds will impact nutrient cycling at localized levels and potentially on a global scale as well, yet it is unknown what may truly happen to areas that rely on seabirds if these populations disappear.</t>
  </si>
  <si>
    <t>[Grant, Megan L.; Bond, Alexander L.; Lavers, Jennifer L.] Univ Tasmania, Inst Marine &amp; Antarctic Studies, Newnham, Tas, Australia; [Bond, Alexander L.] Nat Hist Museum, Dept Life Sci, Bird Grp, Tring, Herts, England</t>
  </si>
  <si>
    <t>University of Tasmania; Natural History Museum London</t>
  </si>
  <si>
    <t>Lavers, JL (corresponding author), Univ Tasmania, Inst Marine &amp; Antarctic Studies, Newnham, Tas, Australia.</t>
  </si>
  <si>
    <t>jennifer.lavers@utas.edu.au</t>
  </si>
  <si>
    <t>Lavers, Jennifer/O-4831-2017; Bond, Alexander L/A-3786-2010; Lavers, Jennifer/IWM-5417-2023</t>
  </si>
  <si>
    <t>Lavers, Jennifer/0000-0001-7596-6588; Grant, Megan/0000-0002-0407-8468; Bond, Alexander/0000-0003-2125-7238</t>
  </si>
  <si>
    <t>10.1111/1365-2656.13699</t>
  </si>
  <si>
    <t>1W1WW</t>
  </si>
  <si>
    <t>WOS:000782670300001</t>
  </si>
  <si>
    <t>Warwick-Evans, V; Fielding, S; Reiss, CS; Watters, GM; Trathan, PN</t>
  </si>
  <si>
    <t>Warwick-Evans, V; Fielding, S.; Reiss, C. S.; Watters, G. M.; Trathan, P. N.</t>
  </si>
  <si>
    <t>Estimating the average distribution of Antarctic krill Euphausia superba at the northern Antarctic Peninsula during austral summer and winter</t>
  </si>
  <si>
    <t>Fisheries management; Habitat modelling; Predator requirements; Seasonal distribution</t>
  </si>
  <si>
    <t>SOUTH SHETLAND ISLANDS; SEA-ICE; SPATIAL-DISTRIBUTION; SCOTIA SEA; PACK-ICE; ABUNDANCE; VARIABILITY; WATER; WEST; RECRUITMENT</t>
  </si>
  <si>
    <t>This study was performed to aid the management of the fishery for Antarctic krill Euphausia superba. Krill are an important component of the Antarctic marine ecosystem, providing a key food source for many marine predators. Additionally, krill are the target of the largest commercial fishery in the Southern Ocean, for which annual catches have been increasing and concentrating in recent years. The krill fishery is managed by the Commission for the Conservation of Antarctic Marine Living Resources (CCAMLR), which has endorsed a new management framework that requires information about the spatial distribution and biomass of krill. Here, we use krill density estimates from acoustic surveys and a GAMM framework to model habitat properties associated with high krill biomass during summer and winter in the northern Antarctic Peninsula region, an area important to the commercial fishery. Our models show elevated krill density associated with the shelf break, increased sea surface temperature, moderate chlorophyll-a concentration and increased salinity. During winter, our models show associations with shallow waters (&lt; 1500 m) with low sea-ice concentration, medium sea-level anomaly and medium current speed. Our models predict temporal averages of the distribution and density of krill, which can be used to aid CCAMLR's revised ecosystem approach to fisheries management. Our models have the potential to help in the spatial and temporal design of future acoustic surveys that would preclude the need for modelled extrapolations. We highlight that the ecosystem approach to fisheries management of krill critically depends upon such field observations at relevant spatial and temporal scales.</t>
  </si>
  <si>
    <t>[Warwick-Evans, V; Fielding, S.; Trathan, P. N.] British Antarctic Survey, Madingley Rd, Cambridge CB3 0ET, England; [Reiss, C. S.; Watters, G. M.] NOAA, Natl Marine Fisheries Serv, Antarctic Ecosyst Res Div, Southwest Fisheries Sci Ctr, 8901 La Jolla Shores Dr, La Jolla, CA 92037 USA</t>
  </si>
  <si>
    <t>UK Research &amp; Innovation (UKRI); Natural Environment Research Council (NERC); NERC British Antarctic Survey; National Oceanic Atmospheric Admin (NOAA) - USA</t>
  </si>
  <si>
    <t>Warwick-Evans, V (corresponding author), British Antarctic Survey, Madingley Rd, Cambridge CB3 0ET, England.</t>
  </si>
  <si>
    <t>Watters, George/HPE-2184-2023; Fielding, Sophie/E-5137-2012</t>
  </si>
  <si>
    <t>Watters, George/0000-0002-6989-1273; Warwick-Evans, Victoria/0000-0002-0583-5504</t>
  </si>
  <si>
    <t>Darwin Plus [072]; Pew Charitable Trusts [PA00034295]; UKRI NERC BAS NC-ALI</t>
  </si>
  <si>
    <t>Darwin Plus; Pew Charitable Trusts; UKRI NERC BAS NC-ALI</t>
  </si>
  <si>
    <t>This paper is a contribution to the BAS Ecosystems programme, funded by Darwin Plus 072 and the Pew Charitable Trusts under PA00034295. SF was funded by the UKRI NERC BAS NC-ALI.</t>
  </si>
  <si>
    <t>10.1007/s00300-022-03039-y</t>
  </si>
  <si>
    <t>WOS:000782742700001</t>
  </si>
  <si>
    <t>Neder, C; Fofonova, V; Androsov, A; Kuznetsov, I; Abele, D; Falk, U; Schloss, IR; Sahade, R; Jerosch, K</t>
  </si>
  <si>
    <t>Neder, Camila; Fofonova, Vera; Androsov, Alexey; Kuznetsov, Ivan; Abele, Doris; Falk, Ulrike; Schloss, Irene R.; Sahade, Ricardo; Jerosch, Kerstin</t>
  </si>
  <si>
    <t>Modelling suspended particulate matter dynamics at an Antarctic fjord impacted by glacier melt</t>
  </si>
  <si>
    <t>JOURNAL OF MARINE SYSTEMS</t>
  </si>
  <si>
    <t>SPM dynamics; FESOM-C; Ocean model; Sediment; Coastal ecosystems</t>
  </si>
  <si>
    <t>KING GEORGE ISLAND; POTTER COVE; CLIMATE-CHANGE; BENTHIC COMMUNITIES; SEDIMENT TRANSPORT; COASTAL WATERS; ICE SCOUR; SEA-FLOOR; OCEAN; DISTURBANCE</t>
  </si>
  <si>
    <t>When Antarctic glaciers retreat, high sediment loads from geomorphological and glaciological sources can disturb the biota, especially filtering organisms, and thereby significantly alter the ecology of the Antarctic coast. We applied the Finite volumE Sea-ice Ocean-Coastal Model (FESOM-C), a numerical tool equipped with a sediment module, to simulate for the first time the suspended particulate matter (SPM) dynamics in a fjordic environment at the northern West Antarctic Peninsula, Potter Cove as a case study. Depth-averaged SPM dynamics during a meteorologically representative austral summer (120 days from December to March) considered tidal and atmospheric forcing. Additionally, idealised experiments with passive particles based on post processing Lagrangian module identified and followed possible material trajectories in Potter Cove. Particle dynamics in the area show them to be primarily tidal and wind-driven, sensitive to bathymetry, with the higher SPM concentrations in the inner cove and the highest hydrographical complexity in the transitional area between the fjordic and marine habitat. The SPM plume covers 5.5 km(2) of the total inlet of 9 km(2), with monthly mean values between 15 and 330 mg/l. The maximum SPM concentrations are during January (790 mg/l), and the maximum plume expansion during February. The model was validated with available in situ measurements. With this study, we can identify areas in Potter Cove (and similar coastal fjordic environments, prospectively) of increasing physical stress by longer SPM residence time and high accumulation rates induced by glacial meltwater. These factors are crucial for pelagic and benthic assemblages dependent on light and food availability, as well sediment deposition.</t>
  </si>
  <si>
    <t>[Neder, Camila; Sahade, Ricardo] Univ Nacl Cordoba, Fac Ciencias Exactas Fis &amp; Nat, Cordoba, Argentina; [Neder, Camila; Sahade, Ricardo] Consejo Nacl Invest Cient &amp; Tecn CONICET, Inst Diversidad &amp; Ecol Anim Idea, Cordoba, Argentina; [Neder, Camila; Fofonova, Vera; Androsov, Alexey; Kuznetsov, Ivan; Abele, Doris; Jerosch, Kerstin] Alfred Wegener Inst Polar &amp; Marine Res, Bremerhaven, Germany; [Falk, Ulrike] Univ Bremen, Inst Geog, Climate Lab, Bremen, Germany; [Schloss, Irene R.] Inst Antartico Argentino, Buenos Aires, DF, Argentina; [Schloss, Irene R.] Ctr Austral Invest Cient CADIC, Ushuaia, Argentina; [Schloss, Irene R.] Univ Nacl Tierra Fuego Antartida &amp; Islas Atlantic, Ushuaia, Argentina</t>
  </si>
  <si>
    <t>National University of Cordoba; Consejo Nacional de Investigaciones Cientificas y Tecnicas (CONICET); Helmholtz Association; Alfred Wegener Institute, Helmholtz Centre for Polar &amp; Marine Research; University of Bremen; Instituto Antartico Argentino</t>
  </si>
  <si>
    <t>Neder, C (corresponding author), ECOMARES, Inst Diversidad &amp; Ecol Anim IDEA CONICET UNC, Av Velez Sarsfield 299, RA-5000 Cordoba, Argentina.</t>
  </si>
  <si>
    <t>cami.n37@gmail.com</t>
  </si>
  <si>
    <t>Kuznetsov, Ivan/ABC-6870-2020; Jerosch, Kerstin/ABC-8913-2020; Fofonova, Vera/ABA-2221-2021</t>
  </si>
  <si>
    <t>Kuznetsov, Ivan/0000-0001-5910-8081; Jerosch, Kerstin/0000-0003-0728-2154; Fofonova, Vera/0000-0002-5956-1844; Neder, Camila/0000-0001-9978-9053</t>
  </si>
  <si>
    <t>Consejo Nacional de Investigaciones Cientificas y Tecnicas (CONICET) [4252/116]; Deutscher Akademischer Austauschdienst (DAAD); Ministerio de Educacion Argentina [91700957]; Alfred Wegener Institute-Helmholtz Center for Polar and Marine Research (AWI); European Union [872690]; EU-project IMCONet (FP7 IRSES) [318718]; Library OA AWI; Coastal Ecology section; Marie Curie Actions (MSCA) [872690] Funding Source: Marie Curie Actions (MSCA)</t>
  </si>
  <si>
    <t>Consejo Nacional de Investigaciones Cientificas y Tecnicas (CONICET)(Consejo Nacional de Investigaciones Cientificas y Tecnicas (CONICET)); Deutscher Akademischer Austauschdienst (DAAD)(Deutscher Akademischer Austausch Dienst (DAAD)); Ministerio de Educacion Argentina; Alfred Wegener Institute-Helmholtz Center for Polar and Marine Research (AWI); European Union(European Union (EU)); EU-project IMCONet (FP7 IRSES); Library OA AWI; Coastal Ecology section; Marie Curie Actions (MSCA)(Marie Curie Actions)</t>
  </si>
  <si>
    <t>This project was partly supported by Consejo Nacional de Investigaciones Cientificas y Tecnicas (CONICET-Res. N. 4252/116), by Deutscher Akademischer Austauschdienst (DAAD) and Ministerio de Educacion Argentina with the grant ALEARG'18 (ref N. 91700957), by the Alfred Wegener Institute-Helmholtz Center for Polar and Marine Research (AWI), and has received funding from the European Union's Horizon 2020 research and innovation programme under the Marie Sklodowska-Curie grant agreement No 872690 CoastCarb. The authors gratefully acknowledge the provision of tidal data from Potter Cove by Oscar Gonzalez and Martin Roese of the Instituto Ant ' artico Argentino (IAA). Thanks to Dr. Donata Monien and Dr. Patrick Monien for supplying SPM and geological data for Potter Cove. We dedicate this paper to Dr. Doris Abele, who bravely fought a long illness throughout this project. This modelling work draws from the large data pool archived by the previous projects at Potter Cove, BMBF-project IMCOAST, and EU-project IMCONet (FP7 IRSES, action no. 318718). We thank the anonymous reviewer and the Co-Editor, Eileen Hofmann for the positive and constructive comments on the manuscript. Thomas F. Mumford carried out the language editing. Open access was supported by Library OA AWI and Coastal Ecology section.</t>
  </si>
  <si>
    <t>0924-7963</t>
  </si>
  <si>
    <t>1879-1573</t>
  </si>
  <si>
    <t>J MARINE SYST</t>
  </si>
  <si>
    <t>J. Mar. Syst.</t>
  </si>
  <si>
    <t>10.1016/j.jmarsys.2022.103734</t>
  </si>
  <si>
    <t>Geosciences, Multidisciplinary; Marine &amp; Freshwater Biology; Oceanography</t>
  </si>
  <si>
    <t>Geology; Marine &amp; Freshwater Biology; Oceanography</t>
  </si>
  <si>
    <t>1X9AE</t>
  </si>
  <si>
    <t>WOS:000807740700003</t>
  </si>
  <si>
    <t>Herman, RW; Lynch, HJ</t>
  </si>
  <si>
    <t>Herman, Rachael W.; Lynch, Heather J.</t>
  </si>
  <si>
    <t>Age-structured model reveals prolonged immigration is key for colony establishment in Gentoo Penguins</t>
  </si>
  <si>
    <t>ORNITHOLOGICAL APPLICATIONS</t>
  </si>
  <si>
    <t>Antarctica; approximate Bayesian computation; Gentoo Penguin; metapopulation dynamics; Pygoscelis papua; range expansion; seabird</t>
  </si>
  <si>
    <t>APPROXIMATE BAYESIAN COMPUTATION; METAPOPULATION DYNAMICS; PYGOSCELIS-PAPUA; CLIMATE-CHANGE; SURVIVAL; SEABIRDS; DENSITY; CONSEQUENCES; RECRUITMENT; POPULATIONS</t>
  </si>
  <si>
    <t>Understanding the mechanisms of site colonization and range expansion is crucial to understanding population dynamics, particularly for colonial seabirds that may struggle to shift their breeding ranges under climate change. We provide an alternative and simple approach to estimating the number of migrating individuals among colonies when original mark-recapture datasets are not available for use in more integrated and established methods. Here we fit an age-structured population model with published vital rates and breeding success rates to simple point counts of abundance using rejection-based approximate Bayesian computation (ABC) to estimate the contribution of immigration to four recently colonized Gentoo Penguin (Pygoscelis papua) breeding sites on the Western Antarctic Peninsula. We found that sustained immigration over several years was required to generate the rapid population growth observed, with some sites even showing evidence of an accelerating immigration rate following initial colonization. We demonstrate that our method is capable of estimating the contribution of immigration to population growth in a species where mark-recapture datasets are unavailable. By leveraging census data that are relatively easy to obtain, our approach provides a new method for understanding how range expansions occur in species such as Antarctic penguins whose habitat is undergoing changing climate conditions. Lay Summary center dot Understanding how birds colonize new locations is important for learning how they may respond to climate change. While many methods exist to estimate the number of individuals that are moving among colonies, they cannot always be applied to certain species for which certain datasets are missing or unavailable. center dot We overcame this issue by applying a common statistical approach to simulate growth of four new Gentoo Penguin colonies and compare these to the true growth patterns. Our model results showed that the rapid population growth we observed must have been supported by hundreds of immigrants coming from other colonies. center dot These findings are interesting because these new colonies have led to a southward expansion of this species' typical breeding distribution and this recent range expansion may be a response to changing climate. We demonstrate that this method is effective at estimating movement among colonies when other similar methods cannot be applied due to lack of dataset availability and data collection limitations of the species of interest.</t>
  </si>
  <si>
    <t>[Herman, Rachael W.; Lynch, Heather J.] SUNY Stony Brook, Dept Ecol &amp; Evolut, Stony Brook, NY 11794 USA; [Lynch, Heather J.] SUNY Stony Brook, Inst Adv Computat Sci, Stony Brook, NY 11794 USA</t>
  </si>
  <si>
    <t>State University of New York (SUNY) System; State University of New York (SUNY) Stony Brook; State University of New York (SUNY) System; State University of New York (SUNY) Stony Brook</t>
  </si>
  <si>
    <t>Herman, RW (corresponding author), SUNY Stony Brook, Dept Ecol &amp; Evolut, Stony Brook, NY 11794 USA.</t>
  </si>
  <si>
    <t>rachael.herman@stonybrook.edu</t>
  </si>
  <si>
    <t>National Aeronautics and Space Administration Future Investigators in NASA Earth and Space Science and Technology program [80NSSC20K1605]; National Aeronautics and Space Administration [80NSSC20K1289]</t>
  </si>
  <si>
    <t>National Aeronautics and Space Administration Future Investigators in NASA Earth and Space Science and Technology program; National Aeronautics and Space Administration(National Aeronautics &amp; Space Administration (NASA))</t>
  </si>
  <si>
    <t>Funding was provided by the National Aeronautics and Space Administration Future Investigators in NASA Earth and Space Science and Technology program (Award 80NSSC20K1605) and National Aeronautics and Space Administration (Award 80NSSC20K1289).</t>
  </si>
  <si>
    <t>0010-5422</t>
  </si>
  <si>
    <t>2732-4621</t>
  </si>
  <si>
    <t>ORNITHOL APPL</t>
  </si>
  <si>
    <t>Ornithol. Appl.</t>
  </si>
  <si>
    <t>AUG 2</t>
  </si>
  <si>
    <t>10.1093/ornithapp/duac014</t>
  </si>
  <si>
    <t>3M4IE</t>
  </si>
  <si>
    <t>WOS:000805233400001</t>
  </si>
  <si>
    <t>Martinez, DP; Oliver, C; Santibanez, N; Coronado, JL; Oyarzun-Salazar, R; Enriquez, R; Vargas-Chacoff, L; Romero, A</t>
  </si>
  <si>
    <t>Martinez, Danixa Pamela; Oliver, Cristian; Santibanez, Natacha; Coronado, Jose Leonardo; Oyarzun-Salazar, Ricardo; Enriquez, Ricardo; Vargas-Chacoff, Luis; Romero, Alex</t>
  </si>
  <si>
    <t>PAMPs of Piscirickettsia salmonis Trigger the Transcription of Genes Involved in Nutritional Immunity in a Salmon Macrophage-Like Cell Line</t>
  </si>
  <si>
    <t>FRONTIERS IN IMMUNOLOGY</t>
  </si>
  <si>
    <t>nutritional immunology; PAMPs (pathogen associated molecular patterns); Piscirickettsia salmonis; Salmo salar; transcription</t>
  </si>
  <si>
    <t>MEMBRANE-VESICLES; IRON; PATHOGEN; CULTURE; PCR; METABOLISM; MODULATION; ZINC</t>
  </si>
  <si>
    <t>The innate immune system can limit the growth of invading pathogens by depleting micronutrients at a cellular and tissue level. However, it is not known whether nutrient depletion mechanisms discriminate between living pathogens (which require nutrients) and pathogen-associated molecular patterns (PAMPs) (which do not). We stimulated SHK-1 cells with different PAMPs (outer membrane vesicles of Piscirickettsia salmonis OMVs, protein extract of P. salmonis TP and lipopolysaccharides of P. salmonis LPS) isolated from P. salmonis and evaluated transcriptional changes in nutritional immunity associated genes. Our experimental treatments were: Control (SHK-1 stimulated with bacterial culture medium), OMVs (SHK-1 stimulated with 1 mu g of outer membrane vesicles), TP (SHK-1 stimulated with 1 mu g of total protein extract) and LPS (SHK-1 stimulated with 1 mu g of lipopolysaccharides). Cells were sampled at 15-, 30-, 60- and 120-minutes post-stimulation. We detected increased transcription of zip8, zip14, irp1, irp2 and tfr1 in all three experimental conditions and increased transcription of dmt1 in cells stimulated with OMVs and TP, but not LPS. Additionally, we observed generally increased transcription of ireg-1, il-6, hamp, irp1, ft-h and ft-m in all three experimental conditions, but we also detected decreased transcription of these markers in cells stimulated with TP and LPS at specific time points. Our results demonstrate that SHK-1 cells stimulated with P. salmonis PAMPs increase transcription of markers involved in the transport, uptake, storage and regulation of micronutrients such as iron, manganese and zinc.</t>
  </si>
  <si>
    <t>[Martinez, Danixa Pamela; Oliver, Cristian; Santibanez, Natacha; Coronado, Jose Leonardo; Enriquez, Ricardo; Romero, Alex] Univ Austral Chile, Fac Ciencias Vet, Lab Inmunol &amp; estres Organismos Acuat, Inst Patol Anim, Valdivia, Chile; [Martinez, Danixa Pamela; Oyarzun-Salazar, Ricardo; Vargas-Chacoff, Luis] Univ Austral Chile, Fac Ciencias, Lab Fisiol peces, Inst Ciencias Marinas &amp; Limnol, Valdivia, Chile; [Vargas-Chacoff, Luis] Univ Austral Chile, Ctr Fondap Invest Altas Latitudes IDEAL, Valdivia, Chile; [Vargas-Chacoff, Luis] Univ Austral Chile, Millennium Inst Biodivers Antarctic &amp; Subantarctic, BASE, Valdivia, Chile; [Romero, Alex] Univ Austral Chile, Ctr Fondap Interdisciplinary Ctr Aquaculture Res I, Valdivia, Chile</t>
  </si>
  <si>
    <t>Universidad Austral de Chile; Universidad Austral de Chile; Universidad Austral de Chile; Universidad Austral de Chile; Universidad Austral de Chile</t>
  </si>
  <si>
    <t>Martinez, DP; Romero, A (corresponding author), Univ Austral Chile, Fac Ciencias Vet, Lab Inmunol &amp; estres Organismos Acuat, Inst Patol Anim, Valdivia, Chile.;Martinez, DP; Vargas-Chacoff, L (corresponding author), Univ Austral Chile, Fac Ciencias, Lab Fisiol peces, Inst Ciencias Marinas &amp; Limnol, Valdivia, Chile.;Vargas-Chacoff, L (corresponding author), Univ Austral Chile, Ctr Fondap Invest Altas Latitudes IDEAL, Valdivia, Chile.;Vargas-Chacoff, L (corresponding author), Univ Austral Chile, Millennium Inst Biodivers Antarctic &amp; Subantarctic, BASE, Valdivia, Chile.;Romero, A (corresponding author), Univ Austral Chile, Ctr Fondap Interdisciplinary Ctr Aquaculture Res I, Valdivia, Chile.</t>
  </si>
  <si>
    <t>danixapamela@gmail.com; luis.vargas@uach.cl; alexromero@uach.cl</t>
  </si>
  <si>
    <t>Santibañez, Natacha/IAR-1401-2023; Romero, Alejandro/R-4565-2019; Oyarzún-Salazar, Ricardo/HGU-6035-2022</t>
  </si>
  <si>
    <t>Romero, Alejandro/0000-0002-9343-3352; MARTINEZ GONZALEZ, DANIXA PAMELA/0000-0002-7363-419X; Oyarzun-Salazar, Ricardo/0000-0003-3177-399X</t>
  </si>
  <si>
    <t>Fondecyt [3200418]; Fondap-Ideal Grant [15150003]; Fondecyt-Iniciacion [11180994]; Fondap-Incar [15110027]; Vicerrectoria de Investigacion, Desarrollo y Creacion Artistica (VIDCA) of the Universidad Austral de Chile</t>
  </si>
  <si>
    <t>Fondecyt(Comision Nacional de Investigacion Cientifica y Tecnologica (CONICYT)CONICYT FONDECYT); Fondap-Ideal Grant; Fondecyt-Iniciacion(Comision Nacional de Investigacion Cientifica y Tecnologica (CONICYT)CONICYT FONDECYT); Fondap-Incar(Comision Nacional de Investigacion Cientifica y Tecnologica (CONICYT)CONICYT FONDAP); Vicerrectoria de Investigacion, Desarrollo y Creacion Artistica (VIDCA) of the Universidad Austral de Chile</t>
  </si>
  <si>
    <t>This work was financially supported by Fondecyt-Postdoctoral No 3200418, Fondap-Ideal Grant No 15150003, Fondecyt-Iniciacion No 11180994, Fondap-Incar No 15110027 and Vicerrectoria de Investigacion, Desarrollo y Creacion Artistica (VIDCA) of the Universidad Austral de Chile.</t>
  </si>
  <si>
    <t>1664-3224</t>
  </si>
  <si>
    <t>FRONT IMMUNOL</t>
  </si>
  <si>
    <t>Front. Immunol.</t>
  </si>
  <si>
    <t>APR 14</t>
  </si>
  <si>
    <t>10.3389/fimmu.2022.849752</t>
  </si>
  <si>
    <t>Immunology</t>
  </si>
  <si>
    <t>1H0QP</t>
  </si>
  <si>
    <t>WOS:000796251400001</t>
  </si>
  <si>
    <t>Nash, M</t>
  </si>
  <si>
    <t>Nash, Meredith</t>
  </si>
  <si>
    <t>Breaking the silence around blood: managing menstruation during remote Antarctic fieldwork</t>
  </si>
  <si>
    <t>GENDER PLACE AND CULTURE</t>
  </si>
  <si>
    <t>Extreme environment; gender; menstrual etiquette; polar; stigma</t>
  </si>
  <si>
    <t>WOMEN; WORK; ENDOMETRIOSIS; ATTITUDES; HEALTH; IMPACT; POLAR; SPACE</t>
  </si>
  <si>
    <t>Drawing on qualitative interviews with female expeditioners in the Australian Antarctic Program, this article examines the additional labour involved in managing menstruation during remote Antarctic fieldwork. Unlike expeditioners working on a research station, fieldworkers rarely have consistent access to private toileting facilities or dedicated times/spaces to deal with their bodily excretions. However, being able to easily access toileting facilities can significantly impact how people who menstruate experience fieldwork. This is an overlooked but crucial corporeal challenge of working in Antarctica. Findings reveal that in male-dominated spaces, expeditioners must go to great lengths to make their menstruation invisible. A primary way that women do this is through menstrual suppression technologies. When these are not available or not preferred, women negotiate trying to keep their menstruation and gynaecological health issues hidden but often do so in field settings where there is little infrastructure or support. I argue that the lack of infrastructure to support menstrual health in the field is a form of sexism that maintains women's lower status in polar field environments. To conclude, I provide practical guidance for National Antarctic Programs to support people who menstruate.</t>
  </si>
  <si>
    <t>[Nash, Meredith] Univ Tasmania, Sch Social Sci, Private Bag 22, Hobart, Tas 7001, Australia</t>
  </si>
  <si>
    <t>Nash, M (corresponding author), Univ Tasmania, Sch Social Sci, Private Bag 22, Hobart, Tas 7001, Australia.</t>
  </si>
  <si>
    <t>Meredith.Nash@utas.edu.au</t>
  </si>
  <si>
    <t>Nash, Meredith/O-6178-2019</t>
  </si>
  <si>
    <t>Nash, Meredith/0000-0002-7429-4924</t>
  </si>
  <si>
    <t>The author is grateful to the participants who generously shared their experiences and to the Australian Antarctic Division for supporting this work.</t>
  </si>
  <si>
    <t>0966-369X</t>
  </si>
  <si>
    <t>1360-0524</t>
  </si>
  <si>
    <t>GENDER PLACE CULT</t>
  </si>
  <si>
    <t>Gend. Place Cult.</t>
  </si>
  <si>
    <t>AUG 3</t>
  </si>
  <si>
    <t>10.1080/0966369X.2022.2066635</t>
  </si>
  <si>
    <t>Geography; Women's Studies</t>
  </si>
  <si>
    <t>M8NL0</t>
  </si>
  <si>
    <t>WOS:000794281900001</t>
  </si>
  <si>
    <t>Virkkula, A; Grythe, H; Backman, J; Petäjä, T; Busetto, M; Lanconelli, C; Lupi, A; Becagli, S; Traversi, R; Severi, M; Vitale, V; Sheridan, P; Andrews, E</t>
  </si>
  <si>
    <t>Virkkula, Aki; Grythe, Henrik; Backman, John; Petaja, Tuukka; Busetto, Maurizio; Lanconelli, Christian; Lupi, Angelo; Becagli, Silvia; Traversi, Rita; Severi, Mirko; Vitale, Vito; Sheridan, Patrick; Andrews, Elisabeth</t>
  </si>
  <si>
    <t>Aerosol optical properties calculated from size distributions, filter samples and absorption photometer data at Dome C, Antarctica, and their relationships with seasonal cycles of sources</t>
  </si>
  <si>
    <t>PARTICLE DISPERSION MODEL; VISIBLE-LIGHT ABSORPTION; SEA-SALT; SOURCE APPORTIONMENT; SEGREGATED AEROSOL; CONCORDIA SITE; BOUNDARY-LAYER; ROUND RECORDS; LONG-TERM; CARBON</t>
  </si>
  <si>
    <t>Optical properties of surface aerosols at Dome C, Antarctica, in 2007-2013 and their potential source areas are presented. Scattering coefficients (sigma(sp)) were calculated from measured particle number size distributions with a Mie code and from filter samples using mass scattering efficiencies. Absorption coefficients (sigma(ap)) were determined with a three-wavelength Particle Soot Absorption Photometer (PSAP) and corrected for scattering by using two different algorithms. The scattering coefficients were also compared with sigma(sp) measured with a nephelometer at the South Pole Station (SPO). The minimum sigma(ap) was observed in the austral autumn and the maximum in the austral spring, similar to other Antarctic sites. The darkest aerosol, i.e., the lowest single-scattering albedo omega(o) approximate to 0.91, was observed in September and October and the highest omega(o) approximate to 0.99 in February and March. The uncertainty of the absorption angstrom ngstrom exponent alpha(ap) is high. The lowest alpha(ap) monthly medians were observed in March and the highest in August-October. The equivalent black carbon (eBC) mass concentrations were compared with eBC measured at three other Antarctic sites: the SPO and two coastal sites, Neumayer and Syowa. The maximum monthly median eBC concentrations are almost the same (similar to 3 +/- 1 ng m(-3)) at all these sites in October-November. This suggests that there is no significant difference in eBC concentrations between the coastal and plateau sites. The seasonal cycle of the eBC mass fraction exhibits a minimum f (eBC) approximate to 0.1 % in February-March and a maximum similar to 4 %-5 % in August-October. Source areas were calculated using 50 d FLEXPART footprints. The highest eBC concentrations and the lowest omega(o) were associated with air masses coming from South America, Australia and Africa. Vertical simulations that take BC particle removal processes into account show that there would be essentially no BC particles arriving at Dome C from north of latitude 10 degrees S at altitudes &lt; 1600 m. The main biomass-burning regions Africa, Australia and Brazil are more to the south, and their smoke plumes have been observed at higher altitudes than that, so they can get transported to Antarctica. The seasonal cycle of BC emissions from wildfires and agricultural burning and other fires in South America, Africa and Australia was calculated from data downloaded from the Global Fire Emissions Database (GFED). The maximum total emissions were in August-September, but the peak of monthly average eBC concentrations is observed 2-3 months later in November, not only at Dome C, but also at the SPO and the coastal stations. The air-mass residence-time-weighted BC emissions from South America are approximately an order of magnitude larger than from Africa and Oceania, suggesting that South American BC emissions are the largest contributors to eBC at Dome C. At Dome C the maximum and minimum scattering coefficients were observed in austral summer and winter, respectively. At the SPO sigma(sp) was similar to that observed at Dome C in the austral summer, but there was a large difference in winter, suggesting that in winter the SPO is more influenced by sea-spray emissions than Dome C. The seasonal cycles of sigma(sp) at Dome C and at the SPO were compared with the seasonal cycles of secondary and primary marine aerosol emissions. The sigma(sp) measured at the SPO correlated much better with the sea-spray aerosol emission fluxes in the Southern Ocean than sigma(sp) at Dome C. The seasonal cycles of biogenic secondary aerosols were estimated from monthly average phytoplankton biomass concentrations obtained from the Cloud-Aerosol Lidar with Orthogonal Polarization (CALIOP) satellite sensor data. The analysis suggests that a large fraction of the biogenic scattering aerosol observed at Dome C has been formed in the polar zone, but it may take a month for the aerosol to be formed, be grown and get transported from the sea level to Dome C.</t>
  </si>
  <si>
    <t>[Virkkula, Aki; Backman, John] Finnish Meteorol Inst FMI, Erik Palmenin Aukio 1,POB 503, Helsinki 00101, Finland; [Grythe, Henrik] Norwegian Inst Air Res NILU, POB 100, N-2027 Kjeller, Norway; [Virkkula, Aki; Petaja, Tuukka] Univ Helsinki, Inst Atmospher &amp; Earth Syst Res INAR Phys, Fac Sci, Helsinki, Finland; [Busetto, Maurizio; Lanconelli, Christian] Natl Res Council Italy, Inst Atmospher Sci &amp; Climate CNR ISAC, Via P Gobetti 101, I-40129 Bologna, Italy; [Lupi, Angelo; Vitale, Vito] Natl Res Council Italy, Inst Polar Sci CNR ISP, Via P Gobetti 101, I-40129 Bologna, Italy; [Lanconelli, Christian] European Commiss, Joint Res Ctr, Ispra, VA, Italy; [Becagli, Silvia; Traversi, Rita; Severi, Mirko] Univ Florence, Dept Chem, Florence, Italy; [Becagli, Silvia; Traversi, Rita; Severi, Mirko] Univ Venice, Natl Res Council Italy, Inst Polar Sci CNR ISP, Via Torino 155, I-30172 Venice, Italy; [Sheridan, Patrick; Andrews, Elisabeth] NOAA, Global Monitoring Lab, Boulder, CO USA; [Andrews, Elisabeth] Univ Colorado, Cooperat Inst Res Environm Sci, Boulder, CO 80309 USA</t>
  </si>
  <si>
    <t>Finnish Meteorological Institute; NILU; University of Helsinki; Consiglio Nazionale delle Ricerche (CNR); Istituto di Scienze dell'Atmosfera e del Clima (ISAC-CNR); Consiglio Nazionale delle Ricerche (CNR); Istituto di Scienze Polari (ISP-CNR); European Commission Joint Research Centre; EC JRC ISPRA Site; University of Florence; Universita Ca Foscari Venezia; Consiglio Nazionale delle Ricerche (CNR); Istituto di Scienze Polari (ISP-CNR); National Oceanic Atmospheric Admin (NOAA) - USA; University of Colorado System; University of Colorado Boulder</t>
  </si>
  <si>
    <t>Virkkula, A (corresponding author), Finnish Meteorol Inst FMI, Erik Palmenin Aukio 1,POB 503, Helsinki 00101, Finland.;Virkkula, A (corresponding author), Univ Helsinki, Inst Atmospher &amp; Earth Syst Res INAR Phys, Fac Sci, Helsinki, Finland.</t>
  </si>
  <si>
    <t>aki.virkkula@fmi.fi</t>
  </si>
  <si>
    <t>busetto, maurizio/Q-4118-2018; Becagli, Silvia/GNW-2665-2022; andrews, elisabeth/A-7104-2018; Petäjä, Tuukka/A-8009-2008; Virkkula, Aki/B-8575-2014; Lanconelli, Christian/Q-5848-2018; Traversi, Rita/M-7586-2015; Severi, Mirko/J-2508-2012</t>
  </si>
  <si>
    <t>andrews, elisabeth/0000-0002-9394-024X; Petäjä, Tuukka/0000-0002-1881-9044; Virkkula, Aki/0000-0003-4874-7552; Lanconelli, Christian/0000-0002-9545-1255; Traversi, Rita/0000-0002-9790-2195; Severi, Mirko/0000-0003-1511-6762; busetto, maurizio/0000-0003-1115-6564</t>
  </si>
  <si>
    <t>Academy of Finland project Antarctic Climate Forcing Aerosol (ACFA) [335845]; Business Finland project Black Carbon Footprint (BCF) [528/31/2019]; NILU [G-106057]; MIUR [2010/A3.05]; NOAA Climate Program Office; NOAA base funds; Academy of Finland (AKA) [335845] Funding Source: Academy of Finland (AKA)</t>
  </si>
  <si>
    <t>Academy of Finland project Antarctic Climate Forcing Aerosol (ACFA); Business Finland project Black Carbon Footprint (BCF); NILU; MIUR(Ministry of Education, Universities and Research (MIUR)); NOAA Climate Program Office(National Oceanic Atmospheric Admin (NOAA) - USA); NOAA base funds(National Oceanic Atmospheric Admin (NOAA) - USA); Academy of Finland (AKA)(Research Council of Finland)</t>
  </si>
  <si>
    <t>AV was funded by the Academy of Finland project Antarctic Climate Forcing Aerosol (ACFA) (decision nr. 335845) and by the Business Finland project Black Carbon Footprint (BCF) (grant no. 528/31/2019). HG was supported by NILU's internal financing for publications (G-106057). Aerosol sampling at Dome C was carried out in the framework of the Air-Glacs1181 Station Concordia project, which was funded by the MIUR through the Italian Programma Nazionale di Ricerche in Antartide (PNRA) and in the framework of DECA-POL (2010/A3.05) PNRA project. EA was funded by the NOAA Climate Program Office and PS by NOAA base funds.</t>
  </si>
  <si>
    <t>10.5194/acp-22-5033-2022</t>
  </si>
  <si>
    <t>0M9JT</t>
  </si>
  <si>
    <t>WOS:000782465800001</t>
  </si>
  <si>
    <t>Bird, JP; Terauds, A; Fuller, RA; Pascoe, PP; Travers, TD; McInnes, JC; Alderman, R; Shaw, JD</t>
  </si>
  <si>
    <t>Bird, Jeremy P.; Terauds, Aleks; Fuller, Richard A.; Pascoe, Penelope P.; Travers, Toby D.; McInnes, Julie C.; Alderman, Rachael; Shaw, Justine D.</t>
  </si>
  <si>
    <t>Generating unbiased estimates of burrowing seabird populations</t>
  </si>
  <si>
    <t>ECOGRAPHY</t>
  </si>
  <si>
    <t>density surface model; distance sampling; petrel; seabird; survey</t>
  </si>
  <si>
    <t>NESTING PETRELS; MANAGEMENT; MODELS; ISLAND; ERADICATION; CENSUS; SIZE</t>
  </si>
  <si>
    <t>Maximising survey efficiency can help reduce the tradeoff between spending limited conservation resources on identifying population changes and responding to those changes through management. Burrow-nesting seabirds are particularly challenging to survey because nests cannot be counted directly. We evaluated a stratified random survey design for generating unbiased population estimates simultaneously for four petrel species nesting on Macquarie Island, Australia, where the survey cue, burrow entrances, is similar for all species. We also compared the use of design-based and model-based analyses for minimising uncertainty in estimates. We recorded 2845 Antarctic prion burrows, 306 white-headed petrel burrows and two blue petrel burrows while distance-sampling along 154 km of transects. For blue petrels and grey petrels, we completed nocturnal searches along a further 71 km and searched 249 km of tracks during follow-up ground searches. We failed to generate unbiased population estimates for two rare and localised species, blue and grey petrels, from our stratified random survey. Only for the most widespread and abundant species, Antarctic prion, did the estimate have reasonable power to detect a rapid population change. Model-based analyses of the stratified random survey data did not improve upon traditional design-based analyses in terms of uncertainty in population estimates, but they did provide useful spatial representation of current populations. Models that used the targeted survey data did not reflect current population sizes and distributions of the two rare and localised species. We found that when species ecologies, distributions and abundances vary, a multi-method approach to surveys is needed. Species with low abundance that occur patchily across large islands are likely to be best estimated using targeted surveys, whereas widespread and abundant species can be accurately and precisely estimated from randomised surveys using informative model-based analyses.</t>
  </si>
  <si>
    <t>[Bird, Jeremy P.; Fuller, Richard A.; Shaw, Justine D.] Univ Queensland, Sch Biol Sci, St Lucia, Qld, Australia; [Bird, Jeremy P.; Pascoe, Penelope P.; Travers, Toby D.; McInnes, Julie C.] Univ Tasmania, Inst Marine &amp; Antarctic Studies, Battery Point, Tas, Australia; [Terauds, Aleks; McInnes, Julie C.] Dept Agr Water &amp; Environm, Australian Antarctic Div, Hobart, Australia; [Alderman, Rachael] Dept Nat Resources &amp; Environm, Hobart, Tas, Australia; [Shaw, Justine D.] Queensland Univ Technol, Sch Biol &amp; Environm Sci, Brisbane, Qld, Australia</t>
  </si>
  <si>
    <t>University of Queensland; University of Tasmania; Australian Antarctic Division; Queensland University of Technology (QUT)</t>
  </si>
  <si>
    <t>Bird, JP (corresponding author), Univ Queensland, Sch Biol Sci, St Lucia, Qld, Australia.</t>
  </si>
  <si>
    <t>jez.bird@uq.edu.au</t>
  </si>
  <si>
    <t>Bird, Jeremy/JFV-9213-2023; Fuller, Richard/B-7971-2008; McInnes, Julie C/C-2865-2014; Terauds, Aleks/A-4991-2010</t>
  </si>
  <si>
    <t>Bird, Jeremy/0000-0002-7466-1755; Fuller, Richard/0000-0001-9468-9678; Shaw, Justine/0000-0002-9603-2271; McInnes, Julie/0000-0001-8902-5199; Terauds, Aleks/0000-0001-7804-6648</t>
  </si>
  <si>
    <t>Australian Government's National Environmental Science Program through the Threatened Species Recovery Hub, the Australian Antarctic Science program [AAS 4305]; Antarctic Science International Bursary; National Environmental Science Programme Threatened Species Recovery Hub Research Support; BirdLife Australia Stuart Leslie Bird Research Award</t>
  </si>
  <si>
    <t>Australian Government's National Environmental Science Program through the Threatened Species Recovery Hub, the Australian Antarctic Science program; Antarctic Science International Bursary; National Environmental Science Programme Threatened Species Recovery Hub Research Support; BirdLife Australia Stuart Leslie Bird Research Award</t>
  </si>
  <si>
    <t>This study was supported by funding from the Australian Government's National Environmental Science Program through the Threatened Species Recovery Hub, the Australian Antarctic Science program (AAS 4305). JB was supported by a Research Training Program scholarship, an Antarctic Science International Bursary, National Environmental Science Programme Threatened Species Recovery Hub Research Support and a BirdLife Australia Stuart Leslie Bird Research Award.</t>
  </si>
  <si>
    <t>0906-7590</t>
  </si>
  <si>
    <t>1600-0587</t>
  </si>
  <si>
    <t>Ecography</t>
  </si>
  <si>
    <t>e06204</t>
  </si>
  <si>
    <t>10.1111/ecog.06204</t>
  </si>
  <si>
    <t>2O7NY</t>
  </si>
  <si>
    <t>WOS:000782391300001</t>
  </si>
  <si>
    <t>Wille, JD; Favier, V; Jourdain, NC; Kittel, C; Turton, JV; Agosta, C; Gorodetskaya, IV; Picard, G; Codron, F; Leroy-Dos Santos, C; Amory, C; Fettweis, X; Blanchet, J; Jomelli, V; Berchet, A</t>
  </si>
  <si>
    <t>Wille, Jonathan D.; Favier, Vincent; Jourdain, Nicolas C.; Kittel, Christoph; Turton, Jenny, V; Agosta, Cecile; Gorodetskaya, Irina, V; Picard, Ghislain; Codron, Francis; Leroy-Dos Santos, Christophe; Amory, Charles; Fettweis, Xavier; Blanchet, Juliette; Jomelli, Vincent; Berchet, Antoine</t>
  </si>
  <si>
    <t>Intense atmospheric rivers can weaken ice shelf stability at the Antarctic Peninsula</t>
  </si>
  <si>
    <t>SURFACE MASS-BALANCE; MELT; MODEL; VULNERABILITY; TEMPERATURE; COLLAPSE; IMPACTS; ENERGY; COVER</t>
  </si>
  <si>
    <t>The disintegration of the ice shelves along the Antarctic Peninsula have spurred much discussion on the various processes leading to their eventual dramatic collapse, but without a consensus on an atmospheric forcing that could connect these processes. Here, using an atmospheric river detection algorithm along with a regional climate model and satellite observations, we show that the most intense atmospheric rivers induce extremes in temperature, surface melt, sea-ice disintegration, or large swells that destabilize the ice shelves with 40% probability. This was observed during the collapses of the Larsen A and B ice shelves during the summers of 1995 and 2002 respectively. Overall, 60% of calving events from 2000-2020 were triggered by atmospheric rivers. The loss of the buttressing effect from these ice shelves leads to further continental ice loss and subsequent sea-level rise. Under future warming projections, the Larsen C ice shelf will be at-risk from the same processes.</t>
  </si>
  <si>
    <t>[Wille, Jonathan D.; Favier, Vincent; Jourdain, Nicolas C.; Kittel, Christoph; Picard, Ghislain; Amory, Charles; Blanchet, Juliette] CNRS UGA, Inst Geosci Environm, St Martin Dheres, France; [Kittel, Christoph; Fettweis, Xavier] Univ Liege, Dept Geog, Lab Climatol, Liege, Belgium; [Turton, Jenny, V] Friedrich Alexander Univ, Inst Geog, Erlangen, Germany; [Turton, Jenny, V] Arctic Frontiers AS, Tromso, Norway; [Agosta, Cecile; Berchet, Antoine] Univ Paris Saclay, Lab Sci Climat &amp; Environm, LSCE IPSL, CEA CNRS UVSQ, Gif Sur Yvette, France; [Gorodetskaya, Irina, V; Leroy-Dos Santos, Christophe] Univ Aveiro, CESAM Ctr Environm &amp; Marine Studies, Dept Phys, Aveiro, Portugal; [Codron, Francis] Sorbonne Univ, LOCEAN, Paris, France; [Jomelli, Vincent] Aix Marseille Univ, CNRS, IRD, Coll France,INRAE,CEREGE, Aix En Provence, France</t>
  </si>
  <si>
    <t>Communaute Universite Grenoble Alpes; Universite Grenoble Alpes (UGA); University of Liege; University of Erlangen Nuremberg; CEA; Centre National de la Recherche Scientifique (CNRS); Universite Paris Saclay; Universite Paris Cite; Universidade de Aveiro; Sorbonne Universite; Museum National d'Histoire Naturelle (MNHN); INRAE; Institut de Recherche pour le Developpement (IRD); Aix-Marseille Universite; Centre National de la Recherche Scientifique (CNRS); Universite PSL; College de France</t>
  </si>
  <si>
    <t>Wille, JD (corresponding author), CNRS UGA, Inst Geosci Environm, St Martin Dheres, France.</t>
  </si>
  <si>
    <t>jonathan.wille@univ-grenoble-alpes.fr</t>
  </si>
  <si>
    <t>Wille, Jonathan/KFQ-5871-2024; Jourdain, Nicolas C/B-6899-2015; Agosta, Cécile/HLQ-5577-2023; Picard, Ghislain/D-4246-2013; Agosta, Cecile/B-9625-2013; Favier, Vincent/T-1936-2017; Gorodetskaya, Irina/K-1987-2015; Codron, Francis/F-2719-2014</t>
  </si>
  <si>
    <t>Picard, Ghislain/0000-0003-1475-5853; Agosta, Cecile/0000-0003-4091-1653; Favier, Vincent/0000-0001-6024-9498; Gorodetskaya, Irina/0000-0002-2294-7823; Wille, Jonathan/0000-0002-3918-5204; Codron, Francis/0000-0001-7038-6189</t>
  </si>
  <si>
    <t>Agence Nationale de la Recherche [ANR-20-CE01-0013, ANR-14-CE01-0001, ANR-16-CE01-0011, ANR-15-CE01-0005-01, ANR-15-CE01-0015]; FCT/MCTES [UIDP/50017/2020, UIDB/50017/2020]; FEDER [CIRCNA/CAC/0273/2019]; Fondation Albert 2 de Monaco; F.R.S.-FNRS [2.5020.11]; German Ministry for Education and Research (BMBF) [03F0855]; Fundação para a Ciência e a Tecnologia [CIRCNA/CAC/0273/2019] Funding Source: FCT; Agence Nationale de la Recherche (ANR) [ANR-20-CE01-0013, ANR-15-CE01-0015, ANR-15-CE01-0005, ANR-16-CE01-0011, ANR-14-CE01-0001] Funding Source: Agence Nationale de la Recherche (ANR)</t>
  </si>
  <si>
    <t>Agence Nationale de la Recherche(Agence Nationale de la Recherche (ANR)); FCT/MCTES(Fundacao para a Ciencia e a Tecnologia (FCT)); FEDER(European Union (EU)Spanish Government); Fondation Albert 2 de Monaco; F.R.S.-FNRS(Fonds de la Recherche Scientifique - FNRS); German Ministry for Education and Research (BMBF)(Federal Ministry of Education &amp; Research (BMBF)); Fundação para a Ciência e a Tecnologia(Fundacao para a Ciencia e a Tecnologia (FCT)); Agence Nationale de la Recherche (ANR)(Agence Nationale de la Recherche (ANR))</t>
  </si>
  <si>
    <t>This study is part of the Ph.D project of J.D.W. conducted at the Universite Grenoble Alpes. Particular thanks to Simon Gascoin for providing help in the MODIS images retrieval and to Alison Delhasse for her monitoring of the MAR simulations. We acknowledge support from the Agence Nationale de la Recherche projects ANR-20-CE01-0013 (ARCA), ANR-14-CE01-0001 (ASUMA), ANR-16-CE01-0011 (EAIIST), ANR-15-CE01-0005-01 (TROIS AS) and ANR-15-CE01-0015 (AC-AHC2). I.V.G. thanks FCT/MCTES for the financial support to CESAM (UIDP/50017/2020 and UIDB/50017/2020) through national funds and support to project ATLACE (CIRCNA/CAC/0273/2019) funded by FEDER, through COMPETE2020-Programa Operacional Competitividade e InternacionalizacAo (POCI), and by national funds (OE), through FCT/MCTES. C.A. acknowledges support from the Fondation Albert 2 de Monaco under project Antarctic-Snow (2018-2020). Computational resources were provided by the Consortium des Equipements de Calcul Intensif (CECI), funded by the F.R.S.-FNRS under grant no. 2.5020.11. J.V.T. acknowledges the support of the German Ministry for Education and Research (BMBF) grant number 03F0855.</t>
  </si>
  <si>
    <t>10.1038/s43247-022-00422-9</t>
  </si>
  <si>
    <t>0N1LY</t>
  </si>
  <si>
    <t>WOS:000782609100001</t>
  </si>
  <si>
    <t>Chung, ES; Kim, SJ; Timmermann, A; Ha, KJ; Lee, SK; Stuecker, MF; Rodgers, KB; Lee, SS; Huang, L</t>
  </si>
  <si>
    <t>Chung, Eui-Seok; Kim, Seong-Joong; Timmermann, Axel; Ha, Kyung-Ja; Lee, Sang-Ki; Stuecker, Malte F.; Rodgers, Keith B.; Lee, Sun-Seon; Huang, Lei</t>
  </si>
  <si>
    <t>Antarctic sea-ice expansion and Southern Ocean cooling linked to tropical variability</t>
  </si>
  <si>
    <t>SURFACE-TEMPERATURE; OZONE DEPLETION; TRENDS; DRIVEN; IMPACTS; EXTENT; MODELS; NORTH; CMIP5; MELT</t>
  </si>
  <si>
    <t>Satellite observations show slight increases in Antarctic sea-ice extent, yet climate models predict declines. Here sea-ice expansion is shown to occur when the Southern Ocean surface cools from natural climate variability, primarily linked via teleconnections with the tropical Pacific Ocean. A variety of hypotheses, involving sub-ice-shelf melting, stratospheric ozone depletion and tropical teleconnections, have been proposed to explain the observed Antarctic sea-ice expansion over the period of continuous satellite monitoring and corresponding model-observation discrepancy, but the issue remains unresolved. Here, by comparing multiple large ensembles of model simulations with available observations, we show that Antarctic sea ice has expanded due to ocean surface cooling associated with multidecadal variability in the Southern Ocean that temporarily outweighs the opposing forced response. In both observations and model simulations, Southern Ocean multidecadal variability is closely linked to internal variability in the tropics, especially in the Pacific, via atmospheric teleconnections. The linkages are, however, distinctly weaker in simulations than in observations, accompanied by a marked model-observation mismatch in global warming resulting from potential model bias in the forced response and observed tropical variability. Thus, the forced response dominates in simulations, resulting in apparent model-observation discrepancy.</t>
  </si>
  <si>
    <t>[Chung, Eui-Seok; Kim, Seong-Joong] Korea Polar Res Inst, Div Atmospher Sci, Incheon, South Korea; [Timmermann, Axel; Ha, Kyung-Ja; Rodgers, Keith B.; Lee, Sun-Seon; Huang, Lei] Inst Basic Sci, Ctr Climate Phys, Busan, South Korea; [Timmermann, Axel; Rodgers, Keith B.; Lee, Sun-Seon; Huang, Lei] Pusan Natl Univ, Busan, South Korea; [Ha, Kyung-Ja] Pusan Natl Univ, Dept Climate Syst, Busan, South Korea; [Ha, Kyung-Ja] Pusan Natl Univ, BK21 Sch Earth &amp; Environm Syst, Busan, South Korea; [Lee, Sang-Ki] NOAA, Atlantic Oceanog &amp; Meteorol Lab, Miami, FL 33149 USA; [Stuecker, Malte F.] Univ Hawaii Manoa, Dept Oceanog, Sch Ocean &amp; Earth Sci &amp; Technol, Honolulu, HI 96822 USA; [Stuecker, Malte F.] Univ Hawaii Manoa, Sch Ocean &amp; Earth Sci &amp; Technol, Int Pacific Res Ctr, Honolulu, HI USA</t>
  </si>
  <si>
    <t>Korea Polar Research Institute (KOPRI); Institute for Basic Science - Korea (IBS); Pusan National University; Pusan National University; Pusan National University; National Oceanic Atmospheric Admin (NOAA) - USA; Atlantic Oceanographic &amp; Meteorological Laboratory (AOML); University of Hawaii System; University of Hawaii Manoa; University of Hawaii System; University of Hawaii Manoa</t>
  </si>
  <si>
    <t>Kim, SJ (corresponding author), Korea Polar Res Inst, Div Atmospher Sci, Incheon, South Korea.</t>
  </si>
  <si>
    <t>seongjkim@kopri.re.kr</t>
  </si>
  <si>
    <t>Rodgers, Keith/AAL-4329-2021; Ha, Kyung-Ja/D-7584-2018; Lee, Sang-Ki/A-5703-2011; Chung, Eui-Seok/A-5757-2011; Stuecker, Malte Fabian/H-6304-2011; Timmermann, Axel/F-4977-2011</t>
  </si>
  <si>
    <t>Lee, Sang-Ki/0000-0002-4047-3545; Stuecker, Malte Fabian/0000-0001-8355-0662; Lee, Sun-Seon/0000-0001-7403-6485; Rodgers, Keith/0000-0002-6465-8923; Kim, Seong-joong/0000-0002-6232-8082; Timmermann, Axel/0000-0003-0657-2969; Huang, Lei/0000-0002-7150-8245</t>
  </si>
  <si>
    <t>Korea Polar Research Institute [PE22030]; Institute for Basic Science (IBS) [IBS-R028-D1]; NOAA's Climate Program Office's Modeling, Analysis, Predictions, and Projections (MAPP) programme [NA20OAR4310445]</t>
  </si>
  <si>
    <t>Korea Polar Research Institute(Korea Polar Research Institute of Marine Research Placement (KOPRI)); Institute for Basic Science (IBS); NOAA's Climate Program Office's Modeling, Analysis, Predictions, and Projections (MAPP) programme</t>
  </si>
  <si>
    <t>We are grateful to the National Snow and Ice Data Center, the National Oceanic and Atmospheric Administration Physical Sciences Laboratory, the European Centre for Medium-Range Weather Forecasts, the Met Office Hadley Centre, Japan Meteorological Agency, the GISTEMP Team, the National Centers for Environmental Information, Berkeley Earth, the National Center for Atmospheric Research, Environment and Climate Change Canada and modelling centres participating in CMIP6 for providing their respective datasets. E.-S.C. and S.-J.K. were supported by the project PE22030 of the Korea Polar Research Institute. A.T., K.-J.H., K.B.R., S.-S.L. and L.H. were supported by the Institute for Basic Science (IBS) under IBS-R028-D1. M.F.S. was supported by NOAA's Climate Program Office's Modeling, Analysis, Predictions, and Projections (MAPP) programme grant NA20OAR4310445. This is IPRC publication 1559 and SOEST contribution 11482. The CESM2 Large Ensemble simulations were conducted on the IBS/ICCP supercomputer `Aleph' through a partnership between the ICCP in South Korea and the CESM Project at the National Center for Atmospheric Research (NCAR) in the United States. We thank N. Rosenbloom and J. Edwards for their important contributions to the CESM2 Large Ensemble project.</t>
  </si>
  <si>
    <t>10.1038/s41558-022-01339-z</t>
  </si>
  <si>
    <t>1C6LG</t>
  </si>
  <si>
    <t>WOS:000782545900002</t>
  </si>
  <si>
    <t>Nie, YF; Uotila, P; Cheng, B; Massonnet, F; Kimura, N; Cipollone, A; Lv, XQ</t>
  </si>
  <si>
    <t>Nie, Yafei; Uotila, Petteri; Cheng, Bin; Massonnet, Francois; Kimura, Noriaki; Cipollone, Andrea; Lv, Xianqing</t>
  </si>
  <si>
    <t>Southern Ocean sea ice concentration budgets of five ocean-sea ice reanalyses</t>
  </si>
  <si>
    <t>Antarctic; Sea ice; Reanalysis; Sea ice concentration budget</t>
  </si>
  <si>
    <t>DATA ASSIMILATION; SURFACE WIND; THICKNESS; MODEL; SYSTEM; ATMOSPHERE; SALINITY; TRENDS; IMPACT; BIASES</t>
  </si>
  <si>
    <t>In this study, sea ice concentration (SIC) budgets were calculated for five ocean-sea ice reanalyses (CFSR, C-GLORSv7, GLORYS12v1, NEMO-EnKF and ORAS5), in the Southern Ocean and compared with observations. Benefiting from the assimilation of SIC, the reanalysis products display a realistic representation of sea ice extent as well as sea ice area. However, when applying the SIC budget diagnostics to decompose the changes in SIC into contributions from advection, divergence, thermodynamics, deformation and data assimilation, we find that both atmospheric and oceanic forcings and model configurations are significant contributors on the budget differences. For the CFSR, the primary source of deviation compared to other reanalyses is the stronger northward component of ice velocity, which results in stronger sea ice advection and divergence. Anomalous surface currents in the CFSR are proposed to be the main cause of the ice velocity anomaly. Furthermore, twice the mean ice thickness in the CFSR compared to other reanalyses makes it more susceptible to wind and oceanic stresses under Coriolis forces, exacerbating the northward drift of sea ice. The C-GLORSv7, GLORYS12v1 and NEMO-EnKF have some underestimation of the contribution of advection and divergence to changes in SIC in autumn, winter and spring compared to observations, but are more reasonable in summer. ORAS5, although using the same coupled model and atmospheric forcing as C-GLORSv7 and GLORYS12v1, has a more significant underestimation of advection and divergence to changes in SIC compared to these two reanalyses. The results of the SIC budgets of five ocean-sea ice reanalyses in the Southern Ocean suggest that future reanalyses should focus on improving the modelling of sea ice velocities, for example through assimilation of sea ice drift observations.</t>
  </si>
  <si>
    <t>[Nie, Yafei; Lv, Xianqing] Ocean Univ China, Frontier Sci Ctr Deep Ocean Multispheres &amp; Earth, Qingdao, Peoples R China; [Nie, Yafei; Lv, Xianqing] Ocean Univ China, Phys Oceanog Lab, Qingdao, Peoples R China; [Nie, Yafei; Uotila, Petteri] Univ Helsinki, Inst Atmospher &amp; Earth Syst Res INAR, Fac Sci, Helsinki, Finland; [Cheng, Bin] Finnish Meteorol Inst, Helsinki, Finland; [Massonnet, Francois] Catholic Univ Louvain, Georges Lemaitre Ctr Earth &amp; Climate Res, Earth &amp; Life Inst, Louvain La Neuve, Belgium; [Kimura, Noriaki] Univ Tokyo, Atmosphere &amp; Ocean Res Inst, Tokyo, Japan; [Cipollone, Andrea] Ctr Euro Mediterraneo Cambiamenti Climat, Ocean Modeling &amp; Data Assimilat Div, Bologna, Italy; [Lv, Xianqing] Qingdao Natl Lab Marine Sci &amp; Technol, Qingdao, Peoples R China</t>
  </si>
  <si>
    <t>Ocean University of China; Ocean University of China; University of Helsinki; Finnish Meteorological Institute; Universite Catholique Louvain; University of Tokyo; Laoshan Laboratory</t>
  </si>
  <si>
    <t>Lv, XQ (corresponding author), Ocean Univ China, Frontier Sci Ctr Deep Ocean Multispheres &amp; Earth, Qingdao, Peoples R China.;Lv, XQ (corresponding author), Ocean Univ China, Phys Oceanog Lab, Qingdao, Peoples R China.;Uotila, P (corresponding author), Univ Helsinki, Inst Atmospher &amp; Earth Syst Res INAR, Fac Sci, Helsinki, Finland.;Lv, XQ (corresponding author), Qingdao Natl Lab Marine Sci &amp; Technol, Qingdao, Peoples R China.</t>
  </si>
  <si>
    <t>petteri.uotila@helsinki.fi; xqinglv@ouc.edu.cn</t>
  </si>
  <si>
    <t>Uotila, Petteri/A-1703-2012</t>
  </si>
  <si>
    <t>Uotila, Petteri/0000-0002-2939-7561; Nie, Yafei/0009-0002-3077-4579</t>
  </si>
  <si>
    <t>University of Helsinki including Helsinki University Central Hospital - Academy of Finland [322432]; National Natural Science Foundation of China [42076011, U1806214]; China Scholarship Council [202006330054]; Grants-in-Aid for Scientific Research [22K12341] Funding Source: KAKEN</t>
  </si>
  <si>
    <t>University of Helsinki including Helsinki University Central Hospital - Academy of Finland; National Natural Science Foundation of China(National Natural Science Foundation of China (NSFC)); China Scholarship Council(China Scholarship Council); Grants-in-Aid for Scientific Research(Ministry of Education, Culture, Sports, Science and Technology, Japan (MEXT)Japan Society for the Promotion of ScienceGrants-in-Aid for Scientific Research (KAKENHI))</t>
  </si>
  <si>
    <t>Open Access funding provided by University of Helsinki including Helsinki University Central Hospital. The study has been funded by the Academy of Finland (Grant no. 322432, Petteri Uotila), National Natural Science Foundation of China (no. 42076011, Xianqing Lv, no. U1806214, Xianqing Lv), China Scholarship Council (202006330054, Yafei Nie).</t>
  </si>
  <si>
    <t>10.1007/s00382-022-06260-x</t>
  </si>
  <si>
    <t>WOS:000782540200001</t>
  </si>
  <si>
    <t>Pham, HTM; Karanovic, I</t>
  </si>
  <si>
    <t>Pham, Huyen T. M.; Karanovic, Ivana</t>
  </si>
  <si>
    <t>Four new Parasterope (Ostracoda, Myodocopina) from the Northwest Pacific and their phylogeny based on 16S rRNA</t>
  </si>
  <si>
    <t>ZOOKEYS</t>
  </si>
  <si>
    <t>Crustacea; East Asia; marine benthos; new species; taxonomic key</t>
  </si>
  <si>
    <t>EVOLUTIONARY; CRUSTACEA; HYDROZOA; ORIGIN; LIGHT</t>
  </si>
  <si>
    <t>Parasterope Kornicker, 1975 is a marine ostracod genus with 49 species described so far, which makes it the most diverse representative of the subfamily Cylindrole-berididae, as well as the entire family Cylindtoleberididae. Despite its global distribution no species are reported from South Korea. Three new species collected from the Korean coast of the Sea of Japan (Parasterope busanensis sp. nov., P. singula sp. nov., and P. sohi sp. nov.), and one from the Japanese coast of the Pacific Ocean (P. sagami sp. nov.) are described. A taxonomic key to all named species from East Asia is provided. A phylogenetic tree is reconstructed based on partial 16S rRNA sequences of the four new species and other Cylindroleberidinae available from GenBank. Monophyly of Parasterope is supported by high posterior probabilities, but the phylogenetic analyses also indicate that some of the GenBank data attributed to this genus are probably misidentifications. A map of distribution and a checklist of all described Parasterope species are also provided.</t>
  </si>
  <si>
    <t>[Pham, Huyen T. M.; Karanovic, Ivana] Hanyang Univ, Coll Nat Sci, Res Inst Convergence Basic Sci, Dept Life Sci, Seoul 04763, South Korea; [Karanovic, Ivana] Univ Tasmania, Inst Marine &amp; Antarctic Studies, Private Bag 49, Hobart, Tas 7001, Australia</t>
  </si>
  <si>
    <t>Hanyang University; University of Tasmania</t>
  </si>
  <si>
    <t>Pham, HTM (corresponding author), Hanyang Univ, Coll Nat Sci, Res Inst Convergence Basic Sci, Dept Life Sci, Seoul 04763, South Korea.;Karanovic, I (corresponding author), Univ Tasmania, Inst Marine &amp; Antarctic Studies, Private Bag 49, Hobart, Tas 7001, Australia.</t>
  </si>
  <si>
    <t>minhhuyen.ks.nb@gmail.com</t>
  </si>
  <si>
    <t>Huyen, Pham Thi Minh/GQB-2488-2022</t>
  </si>
  <si>
    <t>Huyen, Pham Thi Minh/0000-0001-9689-8596</t>
  </si>
  <si>
    <t>Basic Science Research Program through NRF - Ministry of Education [2020R1A6A1A06046827]; National Institute of Biological Resources (NIBR) - Ministry of Environment (MOE) of the Republic of Korea [NIBR202102203]</t>
  </si>
  <si>
    <t>Basic Science Research Program through NRF - Ministry of Education; National Institute of Biological Resources (NIBR) - Ministry of Environment (MOE) of the Republic of Korea(Ministry of Environment (ME), Republic of Korea)</t>
  </si>
  <si>
    <t>We would like thank Dr. Hayato Tanaka (Tokyo Sea Life Park) and the crews of TR/V Toyoshio-maru and R/V Rinkai-maru for providing the Japanese specimens, Prof. Ho-young Soh (Faculty of Marin Technology, Chonam National University, Jeonnam, Korea), Dr. Hyunsu Yoo (Marine Environmental Research and Information Laboratory (MERIL), and the Marine Biodiversity Institute of Korea (MABIK) for providing additional Korean specimens. This study was funded by the Basic Science Research Program through NRF funded by the Ministry of Education (grant number: 2020R1A6A1A06046827), and the National Institute of Biological Resources (NIBR), funded by the Ministry of Environment (MOE) of the Republic of Korea (grant number: NIBR202102203).</t>
  </si>
  <si>
    <t>1313-2989</t>
  </si>
  <si>
    <t>1313-2970</t>
  </si>
  <si>
    <t>ZooKeys</t>
  </si>
  <si>
    <t>APR 13</t>
  </si>
  <si>
    <t>10.3897/zookeys.1095.77996</t>
  </si>
  <si>
    <t>4E7QB</t>
  </si>
  <si>
    <t>WOS:000848015400002</t>
  </si>
  <si>
    <t>Chevallay, M; Guinet, C; Jeanniard-Du-Dot, T</t>
  </si>
  <si>
    <t>Chevallay, Mathilde; Guinet, Christophe; Jeanniard-Du-Dot, Tiphaine</t>
  </si>
  <si>
    <t>Should I stay or should I go? Behavioral adjustments of fur seals related to foraging success</t>
  </si>
  <si>
    <t>BEHAVIORAL ECOLOGY</t>
  </si>
  <si>
    <t>Arctocephalus gazella; behavioral adjustments; Callorhinus ursinus; foraging strategies; fur seals; optimal foraging theory; prey capture success</t>
  </si>
  <si>
    <t>BREATH-HOLD DIVERS; MARINE PREDATOR; ARCTOCEPHALUS-GAZELLA; DIVING BEHAVIOR; HANDLING TIME; FISH SIZE; PREY; DECISIONS; LONG; ENVIRONMENT</t>
  </si>
  <si>
    <t>Understanding foraging strategies and decision-making processes of predators provide crucial insights into how they might respond to changes in prey availability and in their environment to maximize their net energy input. In this work, foraging strategies of Antarctic fur seals (Arctocephalus gazella, AFS) and Northern fur seals (Callorhinus ursinus, NFS) were studied to determine how they adjust their foraging behavior according to their past prey capture experiences. AFS on Kerguelen Islands are exclusively oceanic divers, while NFS population of St Paul Island shows both oceanic and neritic divers. We thus hypothesized that the two species would respond differently to a change in prey capture success depending on their foraging strategy. To test this, 40 females were equipped with tags that measured tri-axial acceleration, dive depth, and GPS coordinates, from which we derived prey capture attempts and behavioral metrics. Influence of prey capture success on horizontal and vertical movements of seals was investigated at different time scales: multi-dive, night, and trip. Both AFS and NFS traveled further during the day if they encountered low prey capture periods during the previous night. However, at the multi-dive scale, neritic NFS differed from oceanic NFS and AFS in terms of decision-making processes, e.g., both AFS and oceanic NFS dived deeper in response to low prey capture rate periods, while neritic NFS did not. Similarities in decision-making processes between NFS and AFS foraging on pelagic prey suggest that pelagic vs. neritic prey type is a key factor in defining foraging decisions of diving marine predators. Decisions predators make while foraging affect their feeding efficiency, which also affects these decisions in return. To better understand these intricate relationships, we studied the impacts of feeding success on foraging behaviors of two species of fur seals. Seals responded to a decrease in capture success by adjusting both their movement and diving patterns, although in different ways depending on their habitat and targeted prey. Our study provides insight into seals might respond to changes in prey availability.</t>
  </si>
  <si>
    <t>[Chevallay, Mathilde; Guinet, Christophe; Jeanniard-Du-Dot, Tiphaine] Ctr Natl Rech Sci, Ctr Etud Biol Chize, F-79360 Villiers En Bois, France</t>
  </si>
  <si>
    <t>Centre National de la Recherche Scientifique (CNRS)</t>
  </si>
  <si>
    <t>Chevallay, M (corresponding author), Ctr Natl Rech Sci, Ctr Etud Biol Chize, F-79360 Villiers En Bois, France.</t>
  </si>
  <si>
    <t>mathilde.chevallay@outlook.fr</t>
  </si>
  <si>
    <t>Jeanniard-du-Dot, Tiphaine/0000-0003-1985-8325; Chevallay, Mathilde/0000-0003-3035-4187</t>
  </si>
  <si>
    <t>Institut Paul Emile Victor; North Pacific Research Board; Canada National Scientific and Engineering Research Council; Institut Paul-Emile Victor; NPRB; NSERC</t>
  </si>
  <si>
    <t>Institut Paul Emile Victor; North Pacific Research Board; Canada National Scientific and Engineering Research Council; Institut Paul-Emile Victor; NPRB; NSERC(Natural Sciences and Engineering Research Council of Canada (NSERC))</t>
  </si>
  <si>
    <t>This work was supported by the Institut Paul Emile Victor (programme 109, PI. H. Weimerskirch), the North Pacific Research Board and the Canada National Scientific and Engineering Research Council. We thank Alistair Baylis, Michelle Barbieri, Rachel Orben, Nory El Ksabi, Jade Vacquie Garcia, Malcolm O'Toole for their help in collecting the data. We are also thankful to the Institut Paul-Emile Victor to their logistic and financial support to the Kerguelen field season (programme 109, PI. H. Weimerskirch), and to NPRB and NSERC for their contribution in funding this project. All data were collected under the US NMFS permit #14329-01, the University of British Columbia animal care permit #A10-0364 and the ethical regulations approval from the French Polar Institute (IPEV). We also thank John Arnould and Andrew Trites for their involvement in financially and/or logistically supporting the field data collections.</t>
  </si>
  <si>
    <t>1045-2249</t>
  </si>
  <si>
    <t>1465-7279</t>
  </si>
  <si>
    <t>BEHAV ECOL</t>
  </si>
  <si>
    <t>Behav. Ecol.</t>
  </si>
  <si>
    <t>10.1093/beheco/arac012</t>
  </si>
  <si>
    <t>Behavioral Sciences; Biology; Ecology; Zoology</t>
  </si>
  <si>
    <t>Behavioral Sciences; Life Sciences &amp; Biomedicine - Other Topics; Environmental Sciences &amp; Ecology; Zoology</t>
  </si>
  <si>
    <t>1F5ID</t>
  </si>
  <si>
    <t>WOS:000784547900001</t>
  </si>
  <si>
    <t>Gao, YS; Salvatore, MC; Xu, QB; Yang, LJ; Sun, LG; Xie, ZQ; Baroni, C</t>
  </si>
  <si>
    <t>Gao, Yuesong; Salvatore, Maria Cristina; Xu, Qibin; Yang, Lianjiao; Sun, Liguang; Xie, Zhouqing; Baroni, Carlo</t>
  </si>
  <si>
    <t>The occupation history of the longest-dwelling Adelie penguin colony reflects Holocene climatic and environmental changes in the Ross Sea, Antarctica</t>
  </si>
  <si>
    <t>Paleoecology; Paleoclimate; Penguin population; Quaternary; Polynya; Sea-ice; Ornithogenic sediment; Inexpressible island; Refuge</t>
  </si>
  <si>
    <t>TERRA-NOVA BAY; SOUTHERN VICTORIA LAND; WINDMILL ISLANDS; ANCIENT DNA; ICE-AGE; OCEAN; HABITAT; FRYXELL; RECORD</t>
  </si>
  <si>
    <t>As a result of climate changes, penguins are predicted to be at risk of losing their breeding habitats. Changes in penguin colony distribution suggest that some colonies have withstood environmental changes better than others, serving as initial post-glacial settlements or refuges in adverse climatic conditions. Here we have synthesized over 200 dates (including 91 new dates) of penguin remains and of guano in 107 ornithogenic profiles from abandoned nests on Inexpressible Island, one of the longest persisting Ade = lie penguin colonies in Antarctica, to investigate the dynamics of population size and the role of this island in the ecological history of this species. The results indicate that, following the retreat of Ross Ice Shelf, the Ade = lies first colonized this island at-8.6 kyr BP, documenting the earliest known breeding site in the Ross Sea since deglaciation. During-7-3 kyr BP the reconstructed population on Inexpressible Island was generally consistent with the change in pack ice, reaching relative peaks at 5.5-5.0 and 4.0-3.5 kyr BP. After brief decline at 3.5-3.0 kyr, substantial enlargement of the penguin colony occurred between 3.0 and 1.5 kyr BP, attributed to the immigration from the abandoned colonies along the Scott Coast. During this time, the persistent efficiency of Terra Nova Bay polynya offered conditions favourable to the expansion of the penguin population on Inexpressible Island, which probably represented a refuge area under increased coastal sea-ice. This longest-dwelling penguin colony may provide a valuable refuge for the Ade = lie penguin if the recurrent Terra Nova Bay polynya persists under future climatic and environmental changes, as occurred in the past. 0 2022 Elsevier Ltd. All rights reserved.</t>
  </si>
  <si>
    <t>[Gao, Yuesong; Xu, Qibin; Yang, Lianjiao; Sun, Liguang; Xie, Zhouqing] Univ Sci &amp; Technol China, Inst Polar Environm, Hefei 230026, Anhui, Peoples R China; [Gao, Yuesong; Xu, Qibin; Yang, Lianjiao; Sun, Liguang; Xie, Zhouqing] Univ Sci &amp; Technol China, Anhui Key Lab Polar Environm &amp; Global Change, Dept Environm Sci &amp; Engn, Hefei 230026, Anhui, Peoples R China; [Salvatore, Maria Cristina; Baroni, Carlo] Univ Pisa, Dept Earth Sci, Via S Maria 53, I-56126 Pisa, Italy; [Salvatore, Maria Cristina; Baroni, Carlo] CNR, Inst Geosci &amp; Earth Resources, IGG, Via G Moruzzi 1, I-56124 Pisa, Italy</t>
  </si>
  <si>
    <t>Chinese Academy of Sciences; University of Science &amp; Technology of China, CAS; Chinese Academy of Sciences; University of Science &amp; Technology of China, CAS; University of Pisa; Consiglio Nazionale delle Ricerche (CNR); Istituto di Geoscienze e Georisorse (IGG-CNR)</t>
  </si>
  <si>
    <t>Xie, ZQ (corresponding author), Univ Sci &amp; Technol China, Inst Polar Environm, Hefei 230026, Anhui, Peoples R China.;Xie, ZQ (corresponding author), Univ Sci &amp; Technol China, Anhui Key Lab Polar Environm &amp; Global Change, Dept Environm Sci &amp; Engn, Hefei 230026, Anhui, Peoples R China.;Baroni, C (corresponding author), Univ Pisa, Dept Earth Sci, Via S Maria 53, I-56126 Pisa, Italy.</t>
  </si>
  <si>
    <t>zqxie@ustc.edu.cn; carlo.baroni@unipi.it</t>
  </si>
  <si>
    <t>Gao, Yuesong/GRE-7726-2022; Salvatore, Maria Cristina/AAS-4000-2020; Baroni, Carlo/D-8184-2012</t>
  </si>
  <si>
    <t>Salvatore, Maria Cristina/0000-0002-1590-7284; Baroni, Carlo/0000-0001-5905-4650; Xu, Qibin/0009-0000-9936-8056</t>
  </si>
  <si>
    <t>National Natural Science Foundation of China [41930532]; Italian National Antarctic Research Programme (PNRA) [1996/1a_4.2, 1998/1a2.1, 2002/4.10, 2004/4.2]; National Key RAMP;D Program of the MOST of China [2018YFC1406905]; NSFC [42006185, 41906191, 4180060314]; China Postdoctoral Science Foundation [2019M662173]; PNRA; Chinese Arctic and Antarctic Administration</t>
  </si>
  <si>
    <t>National Natural Science Foundation of China(National Natural Science Foundation of China (NSFC)); Italian National Antarctic Research Programme (PNRA); National Key RAMP;D Program of the MOST of China; NSFC(National Natural Science Foundation of China (NSFC)); China Postdoctoral Science Foundation(China Postdoctoral Science Foundation); PNRA; Chinese Arctic and Antarctic Administration</t>
  </si>
  <si>
    <t>We thank Steven D. Emslie and Allyson K. Kristan for sharing data of the ornithogenic profiles Site 3, Site 4 and Site 6. Funding: 1) National Natural Science Foundation of China (No. 41930532), 2) Italian National Antarctic Research Programme (PNRA) since 1996 (C. Baroni, 1996/1a_4.2; 1998/1a2.1; 2002/4.10; 2004/4.2), 3) the National Key R&amp;D Program of the MOST of China (2018YFC1406905), 4) NSFC (No. 42006185, 41906191, 4180060314), and 5) the China Postdoctoral Science Foundation (2019M662173). The field work was supported by PNRA and the Chinese Arctic and Antarctic Administration. Sample information were provided by the Resource Sharing Platform of Polar Samples (http://birds.chinare.org.cn) and was maintained by Polar Research Institute of China and Chinese National Arctic and Antarctic Data Center. We thank the Editor and two anonymous reviewers for their constructive comments, which helped us to improve the manuscript.</t>
  </si>
  <si>
    <t>10.1016/j.quascirev.2022.107494</t>
  </si>
  <si>
    <t>1H0KC</t>
  </si>
  <si>
    <t>WOS:000796233800004</t>
  </si>
  <si>
    <t>Kliska, K; Southwell, C; Salton, M; Williams, R; Emmerson, L</t>
  </si>
  <si>
    <t>Kliska, Kimberley; Southwell, Colin; Salton, Marcus; Williams, Richard; Emmerson, Louise</t>
  </si>
  <si>
    <t>Phenology-based adjustments improve population estimates of Antarctic breeding seabirds: the case of Cape petrels in East Antarctica</t>
  </si>
  <si>
    <t>ROYAL SOCIETY OPEN SCIENCE</t>
  </si>
  <si>
    <t>Daption capense; remote nest cameras; ICESCAPE; SPPYCAMS; Davis Station; Prydz Bay</t>
  </si>
  <si>
    <t>FULMARINE PETRELS; SOUTHERN-OCEAN; ADELIE; ISLAND; INDICATORS; REGRESSION; BIRDS; BAY</t>
  </si>
  <si>
    <t>To monitor and conserve a species, it is crucial to understand the size and distribution of populations. For seabirds, population surveys are usually conducted at peak breeding attendance. One of the largest populations of Cape petrels in East Antarctica is at the Vestfold Islands, where environmental and logistical constraints often prevent access to breeding sites at the optimal time for population surveys. In this study, we aim to quantify the contemporary and historical breeding population size of these Cape petrels by adjusting nest counts for variation in breeding phenology using photographs from remote cameras. We also compare spatial distribution between 1970s and 2017/2018. Our results show ground counts occurred outside peak breeding attendance, and adjusting for phenology changed the contemporary and historical population estimates. The Cape petrels showed local intra-island or adjacent-island changes in their distribution between the 1970s and 2017/2018 with no evidence of expanding or restricting their distribution or a significant change in their breeding population size. The results emphasize the importance of accounting for phenology in population counts, where populations are inaccessible at an optimal survey time. We discuss the applications of our research methodology for populations breeding in remote areas and as a baseline for assessing population change.</t>
  </si>
  <si>
    <t>[Kliska, Kimberley; Southwell, Colin; Salton, Marcus; Williams, Richard; Emmerson, Louise] Australian Antarctic Div, Kingston, Tas, Australia; [Kliska, Kimberley] Tasmanian Pk &amp; Wildlife Serv, Hobart, Tas, Australia</t>
  </si>
  <si>
    <t>Kliska, K (corresponding author), Australian Antarctic Div, Kingston, Tas, Australia.</t>
  </si>
  <si>
    <t>kimkliska@gmail.com</t>
  </si>
  <si>
    <t>Williams, Richard/AAL-4177-2020</t>
  </si>
  <si>
    <t>Williams, Richard/0000-0002-0920-1103; Kliska, Kimberley/0000-0001-8950-8393; Salton, Marcus/0000-0001-5647-406X</t>
  </si>
  <si>
    <t>Australian Antarctic Science [4088, 4518]</t>
  </si>
  <si>
    <t>Australian Antarctic Science</t>
  </si>
  <si>
    <t>We thank the Australian Antarctic Division and Davis Station personnel for logistics support for fieldwork during the 1970s and recent years. Recent survey approaches were approved through the Australian Antarctic Division Animal Ethics Committee. This work contributes to the objectives of and received support through Australian Antarctic Science projects 4088 and 4518. We would like to acknowledge the contributions from three anonymous reviewers who provided constructive comments to improve this manuscript.</t>
  </si>
  <si>
    <t>2054-5703</t>
  </si>
  <si>
    <t>ROY SOC OPEN SCI</t>
  </si>
  <si>
    <t>R. Soc. Open Sci.</t>
  </si>
  <si>
    <t>10.1098/rsos.211659</t>
  </si>
  <si>
    <t>0V6EF</t>
  </si>
  <si>
    <t>WOS:000788434100007</t>
  </si>
  <si>
    <t>Segovia, NI; González-Wevar, CA; Naretto, J; Rosenfeld, S; Brickle, P; Hüne, M; Bernal, V; Haye, PA; Poulin, E</t>
  </si>
  <si>
    <t>Segovia, N., I; Gonzalez-Wevar, C. A.; Naretto, J.; Rosenfeld, S.; Brickle, P.; Hune, M.; Bernal, V; Haye, P. A.; Poulin, E.</t>
  </si>
  <si>
    <t>The right tool for the right question: contrasting biogeographic patterns in the notothenioid fish Harpagifer spp. along the Magellan Province</t>
  </si>
  <si>
    <t>Southern South America; phylogeography; population genomics; sub-Antarctic fishes; next-generation sequencing</t>
  </si>
  <si>
    <t>POPULATION GENETIC-STRUCTURE; SOUTHERN-OCEAN; SPECIES DELIMITATION; COMPARATIVE PHYLOGEOGRAPHY; ELEGINOPS-MACLOVINUS; GLACIAL REFUGIA; DIVERSITY; DIVERGENCE; INFERENCE; PATAGONIA</t>
  </si>
  <si>
    <t>Molecular-based analysis has become a fundamental tool to understand the role of Quaternary glacial episodes. In the Magellan Province in southern South America, ice covering during the last glacial maximum (20 ka) radically altered the landscape/seascape, speciation rates and distribution of species. For the notothenioid fishes of the genus Harpagifer, in the area are described two nominal species. Nevertheless, this genus recently colonized South America from Antarctica, providing a short time for speciation processes. Combining DNA sequences and genotyping-by-sequencing SNPs, we evaluated the role of Quaternary glaciations over the patterns of genetic structure in Harpagifer across its distribution in the Magellan Province. DNA sequences showed low phylogeographic structure, with shared and dominant haplotypes between nominal species, suggesting a single evolutionary unit. SNPs identified contrastingly two groups in Patagonia and a third well-differentiated group in the Falkland/Malvinas Islands with limited and asymmetric gene flow. Linking the information of different markers allowed us to infer the relevance of postglacial colonization mediated by the general oceanographic circulation patterns. Contrasting rough- and fine-scale genetic patterns highlights the relevance of combined methodologies for species delimitation, which, depending on the question to be addressed, allows discrimination among phylogeographic structure, discarding incipient speciation, and contemporary spatial differentiation processes.</t>
  </si>
  <si>
    <t>[Segovia, N., I; Gonzalez-Wevar, C. A.; Rosenfeld, S.; Hune, M.; Bernal, V; Poulin, E.] Univ Chile, Inst Milenio Ecol &amp; Biodiversidad IEB, Dept Ciencias Ecol, Santiago 3425, Chile; [Segovia, N., I; Haye, P. A.] Univ Catolica Norte, Fac Ciencias Mar, Dept Biol Marina, Larrondo 1281, Coquimbo, Chile; [Segovia, N., I; Haye, P. A.] Inst Milenio Socioecol Costera SECOS, Coquimbo, Chile; [Segovia, N., I; Gonzalez-Wevar, C. A.; Bernal, V; Poulin, E.] Inst Milenio Biodiversidad Ecosistemas Antart &amp; S, Valdivia, Chile; [Gonzalez-Wevar, C. A.] Univ Austral Chile, Fac Ciencias, Inst Ciencias Marinas &amp; Limnol ICML, Casilla 567, Valdivia, Chile; [Gonzalez-Wevar, C. A.] Univ Austral Chile, Ctr Invest Dinam Ecosistemas Altas Latitudes Fond, Valdivia, Chile; [Naretto, J.] Costa Humboldt, Puerto Varas, Los Lagos, Chile; [Rosenfeld, S.] Univ Magallanes, Lab Ecosistemas Antart &amp; Sub Antarticos, Punta Arenas, Chile; [Brickle, P.] South Atlantic Environm Res Inst SAERI, POB 609, Port Stanley, Falkland Island, England; [Hune, M.] Ctr Invest Conservac Ecosistemas Australes ICEA, Punta Arenas, Chile</t>
  </si>
  <si>
    <t>Universidad de Chile; Universidad Catolica del Norte; Universidad Austral de Chile; Universidad Austral de Chile; Universidad de Magallanes</t>
  </si>
  <si>
    <t>Segovia, NI (corresponding author), Univ Chile, Inst Milenio Ecol &amp; Biodiversidad IEB, Dept Ciencias Ecol, Santiago 3425, Chile.;Segovia, NI (corresponding author), Univ Catolica Norte, Fac Ciencias Mar, Dept Biol Marina, Larrondo 1281, Coquimbo, Chile.;Segovia, NI (corresponding author), Inst Milenio Socioecol Costera SECOS, Coquimbo, Chile.;Segovia, NI (corresponding author), Inst Milenio Biodiversidad Ecosistemas Antart &amp; S, Valdivia, Chile.</t>
  </si>
  <si>
    <t>nsegoviac@gmail.com</t>
  </si>
  <si>
    <t>Bernal-Durán, Valentina/JWA-2081-2024; Haye, Pilar A/B-7082-2015; Poulin, Elie/C-2654-2012</t>
  </si>
  <si>
    <t>Bernal-Durán, Valentina/0000-0002-0567-910X; Haye, Pilar A/0000-0002-1093-9076; Poulin, Elie/0000-0001-7736-0969; Segovia, Nicolas/0000-0003-3212-7527; Naretto, Javier/0000-0002-6763-2294</t>
  </si>
  <si>
    <t>10.1098/rspb.2021.2738</t>
  </si>
  <si>
    <t>0K5IU</t>
  </si>
  <si>
    <t>WOS:000780822800008</t>
  </si>
  <si>
    <t>Spinelli, E; Werner, J</t>
  </si>
  <si>
    <t>Spinelli, Eliani; Werner Junior, Jairo</t>
  </si>
  <si>
    <t>Human adaptative behavior to Antarctic conditions: A review of physiological aspects</t>
  </si>
  <si>
    <t>WIRES MECHANISMS OF DISEASE</t>
  </si>
  <si>
    <t>circadian disruption; cold adaptation; polar medicine; psychological stress</t>
  </si>
  <si>
    <t>COLD-EXPOSURE; CIRCADIAN-RHYTHM; CLOCK GENES; MELATONIN; TRIIODOTHYRONINE; RECEPTORS; RESIDENCE; HEALTH; LIGHT; TRH</t>
  </si>
  <si>
    <t>The Antarctic environment induces adaptive metabolic and neuroendocrine changes associated with survival, as well as increased risks to physical and mental health. Circadian disruption has been observed in Antarctic expeditioners. The main consequences appear in quality of sleep, which can affect physical and cognitive performance. Physiological adaptation to cold is mediated by the norepinephrine and thyroid hormones (T-3 and 3,5-T-2 metabolite). The observed changes in the hypothalamic-pituitary-thyroid (HPT) axis of expeditioners varied according to temperature, photoperiod, time spent in the cold environment and stress level. The decrease in T-3 levels has frequently been associated with mood swings. Psychological and physical stressors cause disturbances in the hypothalamic-pituitary-adrenal (HPA) axis, with consequent maintenance of high cortisol levels, leading to memory impairment, immunosuppression, and cardiometabolic and reproductive disorders. Preventive measures, such as provision of adequate food, well-established eating times, physical activity and even the use of phototherapy, can all help maintain the circadian rhythm. In addition, the use of high-tech clothing and room temperature control in research stations provide greater protection against the effects of intense cold. However, psychological stress requires a more individualized approach based on the crew's sociocultural characteristics, but it can be mitigated by mental healthcare and training in coping strategies. This article is categorized under: Cardiovascular Diseases &gt; Molecular and Cellular Physiology Cardiovascular Diseases &gt; Environmental Factors Metabolic Diseases &gt; Environmental Factors</t>
  </si>
  <si>
    <t>[Spinelli, Eliani] Fluminense Fed Univ, Sch Pharm, Rua Dr Mario Viana 523, Rio De Janeiro, Brazil; [Werner Junior, Jairo] Fluminense Fed Univ, Sch Med, Rio De Janeiro, Brazil</t>
  </si>
  <si>
    <t>Universidade Federal Fluminense; Universidade Federal Fluminense</t>
  </si>
  <si>
    <t>Spinelli, E (corresponding author), Fluminense Fed Univ, Sch Pharm, Rua Dr Mario Viana 523, Rio De Janeiro, Brazil.</t>
  </si>
  <si>
    <t>elianispinelli@id.uff.br</t>
  </si>
  <si>
    <t>; Spinelli, Eliani/L-5587-2015</t>
  </si>
  <si>
    <t>WERNER JUNIOR, JAIRO/0000-0001-6402-5627; Spinelli, Eliani/0000-0001-5488-2545</t>
  </si>
  <si>
    <t>Brazilian National Council for Scientific and Technological Development (CNPq-Brazil) [442764/2018-9, 21/2018-PROANTAR]</t>
  </si>
  <si>
    <t>Brazilian National Council for Scientific and Technological Development (CNPq-Brazil)(Conselho Nacional de Desenvolvimento Cientifico e Tecnologico (CNPQ))</t>
  </si>
  <si>
    <t>The authors wish to thank the Brazilian National Council for Scientific and Technological Development (CNPq-Brazil), for supporting this study (CNPQ/MCTIC/CAPES/FNDCT n circle 21/2018-PROANTAR-project number 442764/2018-9).</t>
  </si>
  <si>
    <t>2692-9368</t>
  </si>
  <si>
    <t>WIRES MECH DIS</t>
  </si>
  <si>
    <t>WIREs Mech. Dis.</t>
  </si>
  <si>
    <t>e1556</t>
  </si>
  <si>
    <t>10.1002/wsbm.1556</t>
  </si>
  <si>
    <t>Medicine, Research &amp; Experimental</t>
  </si>
  <si>
    <t>Research &amp; Experimental Medicine</t>
  </si>
  <si>
    <t>4N2DM</t>
  </si>
  <si>
    <t>WOS:000782288800001</t>
  </si>
  <si>
    <t>Laffin, MK; Zender, CS; van Wessem, M; Marinsek, S</t>
  </si>
  <si>
    <t>Laffin, Matthew K.; Zender, Charles S.; van Wessem, Melchior; Marinsek, Sebastian</t>
  </si>
  <si>
    <t>The role of fohn winds in eastern Antarctic Peninsula rapid ice shelf collapse</t>
  </si>
  <si>
    <t>BASAL MELT RATES; SOUTHERN ANNULAR MODE; SURFACE MELT; CLIMATE; RETREAT; DISINTEGRATION; TEMPERATURE; STABILITY; IMPACT; DRIVEN</t>
  </si>
  <si>
    <t>Ice shelf collapse reduces buttressing and enables grounded glaciers to contribute more rapidly to sea-level rise in a warming climate. The abrupt collapses of the Larsen A (1995) and B (2002) ice shelves on the Antarctic Peninsula (AP) occurred, at least for Larsen B, when long-period ocean swells damaged the calving front and the ice shelf was inundated with melt lakes that led to large-scale hydrofracture cascades. During collapse, field and satellite observations indicate fohn winds were present on both ice shelves. Here we use a regional climate model and machine learning analyses to evaluate the contributory roles of fohn winds and associated melt events prior to and during the collapses for ice shelves on the AP. Fohn winds caused about 25 % +/- 3 % of the total annual melt in just 9 d on Larsen A prior to and during collapse and were present during the Larsen B collapse, which helped form extensive melt lakes. At the same time, the off-coast wind direction created by fohn winds helped melt and physically push sea ice away from the ice shelf calving fronts that allowed long-period ocean swells to reach and damage the front, which has been theorized to have ultimately triggered collapse. Collapsed ice shelves experienced enhanced surface melt driven by fohn winds over a large spatial extent and near the calving front, whereas SCAR inlet and the Larsen C ice shelves are affected less by fohn-wind-induced melt and do not experience large-scale melt ponds. These results suggest SCAR inlet and the Larsen C ice shelves may be less likely to experience rapid collapse due to fohn-driven melt so long as surface temperatures and fohn occurrence remain within historical bounds.</t>
  </si>
  <si>
    <t>[Laffin, Matthew K.; Zender, Charles S.] Univ Calif Irvine, Dept Earth Syst Sci, Irvine, CA 92717 USA; [Zender, Charles S.] Univ Calif Irvine, Dept Comp Sci, Irvine, CA USA; [van Wessem, Melchior] Univ Utrecht, Inst Marine &amp; Atmospher Res Utrecht IMAU, Utrecht, Netherlands; [Marinsek, Sebastian] Inst Antart Argentino, Dept Glaciol, Buenos Aires, DF, Argentina</t>
  </si>
  <si>
    <t>University of California System; University of California Irvine; University of California System; University of California Irvine; Utrecht University; Instituto Antartico Argentino</t>
  </si>
  <si>
    <t>Laffin, MK (corresponding author), Univ Calif Irvine, Dept Earth Syst Sci, Irvine, CA 92717 USA.</t>
  </si>
  <si>
    <t>mlaffin@uci.edu</t>
  </si>
  <si>
    <t>Zender, Charles/D-4485-2012</t>
  </si>
  <si>
    <t>Zender, Charles/0000-0003-0129-8024; Laffin, Matthew/0000-0002-6079-336X</t>
  </si>
  <si>
    <t>National Science Foundation [NRT-1633631]; NASA AIST [80NSSC17K0540]; DOE BER ESM program [DE-SC0019278, LLNL-B639667]; DOE SciDAC program [LANL-520117]; PROTECT; NWO (Netherlands Organisation for Scientific Research, VENI grant) [VI.Veni.192.083]; U.S. Department of Energy (DOE) [DE-SC0019278] Funding Source: U.S. Department of Energy (DOE)</t>
  </si>
  <si>
    <t>National Science Foundation(National Science Foundation (NSF)); NASA AIST; DOE BER ESM program(United States Department of Energy (DOE)); DOE SciDAC program(United States Department of Energy (DOE)); PROTECT; NWO (Netherlands Organisation for Scientific Research, VENI grant); U.S. Department of Energy (DOE)(United States Department of Energy (DOE))</t>
  </si>
  <si>
    <t>Matthew K. Laffin was supported by the National Science Foundation (grant no. NRT-1633631) and NASA AIST (grant no. 80NSSC17K0540). Charles S. Zender was supported by the DOE BER ESM and SciDAC programs (grant nos. DE-SC0019278, LLNL-B639667, and LANL-520117). JMVW acknowledges support by PROTECT and was partly funded by the NWO (Netherlands Organisation for Scientific Research, VENI grant VI.Veni.192.083).</t>
  </si>
  <si>
    <t>10.5194/tc-16-1369-2022</t>
  </si>
  <si>
    <t>0M1QF</t>
  </si>
  <si>
    <t>WOS:000781936000001</t>
  </si>
  <si>
    <t>Peng, YH; Ji, W; Ji, HW</t>
  </si>
  <si>
    <t>Peng, Yuanhuai; Ji, Wei; Ji, Hongwu</t>
  </si>
  <si>
    <t>Microstructure of Antarctic Krill (Euphausia suberba) Cuticle</t>
  </si>
  <si>
    <t>OCEAN SCIENCE JOURNAL</t>
  </si>
  <si>
    <t>Antarctic krill cuticle; Chitin; Inorganic salts; Fluorapatite; Microstructure</t>
  </si>
  <si>
    <t>AMORPHOUS CALCIUM-CARBONATE; ALPHA-CHITIN; PHYSICOCHEMICAL CHARACTERIZATION; PORCELLIO-SCABER; SUPERBA DANA; MOLT CYCLE; FLUORIDE; CRAB; BIOMINERALIZATION; EXTRACTION</t>
  </si>
  <si>
    <t>In this study, the microstructure of Antarctic krill cuticle was deeply investigated using scanning electron microscope (SEM). The krill cuticles were treated with clean water, dilute hydrochloric acid solution and dilute sodium hydroxide solution to remove the adhesive substances, inorganic salts and protein, respectively. The organic substances were removed by sintering the cuticle in a muffle furnace to obtain the inorganic salts. The resulting cuticle of Antarctic krill was then observed under SEM and it was found that the cuticle has a hierarchical structure in which the alpha-crystal chitin fibers, with chitin spheres, extended from the pore canals, thus shaping layers; multiple stacked layers formed the three-dimensional structure; the inorganic salts were sparsely distributed in the cuticle; protein was wrapped around the surfaces of the chitin fiber bundles and the crystals of inorganic salts. These structural investigations revealed the interrelation among the main components of Antarctic krill cuticle. This study and following studies will be helpful in understanding the relationship between the forms of fluorine in Antarctic krill cuticle and its structural changes during postmortem storage.</t>
  </si>
  <si>
    <t>[Peng, Yuanhuai] Lingnan Normal Univ, Coll Food Sci &amp; Engn, Zhanjiang 524048, Peoples R China; [Ji, Wei] Guangdong Univ Educ, Coll Biol &amp; Food Engn, Guangzhou 510303, Peoples R China; [Ji, Hongwu] Guangdong Ocean Univ, Guangdong Prov Key Lab Aquat Prod Proc &amp; Safety, Zhanjiang 524088, Peoples R China</t>
  </si>
  <si>
    <t>LingNan Normal University; Guangdong Ocean University</t>
  </si>
  <si>
    <t>Ji, HW (corresponding author), Guangdong Ocean Univ, Guangdong Prov Key Lab Aquat Prod Proc &amp; Safety, Zhanjiang 524088, Peoples R China.</t>
  </si>
  <si>
    <t>jihw62318@163.com</t>
  </si>
  <si>
    <t>National Natural Science Foundation of China [31801614]; Modern Agro-industry Technology Research System of China [CARS-48]; Guangdong Provincial Key Laboratory of Aquatic Product Processing and Safety [GDPKLAPPS2005]; School level talent project of Lingnan Normal University [ZL2021009]</t>
  </si>
  <si>
    <t>National Natural Science Foundation of China(National Natural Science Foundation of China (NSFC)); Modern Agro-industry Technology Research System of China; Guangdong Provincial Key Laboratory of Aquatic Product Processing and Safety; School level talent project of Lingnan Normal University</t>
  </si>
  <si>
    <t>This work was supported by the National Natural Science Foundation of China (grant No. 31801614), the Modern Agro-industry Technology Research System of China (CARS-48), Guangdong Provincial Key Laboratory of Aquatic Product Processing and Safety (GDPKLAPPS2005), and the School level talent project of Lingnan Normal University (ZL2021009).</t>
  </si>
  <si>
    <t>KOREA INST OCEAN SCIENCE &amp; TECHNOLOGY-KIOST</t>
  </si>
  <si>
    <t>BUSAN</t>
  </si>
  <si>
    <t>HAEYANG-RO 385, YEONGDO-GU, BUSAN, SOUTH KOREA</t>
  </si>
  <si>
    <t>1738-5261</t>
  </si>
  <si>
    <t>2005-7172</t>
  </si>
  <si>
    <t>OCEAN SCI J</t>
  </si>
  <si>
    <t>Ocean Sci. J.</t>
  </si>
  <si>
    <t>10.1007/s12601-022-00059-x</t>
  </si>
  <si>
    <t>3B2GN</t>
  </si>
  <si>
    <t>WOS:000782319300001</t>
  </si>
  <si>
    <t>Fonseca, VG; Kirse, A; Giebner, H; Vause, BJ; Drago, T; Power, DM; Peck, LS; Clark, MS</t>
  </si>
  <si>
    <t>Fonseca, V. G.; Kirse, A.; Giebner, H.; Vause, B. J.; Drago, T.; Power, D. M.; Peck, L. S.; Clark, M. S.</t>
  </si>
  <si>
    <t>Metabarcoding the Antarctic Peninsula biodiversity using a multi-gene approach</t>
  </si>
  <si>
    <t>ISME COMMUNICATIONS</t>
  </si>
  <si>
    <t>ORGANIC-MATTER; MICROBIAL COMMUNITIES; METAZOAN MEIOFAUNA; MARINE BACTERIAL; SEDIMENTS; DIVERSITY; ABUNDANCE; PATTERNS; SUMMER; VARIABILITY</t>
  </si>
  <si>
    <t>Marine sediment communities are major contributors to biogeochemical cycling and benthic ecosystem functioning, but they are poorly described, particularly in remote regions such as Antarctica. We analysed patterns and drivers of diversity in metazoan and prokaryotic benthic communities of the Antarctic Peninsula with metabarcoding approaches. Our results show that the combined use of mitochondrial Cox1, and 16S and 18S rRNA gene regions recovered more phyla, from metazoan to non-metazoan groups, and allowed correlation of possible interactions between kingdoms. This higher level of detection revealed dominance by the arthropods and not nematodes in the Antarctic benthos and further eukaryotic diversity was dominated by benthic protists: the world's largest reservoir of marine diversity. The bacterial family Woeseiaceae was described for the first time in Antarctic sediments. Almost 50% of bacteria and 70% metazoan taxa were unique to each sampled site (high alpha diversity) and harboured unique features for local adaptation (niche-driven). The main abiotic drivers measured, shaping community structure were sediment organic matter, water content and mud. Biotic factors included the nematodes and the highly abundant bacterial fraction, placing protists as a possible bridge for between kingdom interactions. Meiofauna are proposed as sentinels for identifying anthropogenic-induced changes in Antarctic marine sediments.</t>
  </si>
  <si>
    <t>[Fonseca, V. G.] Ctr Environm Fisheries &amp; Aquaculture Sci Cefas, Weymouth, England; [Kirse, A.; Giebner, H.] Zool Res Museum Alexander Koenig ZFMK, Bonn, Germany; [Vause, B. J.; Peck, L. S.; Clark, M. S.] NERC, British Antarctic Survey, Cambridge, England; [Drago, T.] Portuguese Inst Sea &amp; Atmosphere IPMA, Tavira, Portugal; [Drago, T.] Univ Lisbon, Inst Dom Luiz IDL, Lisbon, Portugal; [Power, D. M.] Ctr Marine Sci CCMAR, Faro, Portugal</t>
  </si>
  <si>
    <t>Centre for Environment Fisheries &amp; Aquaculture Science; Zoologisches Forschungsmuseum Alexander Koenig (ZFMK); UK Research &amp; Innovation (UKRI); Natural Environment Research Council (NERC); NERC British Antarctic Survey; Universidade de Lisboa</t>
  </si>
  <si>
    <t>Fonseca, VG (corresponding author), Ctr Environm Fisheries &amp; Aquaculture Sci Cefas, Weymouth, England.</t>
  </si>
  <si>
    <t>vera.fonseca@cefas.co.uk</t>
  </si>
  <si>
    <t>Fonseca, Vera/F-5566-2010; Drago, Teresa/K-6252-2013</t>
  </si>
  <si>
    <t>Fonseca, Vera/0000-0003-1021-7003; Drago, Teresa/0000-0003-3496-3270</t>
  </si>
  <si>
    <t>Ministry of Education and Science | Fundao para a Cincia e a Tecnologia (Portuguese Science and Technology Foundation) [SFRH/BPD/80447/2014]; Portuguese Foundation for Science and Technology (FCT); Centre for Environment, Fisheries and Aquaculture Science (Cefas)</t>
  </si>
  <si>
    <t>Ministry of Education and Science | Fundao para a Cincia e a Tecnologia (Portuguese Science and Technology Foundation); Portuguese Foundation for Science and Technology (FCT)(Fundacao para a Ciencia e a Tecnologia (FCT)); Centre for Environment, Fisheries and Aquaculture Science (Cefas)</t>
  </si>
  <si>
    <t>The authors would like to thank the Rothera marine team for help with sample collection and Laura Gerrish at the British Antarctic Survey for producing the map. MSC, BJV and LSP were funded by UKRI-NERC core funding to the British Antarctic Survey. VGF would like to thank the Portuguese Foundation for Science and Technology (FCT) for a post-doctoral grant (SFRH/BPD/80447/2014), and the Centre for Environment, Fisheries and Aquaculture Science (Cefas) for supporting the production of the manuscript.</t>
  </si>
  <si>
    <t>2730-6151</t>
  </si>
  <si>
    <t>ISME COMMUN</t>
  </si>
  <si>
    <t>ISME Commun.</t>
  </si>
  <si>
    <t>10.1038/s43705-022-00118-3</t>
  </si>
  <si>
    <t>Ecology; Microbiology</t>
  </si>
  <si>
    <t>Environmental Sciences &amp; Ecology; Microbiology</t>
  </si>
  <si>
    <t>Y5LV4</t>
  </si>
  <si>
    <t>WOS:001105679600002</t>
  </si>
  <si>
    <t>Mou, JF; Liu, K; Huang, YQ; He, XB; Zhang, SY; Wang, JJ; Lin, JH; Lin, HS; Liu, WH</t>
  </si>
  <si>
    <t>Mou, Jianfeng; Liu, Kun; Huang, Yaqin; He, Xuebao; Zhang, Shuyi; Wang, Jianjia; Lin, Junhui; Lin, Heshan; Liu, Wenhua</t>
  </si>
  <si>
    <t>The macro-and megabenthic fauna on the continental shelf of Prydz Bay, east Antarctica</t>
  </si>
  <si>
    <t>Community structure; Triangle trawl; Benthos; Prydz bay</t>
  </si>
  <si>
    <t>WEDDELL SEA; ROSS SEA; BENTHIC COMMUNITIES; MACROBENTHOS; ASSEMBLAGES; DISTURBANCE; BIOLOGY; OCEAN</t>
  </si>
  <si>
    <t>Ten triangle trawls in Prydz Bay were collected from 97 m to 638 m. A total of 206 species of macro- and megabenthos were identified, belonging to 9 phyla and 118 families, of which pycnogonids (41 species), gammarid amphipods (38 species) and echinoderms (36 species) were the most dominant groups. The species richness per station varied from 1 to 92. The abundance of macro- and mega-benthos (1 x 10-3-0.24 Ind./m2) was low, compared to that in the southeastern Weddell Sea (131-1.28 x 103 Ind./m2) and South Shetland waters (160-4.38 x 103 Ind./m2). The results were similar to the Amundsen Sea abundances (1.10 x 10-3-0.40 Ind./ m2) at comparable depths and in the Antarctic deep sea. The macrobenthic community had 2 types, Sessile Suspension Feeders with Associated fauna - dominated by sponges (SSFA-SPO) and mobile deposit feeders, infauna and grazers - epifauna dominated (MOIN-EPI). The macrobenthic community in Prydz Bay showed a dispersed patchy distribution pattern which may result from the Antarctic water mass and iceberg scouring.</t>
  </si>
  <si>
    <t>[Mou, Jianfeng; Liu, Wenhua] Shantou Univ, Inst Marine Biol, Shantou 515063, Peoples R China; [Liu, Kun; Huang, Yaqin; He, Xuebao; Zhang, Shuyi; Wang, Jianjia; Lin, Junhui; Lin, Heshan] Minist Nat Resources, Inst Oceanog 1, Lab Marine Biol &amp; Ecol, Xiamen 361005, Peoples R China</t>
  </si>
  <si>
    <t>Shantou University; First Institute of Oceanography, Ministry of Natural Resources; Ministry of Natural Resources of the People's Republic of China</t>
  </si>
  <si>
    <t>Liu, WH (corresponding author), Shantou Univ, Inst Marine Biol, Shantou 515063, Peoples R China.;Lin, HS (corresponding author), Minist Nat Resources, Inst Oceanog 1, Lab Marine Biol &amp; Ecol, Xiamen 361005, Peoples R China.</t>
  </si>
  <si>
    <t>Linheshan@tio.org.cn; Whliu@stu.edu.cn</t>
  </si>
  <si>
    <t>He, Xue-Bao/E-6716-2011; Yu, ZH/KBC-6889-2024; Huang, YQ/JOK-7580-2023; Huang, Yu/KDM-9182-2024; zhang, jinlu/KEE-9374-2024</t>
  </si>
  <si>
    <t>Impact and Response of Antarctic Seas to Climate Change [IRASCC2020-2022-01-02-03]; National Natural Science Foundation of China [42076237]; Scientific Research Foundation of the Third Institute of Oceanography, SOA [2018023]; National Key Research and Development Program of China [2019YFA0607003]</t>
  </si>
  <si>
    <t>Impact and Response of Antarctic Seas to Climate Change; National Natural Science Foundation of China(National Natural Science Foundation of China (NSFC)); Scientific Research Foundation of the Third Institute of Oceanography, SOA; National Key Research and Development Program of China</t>
  </si>
  <si>
    <t>This work was supported by Impact and Response of Antarctic Seas to Climate Change (IRASCC2020-2022-NO. 01-02-03), the National Natural Science Foundation of China under contract No. 42076237, the Scientific Research Foundation of the Third Institute of Oceanography, SOA, No. 2018023 and the National Key Research and Development Program of China (2019YFA0607003). We thank Ministry of Natural Resources of the People's Republic of China, Chinese Arctic and Antarctic Administration, all of the explorers of the 31st and 36th Chinese National Antarctic Research Expeditions, and Jiang Jinxiang, Li Rongguan, Wang Jianjun, Zhen Fengwu, Zheng Chengxing for their help and suggestions.</t>
  </si>
  <si>
    <t>10.1016/j.dsr2.2022.105052</t>
  </si>
  <si>
    <t>1B7YB</t>
  </si>
  <si>
    <t>WOS:000792647800006</t>
  </si>
  <si>
    <t>Yang, G; Mou, WX; Chen, XL; Xu, ZQ; Wang, YQ; Li, CL</t>
  </si>
  <si>
    <t>Yang, Guang; Mou, Wenxiu; Chen, Xiaoli; Xu, Zhiqiang; Wang, Yanqing; Li, Chaolun</t>
  </si>
  <si>
    <t>Vertical occurrence of copepod carcasses in the Cosmonaut Sea during austral summer</t>
  </si>
  <si>
    <t>Zooplankton; Carcasses; Particulate organic carbon; Mesopelagic zone; Cosmonaut sea; Southern ocean</t>
  </si>
  <si>
    <t>PARTICULATE ORGANIC-CARBON; ZOOPLANKTON FECAL PELLETS; SOUTHERN-OCEAN; EXPORT FLUX; BROKE-WEST; NONPREDATORY MORTALITY; COMMUNITY STRUCTURE; SEDIMENT TRAPS; PARTICLE-FLUX; ZONE</t>
  </si>
  <si>
    <t>Zooplankton carcasses and their contribution to carbon export are increasingly garnering attention in food web studies of polar oceans. We investigated the occurrence of carcasses of dominant copepod species at four depths (100-200 m, 200-500 m, 500-1000 m, 1000-1500 m) and their potential contribution to particulate organic carbon (POC) concentrations in the Cosmonaut Sea, Antarctica, during summer, 2019/2020. The abundance of small copepods (&lt; 2 mm), either live or dead individuals, was 1-3 orders of magnitude higher than the four dominant large copepod species Calanoides acutus, Calanus propinquus, Metridia gerlachei and Rhincalanus gigas at each depth. Most carcasses were observed at the surface (100-200 m), while the proportions of dead individuals increased with depth, from 22% in the 100-200 m layer to 70% of the 500-1500 m layer. The total number of passive sinkers (carcasses and moults) was dominated by carcasses of small copepods in each depth layer, while the carbon biomass of passive sinkers was dominated by carcasses of large copepods. Both abundance and carbon biomass of passive sinkers decreased with depth. The average contribution of passive sinkers to the POC con-centration decreased from 0.27% in the 100-200 m depth stratum to 0.10% in the 500-1500 m layer. This study provides the first report of occurrence and contribution of carcasses from the surface to the mesopelagic layer of the Southern Ocean. This information can improve understanding of the role zooplankton play in downward carbon flux within the ocean's twilight zone.</t>
  </si>
  <si>
    <t>[Yang, Guang; Mou, Wenxiu; Chen, Xiaoli; Li, Chaolun] Chinese Acad Sci, Inst Oceanol, Key Lab Marine Ecol &amp; Environm Sci, 7 Nanhai Rd, Qingdao 266071, Peoples R China; [Yang, Guang; Mou, Wenxiu; Chen, Xiaoli; Li, Chaolun] Qingdao Natl Lab Marine Sci &amp; Technol, Lab Marine Ecol &amp; Environm Sci, Qingdao 266071, Peoples R China; [Yang, Guang; Li, Chaolun] Chinese Acad Sci, Ctr Ocean Mega Sci, 7 Nanhai Rd, Qingdao 266071, Peoples R China; [Mou, Wenxiu; Chen, Xiaoli; Li, Chaolun] Univ Chinese Acad Sci, 19 Yuquan Rd, Beijing 100049, Peoples R China; [Xu, Zhiqiang] Chinese Acad Sci, Inst Oceanol, Jiaozhou Bay Marine Ecosyst Res Stn, Qingdao 266071, Peoples R China; [Wang, Yanqing] Chinese Acad Sci, Inst Oceanol, Engn Technol Dept, Qingdao 266071, Peoples R China; [Li, Chaolun] Chinese Acad Sci, Inst Oceanol, Ctr Deep Sea Res, Qingdao 266071, Peoples R China</t>
  </si>
  <si>
    <t>Chinese Academy of Sciences; Institute of Oceanology, CAS; Laoshan Laboratory; Chinese Academy of Sciences; Chinese Academy of Sciences; University of Chinese Academy of Sciences, CAS; Chinese Academy of Sciences; Institute of Oceanology, CAS; Chinese Academy of Sciences; Institute of Oceanology, CAS; Chinese Academy of Sciences; Institute of Oceanology, CAS</t>
  </si>
  <si>
    <t>Li, CL (corresponding author), Chinese Acad Sci, Inst Oceanol, Key Lab Marine Ecol &amp; Environm Sci, 7 Nanhai Rd, Qingdao 266071, Peoples R China.</t>
  </si>
  <si>
    <t>lcl@qdio.ac.cn</t>
  </si>
  <si>
    <t>wang, yanqing/C-5680-2014; Li, Chao/GSM-8117-2022</t>
  </si>
  <si>
    <t>wang, yanqing/0000-0002-3054-3079; Li, Chao/0000-0001-6110-6210; Yang, Guang/0000-0002-9410-0189; Li, Chaolun/0000-0003-1890-0587</t>
  </si>
  <si>
    <t>National Science Foundation of China [41876217]; Impact and Response of Antarctic Seas to Climate Change [IRASCC 01-02-01D]</t>
  </si>
  <si>
    <t>National Science Foundation of China(National Natural Science Foundation of China (NSFC)); Impact and Response of Antarctic Seas to Climate Change</t>
  </si>
  <si>
    <t>We would like to thank the crew on RV Xuelong II for their assistance with the plankton sampling. We thank Min Chen and Dong Li for providing the POC data. We also thank Zhengbing Han and Min Chen for discussion that greatly improved this analysis. Comments by Walker O. Smith and four anonymous reviewers improved the submitted manuscript. This work was supported by National Science Foundation of China (41876217) and Impact and Response of Antarctic Seas to Climate Change (IRASCC 01-02-01D).</t>
  </si>
  <si>
    <t>10.1016/j.dsr2.2022.105051</t>
  </si>
  <si>
    <t>WOS:000792647800005</t>
  </si>
  <si>
    <t>Liszka, CM; Thorpe, SE; Wootton, M; Fielding, S; Murphy, EJ; Tarling, GA</t>
  </si>
  <si>
    <t>Liszka, Cecilia M.; Thorpe, Sally E.; Wootton, Marianne; Fielding, Sophie; Murphy, Eugene J.; Tarling, Geraint A.</t>
  </si>
  <si>
    <t>Plankton and nekton community structure in the vicinity of the South Sandwich Islands (Southern Ocean) and the influence of environmental factors</t>
  </si>
  <si>
    <t>South Sandwich Islands (SSI); Phytoplankton; Zooplankton; Trophic structure; Biogeography; Environmental conditions</t>
  </si>
  <si>
    <t>ANTARCTIC CIRCUMPOLAR CURRENT; DIEL VERTICAL MIGRATION; SCOTIA SEA; ZOOPLANKTON COMMUNITY; THYSANOESSA-MACRURA; MESOPELAGIC FISH; CCAMLR 2000; ROSS SEA; GEORGIA; PHYTOPLANKTON</t>
  </si>
  <si>
    <t>The South Sandwich Islands (SSI) are a biologically productive archipelago situated in the eastern Scotia Sea to the south of the eastward flowing Antarctic Circumpolar Current (ACC). The islands support important populations of higher predators, including several penguin species, seals and humpback whales. Despite this, the plankton ecology of the region has been little studied and information on mesoscale structure and environmental forcing of plankton ecology is particularly limited. We conducted a comprehensive oceanographic and net sampling campaign during the CCAMLR Area 48 Survey (January and February 2019), incorporating phytoplankton, mesozooplankton and macrozooplankton/nekton. Satellite chlorophyll-a (chl-a) data showed the development of a large bloom that was initiated two months prior to our study period at the south-eastern edge of the archipelago and propagated northwards along the eastern side, limited to the east by mesoscale features associated with the southern boundary of the ACC (SB). Multivariate cluster analysis revealed distinct mesoscale structure within the plankton community, with four spatially defined groups of phytoplankton and macrozooplankton/nekton, and three cluster groups of mesozooplankton. North of the SB, we found some spatial congruence between the three plankton assemblages, with a distinct, spatially coherent, cluster in each, corresponding to a warmer water community. Here, biomass was dominated by mesozooplankton, particularly calanoid copepods Rhincalanus gigas, Calanus propinquus, C. simillimus and Euchaetidae. The corresponding phytoplankton community was dominated by small diatoms, particularly Thalassionema spp., Pseudo-nitzschia spp., Fragilariopsis spp. and Chaetoceros spp., whilst Themisto gaudichaudii, Euphausia triacantha and myctophids were the major contributors to the macrozooplankton/nekton community. South of the SB, there was some spatial congruence between phytoplankton and macrozooplankton/nekton community structure on the western side of the archipelago, as well as on the eastern side that corresponded to the location of the bloom, but less association with mesozooplankton structure. Macrozooplankton/nekton structure was strongly driven by environmental conditions 1-2 months prior to the survey, including sea-ice distribution, surface phytoplankton concentration and productivity, whilst mesozooplankton was more tightly coupled to in-situ prevailing conditions such as surface temperature and integrated chl-a. Top-down pressure between trophic levels may have also had an influence on spatial patterns although direct evidence is lacking. Antarctic krill (Euphausia superba) was found with relatively low biomass at our net sampling sites (median biomass of 0.04 mg m(-3) or &lt;0.01 g m(-2)) while myctophids and the euphausiid Thysanoessa spp. predominated. We suggest that the highly productive and species rich pelagic community of the SSI supports multiple trophic pathways, and that off-shelf these may operate independently of Antarctic krill.</t>
  </si>
  <si>
    <t>[Liszka, Cecilia M.; Thorpe, Sally E.; Fielding, Sophie; Murphy, Eugene J.; Tarling, Geraint A.] British Antarctic Survey, High Cross,Madingley Rd, Cambridge CB3 0ET, England; [Wootton, Marianne] Marine Biol Assoc UK, Lab, Citadel Hill, Plymouth PL1 2PB, Devon, England</t>
  </si>
  <si>
    <t>UK Research &amp; Innovation (UKRI); Natural Environment Research Council (NERC); NERC British Antarctic Survey; Marine Biological Association United Kingdom</t>
  </si>
  <si>
    <t>Liszka, CM (corresponding author), British Antarctic Survey, High Cross,Madingley Rd, Cambridge CB3 0ET, England.</t>
  </si>
  <si>
    <t>ceclis56@bas.ac.uk</t>
  </si>
  <si>
    <t>murphy, eugene/GZL-1620-2022; Woootton, Marianne/AAA-2278-2020; Fielding, Sophie/E-5137-2012</t>
  </si>
  <si>
    <t>Woootton, Marianne/0000-0003-2553-6322; Liszka, Cecilia/0000-0003-1309-4045; Thorpe, Sally/0000-0002-5193-6955</t>
  </si>
  <si>
    <t>Foreign, Commonwealth and Development Office, Overseas Territories Blue Belt programme; NERC-BAS ALI-Science Southern Ocean ecosystems project</t>
  </si>
  <si>
    <t>This study received funding support from the Foreign, Commonwealth and Development Office, as part of the Overseas Territories Blue Belt programme. The study was also supported through the NERC-BAS ALI-Science Southern Ocean ecosystems project.</t>
  </si>
  <si>
    <t>10.1016/j.dsr2.2022.105073</t>
  </si>
  <si>
    <t>WOS:000792647800004</t>
  </si>
  <si>
    <t>Bamford, CCG; Jackson, JA; Kennedy, AK; Trathan, PN; Staniland, IJ; Andriolo, A; Bedriñana-Romano, L; Carroll, EL; Martin, S; Zerbini, AN</t>
  </si>
  <si>
    <t>Bamford, C. C. G.; Jackson, J. A.; Kennedy, A. K.; Trathan, P. N.; Staniland, I. J.; Andriolo, A.; Bedrinana-Romano, L.; Carroll, E. L.; Martin, S.; Zerbini, A. N.</t>
  </si>
  <si>
    <t>Humpback whale (Megaptera novaeangliae) distribution and movements in the vicinity of South Georgia and the South Sandwich Islands Marine Protected Area</t>
  </si>
  <si>
    <t>Marine protected area; Antarctic; Megaptera novaeangliae; South Georgia; Whale; Habitat use</t>
  </si>
  <si>
    <t>KRILL EUPHAUSIA-SUPERBA; ANTARCTIC SEA-ICE; BALEEN WHALES; INTERANNUAL VARIABILITY; RELATIVE ABUNDANCE; HABITAT USE; SPACE-USE; OCEAN; MODELS; NORTH</t>
  </si>
  <si>
    <t>Humpback whales (Megaptera novaeangliae) are showing strong recovery from commercial whaling in the western South Atlantic. In this region, humpback whales migrate annually from their winter breeding grounds off the coast of Brazil to their summer feeding grounds near to the Polar Front, an area that includes the waters of South Georgia and the South Sandwich Islands (SGSSI). This latter region includes a Marine Protected Area (MPA), which has been developed to ensure sustainable management of fisheries, and protection of foraging predators. To date, management measures within the MPA have primarily been concerned with foraging predators that rely upon Antarctic krill, including for a number of previously over-exploited species. With humpback whales increasing in the western South Atlantic, understandingnderstanding their spatiotemporal distribution within the MPA is important as it will help inform management particularly in respect of interactions between humpback whales and the regional fishery for Antarctic krill. Here we develop habitat models from the distribution and movement patterns of 16 individuals at their high-latitude feeding grounds, south of 50 degrees S. We show that whale habitat use varies throughout the foraging period. Upon reaching their feeding ground, whales use the area to the east of the South Sandwich Islands, moving westward into the centre of the Scotia Arc and towards South Georgia during the high summer, and then expanding back towards the east in the winter. Based on these findings, we discuss the implications for the future, including necessary research required for underpinning management.</t>
  </si>
  <si>
    <t>[Bamford, C. C. G.; Jackson, J. A.; Trathan, P. N.] Nat Environm Res Council NERC, British Antarctic Survey, High Cross,Madingley Rd, Cambridge CB3 0ET, England; [Bamford, C. C. G.] Univ Southampton, Univ Rd, Southampton, Hants, England; [Kennedy, A. K.] Univ Washington, Cooperat Inst Climate Ocean Ecosyst Studies CICOE, Seattle, WA USA; [Staniland, I. J.] Int Whaling Commiss, Red House,135 Stn Rd, Cambridge CB24 9NP, England; [Andriolo, A.] Univ Fed Juiz de Fora, Inst Ciencias Biol, Lab Ecol Comportamental Bioacust LABEC, Juiz De Fora, MG, Brazil; [Andriolo, A.; Zerbini, A. N.] Inst Aqualie, Rua Paulo Japiassu Coelho 714-202, BR-36033310 Juiz De Fora, MG, Brazil; [Bedrinana-Romano, L.] Univ Austral Chile, Fac Ciencias, Inst Ciencias Marinas &amp; Limnol, Valdivia, Chile; [Bedrinana-Romano, L.] Univ Concepcion, Ctr Invest Oceanog COPAS Coasta, Concepcion 4070043, Chile; [Bedrinana-Romano, L.] NGO Ctr Ballena Azul, ICML, Valdivia 5090000, Chile; [Carroll, E. L.] Univ Auckland, Sch Biol Sci, Auckland 1010, New Zealand; [Martin, S.] Tristan Cunha Govt, Edinburgh Seven Seas, Tristan Da Cunh, St Helena; [Zerbini, A. N.] Univ Washington, Cooperat Inst Climate Ocean Ecosyst Studies CICOE, John M Wallace Hall,3737 Brooklyn Ave NE, Seattle, WA 98105 USA; [Zerbini, A. N.] NOAA Fisheries, Alaska Fisheries Sci Ctr, Marine Mammal Lab, 7600 Sand Point Way NE, Seattle, WA 98115 USA; [Zerbini, A. N.] Marine Ecol &amp; Telemetry Res, 2468 Camp McKenzie Tr NW, Seabeck, WA 98380 USA</t>
  </si>
  <si>
    <t>UK Research &amp; Innovation (UKRI); Natural Environment Research Council (NERC); NERC British Antarctic Survey; University of Southampton; University of Washington; University of Washington Seattle; Universidade Federal de Juiz de Fora; Universidad Austral de Chile; Universidad de Concepcion; University of Auckland; University of Washington; University of Washington Seattle; National Oceanic Atmospheric Admin (NOAA) - USA</t>
  </si>
  <si>
    <t>Bamford, CCG (corresponding author), Nat Environm Res Council NERC, British Antarctic Survey, High Cross,Madingley Rd, Cambridge CB3 0ET, England.</t>
  </si>
  <si>
    <t>conord48@bas.ac.uk</t>
  </si>
  <si>
    <t>Carroll, Emma/U-9133-2019; Staniland, Iain/I-4725-2012; Jackson, Jennifer A/E-7997-2013</t>
  </si>
  <si>
    <t>Carroll, Emma/0000-0003-3193-7288; Staniland, Iain/0000-0003-2736-9134; Jackson, Jennifer/0000-0003-4158-1924; Bedrinana-Romano, Luis/0000-0002-6105-0920</t>
  </si>
  <si>
    <t>DARWIN PLUS Award [DPLUS057]; EU BEST 2.0 Medium [1594]; South Georgia Heritage Trust; Friends of South Georgia Island; WWF; Natural Environment Research Council; Shell Brasil; CGG Brasil; SPITFIRE NERC DTP [NE/L002531/1]; Royal Society of New Zealand Te Aparangi; COPAS Coastal [ANID FB210021]</t>
  </si>
  <si>
    <t>DARWIN PLUS Award; EU BEST 2.0 Medium; South Georgia Heritage Trust; Friends of South Georgia Island; WWF; Natural Environment Research Council(UK Research &amp; Innovation (UKRI)Natural Environment Research Council (NERC)); Shell Brasil; CGG Brasil; SPITFIRE NERC DTP; Royal Society of New Zealand Te Aparangi(Royal Society of New Zealand); COPAS Coastal</t>
  </si>
  <si>
    <t>This work was supported by funding from a DARWIN PLUS Award No. DPLUS057, an EU BEST 2.0 Medium Grant No. 1594, South Georgia Heritage Trust, Friends of South Georgia Island, and WWF. This study forms part of the Ecosystems component of the British Antarctic Survey Polar Science for Planet Earth Programme, funded by The Natural Environment Research Council. We thank the Government of South Georgia and the South Sandwich Islands for providing logistical support for the South Georgia expeditions. Funding for satellite transmitter deployments in the breeding grounds off Brazil were provided by Shell Brasil and CGG Brasil. CCGB was funded by the SPITFIRE NERC DTP (Grant number: NE/L002531/1). ELC was supported by a Rutherford Discovery Fellow from the Royal Society of New Zealand Te Aparangi. LB was supported by COPAS Coastal ANID FB210021. The scientific results and conclusions, as well as any views or opinions expressed herein, are those of the author(s) and do not necessarily reflect those of NOAA or the U.S. Department of Commerce. All authors declare that no competing interests exist.</t>
  </si>
  <si>
    <t>10.1016/j.dsr2.2022.105074</t>
  </si>
  <si>
    <t>1B8JL</t>
  </si>
  <si>
    <t>WOS:000792678100002</t>
  </si>
  <si>
    <t>Belchier, M; Collins, MA; Gregory, S; Hollyman, P; Soeffker, M</t>
  </si>
  <si>
    <t>Belchier, M.; Collins, M. A.; Gregory, S.; Hollyman, P.; Soeffker, M.</t>
  </si>
  <si>
    <t>From sealing to the MPA-A history of exploitation, conservation and management of marine living resources at the South Sandwich Islands</t>
  </si>
  <si>
    <t>South Sandwich Islands; CCAMLR; Marine protected area; Fisheries management; Sub-Antarctic</t>
  </si>
  <si>
    <t>SCOTIA ARC; ANTARCTIC KRILL; OCEAN; ATLANTIC; FISHERY; ECOLOGY</t>
  </si>
  <si>
    <t>The exploitation of marine resources of the South Sandwich Islands (SSI) began with the hunting of fur seals for their pelts in the early decades of the 19th Century. Pelagic whaling in the region started a century later with catches recorded until the mid-1970s. Blue and fin whales dominated the catches accounting for 80% of the total. Trawl fisheries for demersal finfish and krill (Euphausia superba) were established around many sub-Antarctic islands in the late 1960s and through the 1970s, but they did not become established at the South Sandwich Islands despite fisheries research expeditions from several nations visiting the region during this period. The first licensed demersal longline fishery for toothfish (Dissostichus spp.) was initiated by a UK flagged vessel in 2005 following earlier expeditions by Chilean and Bulgarian fishing vessels. The fishery for toothfish is now conducted by a maximum of two vessels and represents the only fishing carried out in the SSI region with total annual catches of around 40 t per annum, with a fishing footprint restricted to less than 4% of the SSI Maritime Zone (MZ). This MZ extends 200 nm from the island chain and forms the eastern half of the 1.24 million km2 MZ of the UK Overseas Territory of South Georgia &amp; the South Sandwich Islands (SGSSI) which was established in 1993. The MZ around the SSI lies within the Convention for the Conservation of Antarctic Marine Living Resources (CCAMLR) management Subarea 48.4. Fishing within the MZ is licensed by the Government of South Georgia &amp; the South Sandwich Islands (GSGSSI) who, under domestic legislation, are required to adopt all fisheries management regulations that have been agreed for the region each year by CCAMLR. In addition, a suite of additional management measures are enforced. In 2012, GSGSSI established a sustainable use Marine Protected Area (MPA) within the SGSSI MZ to conserve the marine biodiversity of the region. Enhancements were introduced in 2013 and 2019 extending No-Take Zones (NTZs), where all fishing is prohibited, across 261,000 km2 of the MZ around the SSI including the deepest regions of the Southern Ocean, the South Sandwich Trench. The SSI marine ecosystem has been relatively poorly studied but has recently been a focus of two dedicated UK research cruises providing a considerable new amount of information to assist with the management of this remote marine region.</t>
  </si>
  <si>
    <t>[Belchier, M.; Gregory, S.] Govt South Georgia &amp; South Sandwich Islands, Stanley FIQQ 1ZZ, Falkland Island; [Belchier, M.; Collins, M. A.; Hollyman, P.] NERC, British Antarctic Survey, High Cross,Madingley Rd, Cambridge CB3 0ET, England; [Soeffker, M.] Ctr Environm Fisheries &amp; Aquaculture Sci, Pakefield Rd, Lowestoft NR33 0HT, Suffolk, England</t>
  </si>
  <si>
    <t>UK Research &amp; Innovation (UKRI); Natural Environment Research Council (NERC); NERC British Antarctic Survey; Centre for Environment Fisheries &amp; Aquaculture Science</t>
  </si>
  <si>
    <t>Belchier, M (corresponding author), Govt South Georgia &amp; South Sandwich Islands, Stanley FIQQ 1ZZ, Falkland Island.</t>
  </si>
  <si>
    <t>markb@bas.ac.uk</t>
  </si>
  <si>
    <t>, Martin/ABE-6728-2020; Soeffker, M/KBC-2650-2024; Soeffker, M/D-3258-2009</t>
  </si>
  <si>
    <t>, Martin/0000-0001-7132-8650; Soeffker, M/0000-0002-7131-5486; Hollyman, Philip/0000-0003-2665-5075</t>
  </si>
  <si>
    <t>10.1016/j.dsr2.2022.105056</t>
  </si>
  <si>
    <t>WOS:000792678100003</t>
  </si>
  <si>
    <t>Hollyman, PR; Soeffker, M; Roberts, J; Hogg, OT; Laptikhovsky, VV; Queirós, JP; Darby, C; Belchier, M; Collins, MA</t>
  </si>
  <si>
    <t>Hollyman, Philip R.; Soeffker, Marta; Roberts, Jim; Hogg, Oliver T.; V. Laptikhovsky, Vladimir; Queiros, Jose P.; Darby, Chris; Belchier, Mark; Collins, Martin A.</t>
  </si>
  <si>
    <t>Bioregionalization of the South Sandwich Islands through community analysis of bathyal fish and invertebrate assemblages using fishery-derived data</t>
  </si>
  <si>
    <t>TOOTHFISH DISSOSTICHUS-MAWSONI; SCOTIA ARC; WEDDELL SEA; OCEAN; DEEP; ECOLOGY; SHELF; EVOLUTION; ATLANTIC; GEORGIA</t>
  </si>
  <si>
    <t>The South Sandwich Islands (SSI) are a volcanic archipelago in the Atlantic sector of the Southern Ocean; they are a biologically rich area, home to a range of benthic habitats such as hydrothermal vents and seamounts. A commercial longline fishery for two congeneric species of deep-sea fish, the Patagonian (Dissostichus eleginoides) and Antarctic (D. mawsoni) toothfish has been in operation annually at the SSI since 2005 and throughout its history has employed scientific observers to collect detailed information on the species caught during fishing operations. Previous studies have investigated the distributions and communities of benthic invertebrates, sampled via scientific cruises. Here we highlight the utility of demersal longlines as spatially extensive sampling tools to investigate both invertebrate and fish communities at the SSI. A clear gradient in the distribution of many fish and invertebrate species is evident across the latitudinal range of the archipelago, these distributions result in clear differences in fish communities between the north, mid, and south of the islands, whilst the invertebrate communities are less clearly delineated. Environmental variables were investigated as drivers in these communities, and seawater temperature appears to be a key abiotic factor in mediating the distributions of species and communities. As many of these communities are structured based on temperature dependent species distributions, it is likely climate change will alter these communities with poleward shifts in the ranges of many species.</t>
  </si>
  <si>
    <t>[Hollyman, Philip R.; Queiros, Jose P.; Belchier, Mark; Collins, Martin A.] British Antarctic Survey, NERC, Madingley Rd, Cambridge CB3 0ET, England; [Soeffker, Marta; Hogg, Oliver T.; V. Laptikhovsky, Vladimir; Darby, Chris] Fisheries Aquaculture Sci, Ctr Environm, Pakefield Rd, Lowestoft NR33 0HT, Suffolk, England; [Soeffker, Marta] Univ East Anglia, Collaborat Ctr Sustainable Use Seas, Res Pk, Norwich NR4 7TJ, Norfolk, England; [Roberts, Jim] Anemone, Wellington 6022, New Zealand; [Queiros, Jose P.] Univ Coimbra, Dept Life Sci, MARE Marine &amp; Environm Sci Ctr, P-3000456 Coimbra, Portugal; [Belchier, Mark] Govt South Georgia &amp; South Sandwich Islands, Stanley FIQQ 1ZZ, Falkland Island</t>
  </si>
  <si>
    <t>UK Research &amp; Innovation (UKRI); Natural Environment Research Council (NERC); NERC British Antarctic Survey; Centre for Environment Fisheries &amp; Aquaculture Science; University of East Anglia; Universidade de Coimbra</t>
  </si>
  <si>
    <t>Hollyman, PR (corresponding author), British Antarctic Survey, NERC, Madingley Rd, Cambridge CB3 0ET, England.</t>
  </si>
  <si>
    <t>phyman@bas.ac.uk</t>
  </si>
  <si>
    <t>Soeffker, M/KBC-2650-2024; Queirós, José P./K-4158-2019; , Martin/ABE-6728-2020; Soeffker, M/D-3258-2009</t>
  </si>
  <si>
    <t>Queirós, José P./0000-0003-2763-2529; , Martin/0000-0001-7132-8650; Soeffker, M/0000-0002-7131-5486; Hogg, Oliver/0000-0003-1146-0590; Hollyman, Philip/0000-0003-2665-5075</t>
  </si>
  <si>
    <t>BAS South Georgia Project and Ecosystems Programme; FCT PhD Scholarship - FSE [SFRH/BD/144320/2019]</t>
  </si>
  <si>
    <t>BAS South Georgia Project and Ecosystems Programme; FCT PhD Scholarship - FSE</t>
  </si>
  <si>
    <t>This research did not receive any specific grant from funding agencies in the public, commercial, or not-for-profit sectors. MC and PH were funded by the BAS South Georgia Project and Ecosystems Programme. JPQ was supported by FCT PhD Scholarship co-financed by FSE (SFRH/BD/144320/2019).</t>
  </si>
  <si>
    <t>10.1016/j.dsr2.2022.105054</t>
  </si>
  <si>
    <t>1B7SW</t>
  </si>
  <si>
    <t>WOS:000792634100002</t>
  </si>
  <si>
    <t>Thorpe, SE; Murphy, EJ</t>
  </si>
  <si>
    <t>Thorpe, Sally E.; Murphy, Eugene J.</t>
  </si>
  <si>
    <t>Spatial and temporal variability and connectivity of the marine environment of the South Sandwich Islands, Southern Ocean</t>
  </si>
  <si>
    <t>Antarctica; Scotia sea; Antarctic Circumpolar Current; Weddell Gyre; Sea ice; Phytoplankton; Marine ecology; Ecosystem function; Ecosystem management</t>
  </si>
  <si>
    <t>MESOZOOPLANKTON COMMUNITY STRUCTURE; SCOTIA SEA; WEDDELL GYRE; PHYTOPLANKTON BLOOM; TRANSPORT PATHWAYS; CLIMATE-CHANGE; CCAMLR 2000; PACK-ICE; GEORGIA; IRON</t>
  </si>
  <si>
    <t>The South Sandwich Islands form the eastern boundary to the highly biologically productive Scotia Sea in the southwest Atlantic sector of the Southern Ocean and are part of a large Marine Protected Area. The South Sandwich Islands have a complex marine environment that is influenced by both the Antarctic Circumpolar Current and the Weddell Gyre, and seasonal sea ice. Here we investigate the local and regional dynamics and variability of the ocean and sea ice to inform management of the region. Remotely sensed sea surface temperature (SST), sea ice concentration and chlorophyll a data from 2009 to 2021 are used to define the mean seasonal cycle in the environment and the associated temporal and spatial variability. While sea surface temperature and sea ice have a clearly defined seasonality, local chlorophyll blooms are irregular in timing, location and magnitude. Interannual variability in summer SST is strongly positively correlated along the island arc. The islands experience very different winter sea ice conditions from year to year, with marked variability in sea ice distribution and duration. Surface chlorophyll blooms develop in most years close to the island arc, but there is little spatial consistency and there are years where blooms are not observed. The timing and pattern of sea ice retreat appears to be a key driver in the formation of chlorophyll blooms, with their propagation affected by local circulation, but additional local processes are also important. Trajectories of near-surface satellite tracked surface buoys and Argo floats, together with an analysis of sea surface height output from a global reanalysis product, demonstrate the connectivity of the South Sandwich Islands to the wider regional marine system. Enhanced current flows around and between the South Sandwich Islands are likely to affect the transport and exchange of material along the island arc. The South Sandwich Islands are connected with the Scotia and Weddell seas, with contribution from the different regions varying according to latitude along the island arc. There are also connections with islands downstream including Bouvet, Crozet and Kerguelen Islands and seamounts, with possible return flow via the Weddell Gyre. Our analyses indicate that accounting for the complexity and variability in the South Sandwich Islands marine environment will be crucial in the development of conservation and fisheries management procedures.</t>
  </si>
  <si>
    <t>[Thorpe, Sally E.; Murphy, Eugene J.] NERC, British Antarct Survey, High Cross,Madingley Rd, Cambridge CB3 0ET, England</t>
  </si>
  <si>
    <t>Thorpe, SE (corresponding author), NERC, British Antarct Survey, High Cross,Madingley Rd, Cambridge CB3 0ET, England.</t>
  </si>
  <si>
    <t>seth@bas.ac.uk</t>
  </si>
  <si>
    <t>murphy, eugene/GZL-1620-2022</t>
  </si>
  <si>
    <t>Murphy, Eugene/0000-0002-7369-9196; Thorpe, Sally/0000-0002-5193-6955</t>
  </si>
  <si>
    <t>Natural Environment Research Council-British Antarctic Survey ALI-Science Southern Ocean Ecosystems project</t>
  </si>
  <si>
    <t>This study was supported through the Natural Environment Research Council-British Antarctic Survey ALI-Science Southern Ocean Ecosystems project.</t>
  </si>
  <si>
    <t>10.1016/j.dsr2.2022.105057</t>
  </si>
  <si>
    <t>WOS:000792634100003</t>
  </si>
  <si>
    <t>Yang, ZF; Chen, M; Tang, Z; Zheng, MF; Qiu, YS</t>
  </si>
  <si>
    <t>Yang, Zifei; Chen, Min; Tang, Zhen; Zheng, Minfang; Qiu, Yusheng</t>
  </si>
  <si>
    <t>The sedimentation, bioturbation and organic matter degradation as revealed by excess 230Th and 210Pb in the Cosmonaut Sea</t>
  </si>
  <si>
    <t>Sedimentation; Bioturbation; Organic matter degradation; Pb-210; Th-230; Cosmonaut sea</t>
  </si>
  <si>
    <t>SOUTHERN-OCEAN; WEDDELL SEA; EQUATORIAL PACIFIC; BENTHIC PROCESSES; MARINE-SEDIMENTS; EARLY DIAGENESIS; PARTICLE-FLUX; MIXING RATES; POLAR FRONT; BROKE-WEST</t>
  </si>
  <si>
    <t>Sedimentation and bioturbation (the activity of benthic organisms) play an important role in organic matter degradation. The excess 230Th and 210Pb in a sediment core were used to evaluate the sedimentation, bioturbation and organic degradation processes in the Cosmonaut Sea, East Antarctica. Our results show that the sedimentation rate estimated from excess 230Th through the Constant Flux (CF) and Constant Flux and Constant Sedimentation (CFCS) models has changed in the past 200 ka. The mass accumulation and the linear sedimentation rates vary from 0.36 to 0.76 kg m-2 ka-1 and from 0.6 to 1.3 mm ka-1, which are significantly lower than the rates in other Antarctic seas. The stage III (120-202 ka), which corresponds to Marine Isotope Stage (MIS) 6 (glacial period), had the lowest sedimentation rate, indicating less sediment input by sea ice expansion. The bioturbation coefficient estimated by excess 210Pb is as low as 0.023 +/- 0.003 cm2 a-1, showing inactive benthic activities. The average C/N ratio of organic matter is 7.2 +/- 0.4, which is close to that of fresh organic matter and lower than the typical value of deep-sea sediments, indicating that organic matter is less degraded. The degradation rates of organic carbon and organic nitrogen estimated by the bio-diffusion model are 0.61 ka-1 and 0.29 ka-1, respectively, which are significantly lower than previously reported values for Southern Ocean sites. Despite the low sedimentation rate, low rates of bioturbation and inefficient organic matter degradation are conducive to the preservation of organic matter in sediments of the Cosmonaut Sea.</t>
  </si>
  <si>
    <t>[Yang, Zifei; Chen, Min; Tang, Zhen; Zheng, Minfang; Qiu, Yusheng] Xiamen Univ, Coll Ocean &amp; Earth Sci, Xiamen 361102, Peoples R China</t>
  </si>
  <si>
    <t>Xiamen University</t>
  </si>
  <si>
    <t>Chen, M (corresponding author), Xiamen Univ, Coll Ocean &amp; Earth Sci, Xiamen 361102, Peoples R China.</t>
  </si>
  <si>
    <t>mchen@xmu.edu.cn</t>
  </si>
  <si>
    <t>Yang, Zifei/0000-0003-3350-6385</t>
  </si>
  <si>
    <t>Impact and Response of Antarctic Seas to Climate Change - Ministry of Natural Resources of the People's Republic of China [IRASCC 01-01-02C, IRASCC 02-01-01]; Chinese Arctic and Antarctic Administration; National Natural Science Foundation of China [41721005]; China Ocean Mineral Resources R AMP; D Association Program [DY135-13-E2-03]</t>
  </si>
  <si>
    <t>Impact and Response of Antarctic Seas to Climate Change - Ministry of Natural Resources of the People's Republic of China; Chinese Arctic and Antarctic Administration; National Natural Science Foundation of China(National Natural Science Foundation of China (NSFC)); China Ocean Mineral Resources R AMP; D Association Program</t>
  </si>
  <si>
    <t>We would like to thank the captains and crews of the R/V XUELONG 2 for their assistance in sampling. Thanks to Dr. Jun Zhao and Dr. Dong Li for their help in sediment segmentation. This work was supported by Impact and Response of Antarctic Seas to Climate Change (No. IRASCC 01-01-02C, IRASCC 02-01-01) funded by Ministry of Natural Resources of the People's Republic of China and Chinese Arctic and Antarctic Administration, National Natural Science Foundation of China (No. 41721005), and China Ocean Mineral Resources R &amp; D Association Program (No. DY135-13-E2-03).</t>
  </si>
  <si>
    <t>10.1016/j.dsr2.2022.105049</t>
  </si>
  <si>
    <t>WOS:000792634100001</t>
  </si>
  <si>
    <t>Linse, K; Römer, M; Little, CTS; Marcon, Y; Bohrmann, G</t>
  </si>
  <si>
    <t>Linse, Katrin; Roemer, Miriam; Little, Crispin T. S.; Marcon, Yann; Bohrmann, Gerhard</t>
  </si>
  <si>
    <t>Megabenthos habitats influenced by nearby hydrothermal activity on the Sandwich Plate, Southern Ocean</t>
  </si>
  <si>
    <t>Abyssal lobsterette; Bathyal octocoral assemblages; Chimney structure; OFOBS; MTL miniaturized Temperature data-logger; Micro-bathymetry</t>
  </si>
  <si>
    <t>EAST SCOTIA RIDGE; SERPENTINITE-HOSTED ECOSYSTEM; MID-ATLANTIC RIDGE; ULTRAMAFIC ROCKS; SEA; ARC; FLUIDS; GEOCHEMISTRY; BASIN; FIELD</t>
  </si>
  <si>
    <t>The Sandwich Plate is known as one of the tectonically most active regions in the Southern Ocean and Antarctica, characterised by a subsurface chain of active volcanic islands (the South Sandwich Arc), submarine volcanic features, an earthquake rich area along the South Sandwich Trench and hydrothermal vents on segments of the East Scotia Ridge. In 2013 and 2019 we investigated eight potential hydrothermally active sites in the forearc, island arc and back arc of the Sandwich Plate from shallow (60 m) to abyssal (3886 m) depths. All Protector Seamounts sites, Protector Shoal, Quest Caldera, and an unnamed submarine volcano, showed thermal anomalies, as did the East Scotia Ridge segment E5 back arc site. At Quest Caldera, chimney structures, bacterial mats and mineral precipitates were observed in a depression on the caldera rim. The investigated forearc sites showed hydroacoustic, but not temperature anomalies. None of the sites showed evidence of megafauna associated with hydrothermal venting or hydrocarbon seep sites, but did have evidence of both unexpectedly dense and sparse communities of Southern Ocean taxa in the vicinities of the anomalies. Overall, our investigations showed that the benthic habitats and communities of the Sandwich Plate are still barely known.</t>
  </si>
  <si>
    <t>[Linse, Katrin] British Antarctic Survey, High Cross,Madingley Rd, Cambridge CB3 0ET, England; [Roemer, Miriam; Marcon, Yann; Bohrmann, Gerhard] Univ Bremen, Dept Geosci, MARUM Ctr Marine Environm Sci, Klagenfurter Str, D-28359 Bremen, Germany; [Little, Crispin T. S.] Univ Leeds, Sch Earth &amp; Environm, Leeds LS2 9JT, W Yorkshire, England; [Little, Crispin T. S.] Nat Hist Museum, Dept Life Sci, London SW7 5BD, England</t>
  </si>
  <si>
    <t>UK Research &amp; Innovation (UKRI); Natural Environment Research Council (NERC); NERC British Antarctic Survey; University of Bremen; University of Leeds; Natural History Museum London</t>
  </si>
  <si>
    <t>Linse, K (corresponding author), British Antarctic Survey, High Cross,Madingley Rd, Cambridge CB3 0ET, England.</t>
  </si>
  <si>
    <t>kl@bas.ac.uk</t>
  </si>
  <si>
    <t>; Bohrmann, Gerhard/D-4474-2017</t>
  </si>
  <si>
    <t>Little, Crispin/0000-0002-1917-4460; Romer, Miriam/0000-0003-2540-9286; Bohrmann, Gerhard/0000-0001-9976-4948; Linse, Katrin/0000-0003-3477-3047; Marcon, Yann/0000-0002-1686-8045</t>
  </si>
  <si>
    <t>Deutsche Forschungsgemeinschaft (DFG) [BO 1049/19]; DFG-Research Center/Cluster of Excellence The Ocean in the Earth System; BMBF [03G0880A]; German Federal Ministry of Education and Research [03G0880A]; German Research Foundation (Deutsche Forschungsgemeinschaft, DFG) through the Cluster of Excellence 'The Ocean Floor - Earth's Uncharted Interface' [03G0880A, EXC-2077]; Natural Environment Research Council (NERC)</t>
  </si>
  <si>
    <t>Deutsche Forschungsgemeinschaft (DFG)(German Research Foundation (DFG)); DFG-Research Center/Cluster of Excellence The Ocean in the Earth System(German Research Foundation (DFG)); BMBF(Federal Ministry of Education &amp; Research (BMBF)); German Federal Ministry of Education and Research(Federal Ministry of Education &amp; Research (BMBF)); German Research Foundation (Deutsche Forschungsgemeinschaft, DFG) through the Cluster of Excellence 'The Ocean Floor - Earth's Uncharted Interface'(German Research Foundation (DFG)); Natural Environment Research Council (NERC)(UK Research &amp; Innovation (UKRI)Natural Environment Research Council (NERC))</t>
  </si>
  <si>
    <t>We grateful to the support by the masters and crews of RV Polarstern expeditions ANT XXIX-4 and PS119. The research group Biosciences, Deep Sea Ecology and Technology' (Dr. Autun Purser) of the Alfred Wegener Institute for Polar and Marine Research, Bremerhaven, Ger-many, is thanked for providing the seafloor observatory systems (OFOS &amp; OFOBS) , respectively. Sharon Walker from NOAA Seattle is acknowledged for providing and supporting the MAPRs via her MARUM collaboration. We thank Eberhard Kopiske and Paul Wintersteller for their technical support to the OFOS/OFOBS and TV-sled systems, Ricarda Dziadek for the MTL support, and Stefanie Gaide, Victoria Kurzinger, Nontje Rucker, Yiting Tseng, Ines Vejzovic and Tingting Wu for their participation in the observation shifts. Martin Collins and two anonymous reviewers are thanked for their constructive comments which improved a previous version. The field work for this study, including participation of GB, YM and MR, was supported by the Deutsche Forschungsgemeinschaft (DFG) in the framework of the priority program 'Antarctic Research with comparative investigations in Arctic ice areas' by a grant to BO 1049/19, through the DFG-Research Center/Cluster of Excellence The Ocean in the Earth System and by the BMBF via Projekttradger Julich (03G0880A) . Cruise PS119 was funded by the German Federal Ministry of Education and Research (grant no. 03G0880A) and by the German Research Foundation (Deutsche Forschungsgemeinschaft, DFG) through the Cluster of Excellence 'The Ocean Floor - Earth's Uncharted Interface' (EXC-2077 - project number 390741603) at MARUM-Center for Marine and Environmental Sciences, University of Bremen. KL is part of the British Antarctic Survey Polar Science for Planet Earth Programme (NC Science) , funded by The Natural Environment Research Council (NERC) . CTSL acknowledges travel funds from the Earth Surface Sciences Insti-tute, University of Leeds that helped him take part in the Polarstern cruises. Studies in the East Scotia Sea were undertaken under permits WAP/2013/027 (PS81) and permit RAP 2018/064 (PS119) issued by the South Georgia and South Sandwich Government.</t>
  </si>
  <si>
    <t>10.1016/j.dsr2.2022.105075</t>
  </si>
  <si>
    <t>1B8PY</t>
  </si>
  <si>
    <t>WOS:000792695600001</t>
  </si>
  <si>
    <t>Liu, ML; Hu, RQ; Li, WH; Yang, WY; Xu, QH; Chen, LB</t>
  </si>
  <si>
    <t>Liu, Mingli; Hu, Ruiqin; Li, Wenhao; Yang, Wenyi; Xu, Qianghua; Chen, Liangbiao</t>
  </si>
  <si>
    <t>Identification of Antibacterial Activity of Hepcidin From Antarctic Notothenioid Fish</t>
  </si>
  <si>
    <t>hepcidin; Antarctic notothenioid fish; antibacterial peptide; recombinant protein; antibacterial activity</t>
  </si>
  <si>
    <t>ANTIMICROBIAL PEPTIDE; MOLECULAR-CLONING; EXPRESSION ANALYSIS; GENE-EXPRESSION; BASS HEPCIDIN; FERROPORTIN; PURIFICATION; FLOUNDER; HORMONE; BINDING</t>
  </si>
  <si>
    <t>Hepcidin is a small peptide composed of signal peptide, propeptide, and the bioactive mature peptide from N terminal to C terminal. Mature hepcidin is an antibacterial peptide and iron regulator with eight highly conserved cysteines forming four intramolecular disulfide bonds, giving it a beta sheet hairpin-like structure. Hepcidin homologs are found in a variety of vertebrates, especially fish, and their diversity may be associated with different habitats and different levels of pathogens. Dissostichus mawsoni, an Antarctic notothenioid fish that lives in the coldest water unlike most places of the world, with at least two hepcidin variants with eight cysteines. We confirmed the formation process of activated mature hepcidins from D. mawsoni in Chinese hamster ovary (CHO) cell line, obtained recombinant hepcidin protein from prokaryotes, and characterized its binding ability and antibacterial activity against varying bacteria. The expression of hepcidin in CHO cell line showed that the prepropeptide of Dmhep_8cysV1 and Dmhep_8cysV2 cleavage into smaller mature peptide. The antibacterial assay and flow cytometry showed that Dmhep_8cysV1, Dmhep_8cysV2, and Drhep bound to different bacteria and killed them with different minimum inhibitory concentration. These data suggest that hepcidin plays an important role in the innate immunity of D. mawsoni and is of great value in improving resistance to pathogens.</t>
  </si>
  <si>
    <t>[Liu, Mingli; Hu, Ruiqin; Li, Wenhao; Yang, Wenyi; Xu, Qianghua; Chen, Liangbiao] Shanghai Ocean Univ, Key Lab Explorat &amp; Utilizat Aquat Genet Resources, Minist Educ, Shanghai, Peoples R China; [Liu, Mingli; Hu, Ruiqin; Li, Wenhao; Yang, Wenyi; Xu, Qianghua; Chen, Liangbiao] Shanghai Ocean Univ, Int Res Ctr Marine Biosci, Minist Sci &amp; Technol, Shanghai, Peoples R China</t>
  </si>
  <si>
    <t>Shanghai Ocean University; Shanghai Ocean University</t>
  </si>
  <si>
    <t>Chen, LB (corresponding author), Shanghai Ocean Univ, Key Lab Explorat &amp; Utilizat Aquat Genet Resources, Minist Educ, Shanghai, Peoples R China.;Chen, LB (corresponding author), Shanghai Ocean Univ, Int Res Ctr Marine Biosci, Minist Sci &amp; Technol, Shanghai, Peoples R China.</t>
  </si>
  <si>
    <t>lbchen@shou.edu.cn</t>
  </si>
  <si>
    <t>APR 12</t>
  </si>
  <si>
    <t>10.3389/fmicb.2022.834477</t>
  </si>
  <si>
    <t>0Z6OA</t>
  </si>
  <si>
    <t>WOS:000791194200001</t>
  </si>
  <si>
    <t>Wang, WJ; Ji, XW; Abakumov, E; Polyakov, V; Li, GS; Wang, D</t>
  </si>
  <si>
    <t>Wang, Wenjuan; Ji, Xiaowen; Abakumov, Evgeny; Polyakov, Vyacheslav; Li, Gensheng; Wang, Dong</t>
  </si>
  <si>
    <t>Assessing Sources and Distribution of Heavy Metals in Environmental Media of the Tibetan Plateau: A Critical Review</t>
  </si>
  <si>
    <t>heavy metals; Tibetan plateau; inorganic pollution; cryosphere; climate change</t>
  </si>
  <si>
    <t>POLYCYCLIC AROMATIC-HYDROCARBONS; PERSISTENT ORGANIC POLLUTANTS; ATMOSPHERIC BROWN CLOUDS; MT. QOMOLANGMA EVEREST; RARE-EARTH-ELEMENTS; TRACE-ELEMENTS; SEASONAL-VARIATIONS; WET DEPOSITION; ROADSIDE SOILS; CENTRAL-ASIA</t>
  </si>
  <si>
    <t>With a unique multi-sphere environmental system, the Tibetan Plateau (TP) plays an essential role in the ecological sheltering function for China and other parts of Asia. However, black carbon, persistent organic pollutants, and heavy metals (HMs) have been increased dramatically since the 1950s, reflecting rising emissions in Asia. In this context, the sources and distribution of HMs were summarized in the environment media of the TP. The results showed that 1) HMs in the TP may be generated from geogenic/pedogenic associations (Cu, Cr, Ni, As, and Co) and anthropogenic activities of local or long-distance atmospheric transmission (Cd, Pb, Zn, and Hg). 2) The atmospheric transport emission sources of HMs are mainly from the surrounding heavily-polluted regions by the Indian and East Asian monsoons and the southern branch of westerly winds. 3) Soil, water, snow, glacier, sediment, and vegetation act as vital sinks of atmospheric deposits of HMs; 4) Significant bioaccumulation of arsenic (As), lead (Pb), and methylmercury (MeHg) have been found in terrestrial and aquatic biota chains in the TP; 5) The enhancement of anthropogenic activities, climate change, glacial retreat and permafrost degradation had potential impacts on the behaviors and fates of HMs in the TP. Therefore, the ecological risk of HMs is of particular concern, and feasible and effective environmental safety strategies are required to reduce the adverse effects of inorganic pollutants in the TP. Our review will provide a reference for researchers to further study regional HMs pollution around the TP.</t>
  </si>
  <si>
    <t>[Wang, Wenjuan; Abakumov, Evgeny; Polyakov, Vyacheslav] St Petersburg State Univ, Dept Appl Ecol, St Petersburg, Russia; [Ji, Xiaowen] Univ Saskatchewan, Sch Environm &amp; Sustainabil, Saskatoon, SK, Canada; [Polyakov, Vyacheslav] Arctic &amp; Antarctic Res Inst, St Petersburg, Russia; [Li, Gensheng] China Univ Min &amp; Technol, Sch Publ Policy &amp; Management, Xuzhou, Peoples R China; [Wang, Dong] Chinese Acad Sci, Northwest Inst Ecoenvironm &amp; Resources, State Key Lab Cryospher Sci, CryosphereResearch Stn Qinghai Tibet Plateau, Lanzhou, Peoples R China; [Wang, Dong] Univ Chinese Acad Sci, Coll Resources &amp; Environm, Beijing, Peoples R China</t>
  </si>
  <si>
    <t>Saint Petersburg State University; University of Saskatchewan; Arctic &amp; Antarctic Research Institute; China University of Mining &amp; Technology; Chinese Academy of Sciences; Chinese Academy of Sciences; University of Chinese Academy of Sciences, CAS</t>
  </si>
  <si>
    <t>Abakumov, E (corresponding author), St Petersburg State Univ, Dept Appl Ecol, St Petersburg, Russia.</t>
  </si>
  <si>
    <t>e_abakumov@mail.ru</t>
  </si>
  <si>
    <t>Abakumov, e_abakumov@mail.ru/ADJ-1297-2022; Wang, wenjuan/HIR-3631-2022; Abakumov, Evgeny/AAO-8580-2020; Polyakov, Vyacheslav/H-5483-2016</t>
  </si>
  <si>
    <t>Abakumov, e_abakumov@mail.ru/0000-0002-5248-9018; Wang, wenjuan/0000-0002-9173-3028; Abakumov, Evgeny/0000-0002-5248-9018;</t>
  </si>
  <si>
    <t>10.3389/fenvs.2022.874635</t>
  </si>
  <si>
    <t>0Z6PL</t>
  </si>
  <si>
    <t>WOS:000791197900001</t>
  </si>
  <si>
    <t>LeMasurier, WE</t>
  </si>
  <si>
    <t>LeMasurier, Wesley E.</t>
  </si>
  <si>
    <t>Tectono-magmatic domes: the stationary plate equivalent of a linear volcanic chain</t>
  </si>
  <si>
    <t>BULLETIN OF VOLCANOLOGY</t>
  </si>
  <si>
    <t>Hot spot; Mantle plumes; Stationary plate; Dome uplift; Voluminous volcanism</t>
  </si>
  <si>
    <t>EAST-AFRICAN RIFT; ANTARCTIC ICE-SHEET; MARIE-BYRD-LAND; WEST ANTARCTICA; MAGMATISM; PROVINCE; BENEATH; LITHOSPHERE; EXHUMATION; EVOLUTION</t>
  </si>
  <si>
    <t>Tectono-magmatic domes are large topographic, structural and volcanic features produced by mantle plume activity in a stationary plate environment. They are major volcanic phenomena that have not been described in reference books on volcanology or geology. Six are currently recognizable, all on continents. The two largest are approximately 500 x 1000 km in area, stand 3000 m a.s.l., and have been continuously active for 15-35 Myr. All six occur over hot spots on effectively stationary plates, and are static equivalents to linear volcanic chains, but with individual volcanic centers distributed radially around dome summits, rather than aligned in a chain of volcanoes of systematically changing age. They have been referred to previously, in publications focused on descriptions of the rift systems in which three of them are found, but these fail to represent the unique characteristics of these phenomena. Accordingly, a formal definition of a tectono-magmatic dome is presented, and the ensuing descriptions are supported by previously published data. The critical features that produce tectono-magmatic domes seem to be mantle plume activity beneath a continental crust that is more buoyant than oceanic crust.</t>
  </si>
  <si>
    <t>[LeMasurier, Wesley E.] Univ Colorado, Inst Arctic &amp; Alpine Res INSTAAR, Boulder, CO 80309 USA</t>
  </si>
  <si>
    <t>LeMasurier, WE (corresponding author), Univ Colorado, Inst Arctic &amp; Alpine Res INSTAAR, Boulder, CO 80309 USA.</t>
  </si>
  <si>
    <t>Wesley.lemasurier@colorado.edu</t>
  </si>
  <si>
    <t>National Science Foundation [DPP77-27546, DPP8020836, 536526]</t>
  </si>
  <si>
    <t>National Science Foundation grants DPP77-27546, DPP8020836, #536526</t>
  </si>
  <si>
    <t>0258-8900</t>
  </si>
  <si>
    <t>1432-0819</t>
  </si>
  <si>
    <t>B VOLCANOL</t>
  </si>
  <si>
    <t>Bull. Volcanol.</t>
  </si>
  <si>
    <t>10.1007/s00445-022-01558-4</t>
  </si>
  <si>
    <t>0O2NX</t>
  </si>
  <si>
    <t>WOS:000783368900001</t>
  </si>
  <si>
    <t>Lorrey, AM; Vargo, L; Purdie, H; Anderson, B; Cullen, NJ; Sirguey, P; Mackintosh, A; Willsman, A; Macara, G; Chinn, W</t>
  </si>
  <si>
    <t>Lorrey, Andrew M.; Vargo, Lauren; Purdie, Heather; Anderson, Brian; Cullen, Nicolas J.; Sirguey, Pascal; Mackintosh, Andrew; Willsman, Andrew; Macara, Gregor; Chinn, Warren</t>
  </si>
  <si>
    <t>Southern Alps equilibrium line altitudes: four decades of observations show coherent glacier-climate responses and a rising snowline trend</t>
  </si>
  <si>
    <t>Climate change; glacier monitoring; mountain glaciers; snow; ice surface processes; transient snowline</t>
  </si>
  <si>
    <t>MASS-BALANCE; NEW-ZEALAND; BREWSTER GLACIER; NET ACCUMULATION; SURFACE-ENERGY; FRANZ JOSEF; VARIABILITY; ATTRIBUTION; SENSITIVITY; RECESSION</t>
  </si>
  <si>
    <t>An end of summer snowline (EOSS) photographic dataset for Aotearoa New Zealand contains over four decades of equilibrium line altitude (ELA) observations for more than 50 index glaciers. This dataset provides an opportunity to create a climatological ELA reference series that has several applications. Our work screened out EOSS sites that had low temporal coverage and also removed limited observations when the official survey did not take place. Snowline data from 41 of 50 glaciers in the EOSS dataset were retained and included in a normalised master snowline series that spans 1977-2020. Application of the regionally representative normalised master snowline series in monthly and seasonally resolved climate response function analyses showed consistently strong relationships with austral warm-season temperatures for land-based stations west of the Southern Alps and the central Tasman Sea. There is a trend towards higher regional snowlines since the 1990s that has been steepening in recent decades. If contemporary decadal normalised master snowline series trends are maintained, the average Southern Alps snowline elevation will be displaced at least 200 m higher than normal by the 2025-2034 decade. More frequent extremely high snowlines are expected to drive more extreme cumulative mass-balance losses that will reduce the glacierised area of Aotearoa New Zealand.</t>
  </si>
  <si>
    <t>[Lorrey, Andrew M.] Natl Inst Water &amp; Atmospher Res Ltd, 41 Market Pl, Auckland 1010, New Zealand; [Vargo, Lauren; Anderson, Brian] Victoria Univ Wellington, Antarctic Res Ctr, Wellington 6140, New Zealand; [Purdie, Heather] Univ Canterbury, Sch Earth &amp; Environm, Private Bag 4800, Christchurch 8140, New Zealand; [Cullen, Nicolas J.; Sirguey, Pascal] Univ Otago, Sch Geog, POB 56, Dunedin 9054, New Zealand; [Mackintosh, Andrew] Monash Univ, Sch Earth Atmosphere &amp; Environm, Clayton, Vic 3800, Australia; [Willsman, Andrew] Natl Inst Water &amp; Atmospher Res Ltd, 38 Harrow St, Dunedin 9016, New Zealand; [Macara, Gregor] Natl Inst Water &amp; Atmospher Res Ltd, Private Bag 14901, Wellington 6241, New Zealand; [Chinn, Warren] Dept Conservat, 161 Cashel St, Christchurch 8011, New Zealand</t>
  </si>
  <si>
    <t>National Institute of Water &amp; Atmospheric Research (NIWA) - New Zealand; Victoria University Wellington; University of Canterbury; University of Otago; Monash University; National Institute of Water &amp; Atmospheric Research (NIWA) - New Zealand; National Institute of Water &amp; Atmospheric Research (NIWA) - New Zealand</t>
  </si>
  <si>
    <t>Lorrey, AM (corresponding author), Natl Inst Water &amp; Atmospher Res Ltd, 41 Market Pl, Auckland 1010, New Zealand.</t>
  </si>
  <si>
    <t>a.lorrey@niwa.co.nz</t>
  </si>
  <si>
    <t>Cullen, Nicolas James/0000-0001-8877-1325; Vargo, Lauren/0000-0001-7037-0451; Mackintosh, Andrew/0000-0002-6430-4711</t>
  </si>
  <si>
    <t>NIWA Strategic Science Investment Fund (SSIF) contract for 'Climate Present and Past' [CAOA2101]; NIWA SSIF [CACV2003]</t>
  </si>
  <si>
    <t>NIWA Strategic Science Investment Fund (SSIF) contract for 'Climate Present and Past'; NIWA SSIF</t>
  </si>
  <si>
    <t>We are indebted to Dr Trevor Chinn for initiating the Southern Alps EOSS programme. This research and the ongoing EOSS survey were funded by the NIWA Strategic Science Investment Fund (SSIF) contract for `Climate Present and Past' CAOA2101 awarded to AML. Dr Nicolas Fauchereau is thanked for providing OISST data and components of Figure 3. We also thank Dr Christian Zammit for additional support via the NIWA SSIF contract CACV2003 `Regional Hydrological Modelling'. Andy Woods is greatly thanked for his expertise on piloting the aircraft during snowline flights over the years.</t>
  </si>
  <si>
    <t>PII S0022143022000272</t>
  </si>
  <si>
    <t>10.1017/jog.2022.27</t>
  </si>
  <si>
    <t>WOS:000781960400001</t>
  </si>
  <si>
    <t>Engtro, E</t>
  </si>
  <si>
    <t>Engtro, Espen</t>
  </si>
  <si>
    <t>A discussion on the implementation of the Polar Code and the STCW Convention's training requirements for ice navigation in polar waters</t>
  </si>
  <si>
    <t>JOURNAL OF TRANSPORTATION SECURITY</t>
  </si>
  <si>
    <t>Polar Code; STCW; Training requirements; STAMP; Risk management</t>
  </si>
  <si>
    <t>In 2017, the International Maritime Organization (IMO) implemented the International Code for Ships Operating in Polar Waters (Polar Code), with mandatory requirements covering the Arctic and Antarctic Oceans. In this conjunction, the International Convention on Standards of Training, Certification and Watchkeeping (STCW) were amended in 2018. New training requirements were made applicable for dedicated personnel in charge of a navigational watch on ships with a Polar Ship Certificate (PSC) operating in polar waters. In association with the new training requirements amending the STCW Convention, the IMO, and Transport Canada (flag state authority) signed a Memorandum of Understanding in 2017, for Canada to develop and deliver four regional capacity-building train-the-trainer workshops. The objectives of these events were to assist maritime education and training (MET) institutes in enhancing the skills and competence of instructors, to develop competence-based STCW training programs, for dedicated personnel on ships operating in polar waters. This paper examines the first workshop conducted in Canada (2019), to understand the mechanisms in the interaction taking place between the IMO and the Canadian workshop developers and instructors, using the System Theoretic Accident Model and Processes (STAMP). Individual expert interviews are performed, with the main contributors directly involved in developing and conducting the workshop, to evaluate the event's contribution to improving and specifying the STCW Convention's training requirements, as referenced in the Polar Code, for seafarers operating in polar waters.</t>
  </si>
  <si>
    <t>[Engtro, Espen] Univ Stavanger, Fac Sci &amp; Technol, Stavanger, Norway</t>
  </si>
  <si>
    <t>Universitetet i Stavanger</t>
  </si>
  <si>
    <t>Engtro, E (corresponding author), Univ Stavanger, Fac Sci &amp; Technol, Stavanger, Norway.</t>
  </si>
  <si>
    <t>espen.engtro@uis.no</t>
  </si>
  <si>
    <t>1938-7741</t>
  </si>
  <si>
    <t>1938-775X</t>
  </si>
  <si>
    <t>J TRANSP SECUR</t>
  </si>
  <si>
    <t>J. Transp. Secur.</t>
  </si>
  <si>
    <t>10.1007/s12198-021-00241-7</t>
  </si>
  <si>
    <t>Transportation</t>
  </si>
  <si>
    <t>1G7VD</t>
  </si>
  <si>
    <t>WOS:000781816500001</t>
  </si>
  <si>
    <t>Su, JY; Chen, DY; Zheng, RL; Liu, X; Zhao, MQ; Zhu, B; Li, YH</t>
  </si>
  <si>
    <t>Su, Jingyao; Chen, Danyang; Zheng, Ruilin; Liu, Xia; Zhao, Mingqi; Zhu, Bing; Li, Yinghua</t>
  </si>
  <si>
    <t>Duvira Antarctic polysaccharide inhibited H1N1 influenza virus-induced apoptosis through ROS mediated ERK and STAT-3 signaling pathway</t>
  </si>
  <si>
    <t>MOLECULAR BIOLOGY REPORTS</t>
  </si>
  <si>
    <t>Duviria Antarctica polysaccharide; Apoptosis</t>
  </si>
  <si>
    <t>SELENIUM NANOPARTICLES; CELL APOPTOSIS; INFECTION; OSELTAMIVIR</t>
  </si>
  <si>
    <t>Background The H1N1 influenza virus causes acute respiratory tract infection, and its clinical symptoms are very similar to those of ordinary influenza. The disease develops rapidly. If the flu is not treated, complications such as pneumonia, respiratory failure, and multiple organ damage can occur, resulting in a high fatality rate. Influenza virus mutates rapidly. At present, there is no specific drug for H1N1, so it is an urgent need for clinical care to find new drugs to treat H1N1. Materials and methods The polysaccharide derived from Durvillaea Antarctica green algae has a certain antiviral effect. In this study, the results of CCK-8, apoptosis cycle detection, JC-1 and Western blotting proved that Duvira Antarctic polysaccharide (DAPP) has the ability to inhibit H1N1 infection. Results CCK-8 test showed that the DAPP with concentration at 32 mu g/mL had no toxicity to MDCK cells. In addition, DAPP reduced cell apoptosis by inhibiting the ERK signaling pathway. Meanwhile, DAPP could increase the expression of STAT3 and significantly inhibited proinflammatory cytokines. Conclusions In summary, these results suggested that DAPP may be potential with the ability to resist the H1N1 influenza virus.</t>
  </si>
  <si>
    <t>[Su, Jingyao; Chen, Danyang; Zheng, Ruilin; Liu, Xia; Zhao, Mingqi; Zhu, Bing; Li, Yinghua] Guangzhou Med Univ, Ctr Lab, Guangzhou Women &amp; Childrens Med Ctr, Guangzhou 510120, Peoples R China</t>
  </si>
  <si>
    <t>Guangzhou Medical University</t>
  </si>
  <si>
    <t>Zhu, B; Li, YH (corresponding author), Guangzhou Med Univ, Ctr Lab, Guangzhou Women &amp; Childrens Med Ctr, Guangzhou 510120, Peoples R China.</t>
  </si>
  <si>
    <t>zhubing@gzhmu.edu.cn; liyinghua@gzhmu.edu.cn</t>
  </si>
  <si>
    <t>Zhang, Jianjun/KEJ-3941-2024</t>
  </si>
  <si>
    <t>Guangdong Natural Science Foundation [2020A1515110648]; Open Fund of Guangdong Provincial Key Laboratory of Functional Supramolecular Coordination Materials and Applications [2020A03]; Technology Planning Project of Guangzhou [202102010202]; Open Project of Guangdong Key Laboratory of Marine Materia Medica [LMM2020-7]; Guangzhou Medical University Students' Science and Technology Innovation Project [2020AEK03, 2021AEK119, 2021AEK122, 2021AEK125, 2021AEK128]</t>
  </si>
  <si>
    <t>Guangdong Natural Science Foundation(National Natural Science Foundation of Guangdong Province); Open Fund of Guangdong Provincial Key Laboratory of Functional Supramolecular Coordination Materials and Applications; Technology Planning Project of Guangzhou; Open Project of Guangdong Key Laboratory of Marine Materia Medica; Guangzhou Medical University Students' Science and Technology Innovation Project</t>
  </si>
  <si>
    <t>This work was supported by the Guangdong Natural Science Foundation (2020A1515110648), the Open Fund of Guangdong Provincial Key Laboratory of Functional Supramolecular Coordination Materials and Applications (2020A03), Technology Planning Project of Guangzhou (202102010202). Open Project of Guangdong Key Laboratory of Marine Materia Medica (LMM2020-7). The Guangzhou Medical University Students' Science and Technology Innovation Project (2020AEK03, 2021AEK119, 2021AEK122, 2021AEK125 and 2021AEK128).</t>
  </si>
  <si>
    <t>0301-4851</t>
  </si>
  <si>
    <t>1573-4978</t>
  </si>
  <si>
    <t>MOL BIOL REP</t>
  </si>
  <si>
    <t>Mol. Biol. Rep.</t>
  </si>
  <si>
    <t>10.1007/s11033-022-07418-w</t>
  </si>
  <si>
    <t>Biochemistry &amp; Molecular Biology</t>
  </si>
  <si>
    <t>2V4DI</t>
  </si>
  <si>
    <t>WOS:000781750600002</t>
  </si>
  <si>
    <t>Greening, C; Grinter, R</t>
  </si>
  <si>
    <t>Greening, Chris; Grinter, Rhys</t>
  </si>
  <si>
    <t>Microbial oxidation of atmospheric trace gases</t>
  </si>
  <si>
    <t>NATURE REVIEWS MICROBIOLOGY</t>
  </si>
  <si>
    <t>PARTICULATE METHANE MONOOXYGENASE; CARBON-MONOXIDE OXIDATION; AFFINITY H-2-OXIDIZING BACTERIA; METHYLENE-BLUE OXIDOREDUCTASE; IRON-SULFUR FLAVOPROTEIN; CRYSTAL-STRUCTURE; OXIDIZING BACTERIA; ENERGY-SOURCE; METHANOTROPHIC BACTERIA; MOLECULAR-HYDROGEN</t>
  </si>
  <si>
    <t>The atmosphere has recently been recognized as a major source of energy sustaining life. Diverse aerobic bacteria oxidize the three most abundant reduced trace gases in the atmosphere, namely hydrogen (H-2), carbon monoxide (CO) and methane (CH4). This Review describes the taxonomic distribution, physiological role and biochemical basis of microbial oxidation of these atmospheric trace gases, as well as the ecological, environmental, medical and astrobiological importance of this process. Most soil bacteria and some archaea can survive by using atmospheric H-2 and CO as alternative energy sources, as illustrated through genetic studies on Mycobacterium cells and Streptomyces spores. Certain specialist bacteria can also grow on air alone, as confirmed by the landmark characterization of Methylocapsa gorgona, which grows by simultaneously consuming atmospheric CH4, H-2 and CO. Bacteria use high-affinity lineages of metalloenzymes, namely hydrogenases, CO dehydrogenases and methane monooxygenases, to utilize atmospheric trace gases for aerobic respiration and carbon fixation. More broadly, trace gas oxidizers enhance the biodiversity and resilience of soil and marine ecosystems, drive primary productivity in extreme environments such as Antarctic desert soils and perform critical regulatory services by mitigating anthropogenic emissions of greenhouse gases and toxic pollutants. In this Review, Greening and Grinter describe the microorganisms and enzymes that use atmospheric trace gases, including hydrogen, carbon monoxide and methane, during growth and survival. They highlight important ecological and biogeochemical roles for these processes in diverse environments, including ecosystem resilience under changing conditions.</t>
  </si>
  <si>
    <t>[Greening, Chris; Grinter, Rhys] Monash Univ, Biomed Discovery Inst, Dept Microbiol, Clayton, Vic, Australia; [Greening, Chris] Monash Univ, Securing Antarct Environm Future, Clayton, Vic, Australia; [Greening, Chris] Monash Univ, Ctr Impact AMR, Clayton, Vic, Australia</t>
  </si>
  <si>
    <t>Monash University; Monash University; Monash University</t>
  </si>
  <si>
    <t>Greening, C; Grinter, R (corresponding author), Monash Univ, Biomed Discovery Inst, Dept Microbiol, Clayton, Vic, Australia.;Greening, C (corresponding author), Monash Univ, Securing Antarct Environm Future, Clayton, Vic, Australia.;Greening, C (corresponding author), Monash Univ, Ctr Impact AMR, Clayton, Vic, Australia.</t>
  </si>
  <si>
    <t>chris.greening@monash.edu; rhys.grinter@monash.edu</t>
  </si>
  <si>
    <t>Greening, Chris/J-4408-2019</t>
  </si>
  <si>
    <t>Greening, Chris/0000-0001-7616-0594; Grinter, Rhys/0000-0002-8195-5348</t>
  </si>
  <si>
    <t>Australian Research Council [DE170100310, DP180101762, DP200103074]; National Health &amp; Medical Research Council [APP1178715]; National Health &amp; Medical Research Council Emerging Leader Fellowships [APP1178715, APP1197376]; Australian Research Council [DP200103074, DE170100310] Funding Source: Australian Research Council</t>
  </si>
  <si>
    <t>Australian Research Council(Australian Research Council); National Health &amp; Medical Research Council(National Health &amp; Medical Research Council (NHMRC) of Australia); National Health &amp; Medical Research Council Emerging Leader Fellowships; Australian Research Council(Australian Research Council)</t>
  </si>
  <si>
    <t>The work described in this Review was supported by research grants from the Australian Research Council (DE170100310, DP180101762, DP200103074) and National Health &amp; Medical Research Council (APP1178715). The authors were supported by National Health &amp; Medical Research Council Emerging Leader Fellowships (APP1178715 to C.G.; APP1197376 to R.G.). The authors thank G. Berggren, D. Fox and K. Bayly for critically reading the manuscript.</t>
  </si>
  <si>
    <t>1740-1526</t>
  </si>
  <si>
    <t>1740-1534</t>
  </si>
  <si>
    <t>NAT REV MICROBIOL</t>
  </si>
  <si>
    <t>Nat. Rev. Microbiol.</t>
  </si>
  <si>
    <t>10.1038/s41579-022-00724-x</t>
  </si>
  <si>
    <t>3T2CY</t>
  </si>
  <si>
    <t>WOS:000781790700001</t>
  </si>
  <si>
    <t>Chuter, SJ; Zammit-Mangion, A; Rougier, J; Dawson, G; Bamber, JL</t>
  </si>
  <si>
    <t>Chuter, Stephen J.; Zammit-Mangion, Andrew; Rougier, Jonathan; Dawson, Geoffrey; Bamber, Jonathan L.</t>
  </si>
  <si>
    <t>Mass evolution of the Antarctic Peninsula over the last 2 decades from a joint Bayesian inversion</t>
  </si>
  <si>
    <t>AMUNDSEN SEA EMBAYMENT; RAPID BEDROCK UPLIFT; ICE FLOW; ISOSTATIC-ADJUSTMENT; ELEVATION CHANGES; WEST ANTARCTICA; GLACIERS; BALANCE; MODEL; CLIMATE</t>
  </si>
  <si>
    <t>The Antarctic Peninsula has become an increasingly important component of the Antarctic Ice Sheet mass budget over the last 2 decades, with mass losses generally increasing. However, due to the challenges presented by the topography and geometry of the region, there remain large variations in mass balance estimates from conventional approaches and in assessing the relative contribution of individual ice sheet processes. Here, we use a regionally optimized Bayesian hierarchical model joint inversion approach that combines data from multiple altimetry studies (ENVISAT, ICESat, CryoSat-2 swath), gravimetry (GRACE and GRACE-FO), and localized DEM differencing observations to solve for annual mass trends and their attribution to individual driving processes for the period 2003-2019. This is first time that such localized observations have been assimilated directly to estimate mass balance as part of a wider-scale regional assessment. The region experienced a mass imbalance rate of -19 +/- 1.1 Gt yr(-1) between 2003 and 2019, predominantly driven by accelerations in ice dynamic mass losses in the first decade and sustained thereafter. Inter-annual variability is driven by surface processes, particularly in 2016 due to increased precipitation driven by an extreme El Nino, which temporarily returned the sector back to a state of positive mass balance. In the West Palmer Land and the English Coast regions, surface processes are a greater contributor to mass loss than ice dynamics in the early part of the 2010s. Our results show good agreement with conventional and other combination approaches, improving confidence in the robustness of mass trend estimates, and in turn, understanding of the region's response to changes in external forcing.</t>
  </si>
  <si>
    <t>[Chuter, Stephen J.; Dawson, Geoffrey; Bamber, Jonathan L.] Univ Bristol, Bristol Glaciol Ctr, Sch Geog Sci, Bristol, Avon, England; [Zammit-Mangion, Andrew] Univ Wollongong, Sch Math &amp; Appl Stat &amp; Securing Antarct Environm, Wollongong, NSW, Australia; [Rougier, Jonathan] Univ Bristol, Sch Math, Bristol, Avon, England; [Bamber, Jonathan L.] Tech Univ Munich, Data Sci Earth Observat, Dept Aerosp &amp; Geodesy, Munich, Germany</t>
  </si>
  <si>
    <t>University of Bristol; University of Wollongong; University of Bristol; Technical University of Munich</t>
  </si>
  <si>
    <t>Chuter, SJ (corresponding author), Univ Bristol, Bristol Glaciol Ctr, Sch Geog Sci, Bristol, Avon, England.</t>
  </si>
  <si>
    <t>s.chuter@bristol.ac.uk</t>
  </si>
  <si>
    <t>Zammit-Mangion, Andrew/I-5356-2016</t>
  </si>
  <si>
    <t>Zammit-Mangion, Andrew/0000-0002-4164-6866; Chuter, Stephen/0000-0002-2189-6235; Dawson, Geoffrey/0000-0001-9873-2266; Rougier, Jonathan/0000-0003-3072-7043</t>
  </si>
  <si>
    <t>European Research Council (ERC) under the European Union's Horizon 2020 research and innovation programme [694188]; German Federal Ministry of Education and Research (BMBF) international future AI lab AI4EO - Artificial Intelligence for Earth Observation [01DD20001]; ARC Discovery Early Career Research Award (DECRA) [DE180100203]; ARCRIEAS grant [SR200100005]; UK Natural Environment Research Council (NERC) [NE/N011511/1]; NERC [NE/N011511/1] Funding Source: UKRI</t>
  </si>
  <si>
    <t>European Research Council (ERC) under the European Union's Horizon 2020 research and innovation programme(European Research Council (ERC)); German Federal Ministry of Education and Research (BMBF) international future AI lab AI4EO - Artificial Intelligence for Earth Observation; ARC Discovery Early Career Research Award (DECRA)(Australian Research Council); ARCRIEAS grant; UK Natural Environment Research Council (NERC)(UK Research &amp; Innovation (UKRI)Natural Environment Research Council (NERC)); NERC(UK Research &amp; Innovation (UKRI)Natural Environment Research Council (NERC))</t>
  </si>
  <si>
    <t>This work was supported by European Research Council (ERC) under the European Union's Horizon 2020 research and innovation programme under grant no. 694188 (GlobalMass). Jonathan Bamber was also funded by the German Federal Ministry of Education and Research (BMBF) international future AI lab AI4EO - Artificial Intelligence for Earth Observation (grant no. 01DD20001). Andrew Zammit-Mangion's research was supported by ARC Discovery Early Career Research Award (DECRA) DE180100203 and by ARCRIEAS grant no. SR200100005, Securing Antarctica's Environmental Future. Geoffrey Dawson was supported by the UK Natural Environment Research Council (NERC) grant no. NE/N011511/1.</t>
  </si>
  <si>
    <t>10.5194/tc-16-1349-2022</t>
  </si>
  <si>
    <t>0K5LE</t>
  </si>
  <si>
    <t>WOS:000780829200001</t>
  </si>
  <si>
    <t>Hoban, S; Archer, F; Bertola, LD; Bragg, JG; Breed, MF; Bruford, MW; Coleman, MA; Ekblom, R; Funk, WC; Grueber, CE; Hand, BK; Jaffé, R; Jensen, E; Johnson, JS; Kershaw, F; Liggins, L; MacDonald, AJ; Mergeay, J; Miller, JM; Muller-Karger, F; O'Brien, D; Paz-Vinas, I; Potter, KM; Razgour, O; Vernesi, C; Hunter, ME</t>
  </si>
  <si>
    <t>Hoban, Sean; Archer, Frederick, I; Bertola, Laura D.; Bragg, Jason G.; Breed, Martin F.; Bruford, Michael W.; Coleman, Melinda A.; Ekblom, Robert; Funk, W. Chris; Grueber, Catherine E.; Hand, Brian K.; Jaffe, Rodolfo; Jensen, Evelyn; Johnson, Jeremy S.; Kershaw, Francine; Liggins, Libby; MacDonald, Anna J.; Mergeay, Joachim; Miller, Joshua M.; Muller-Karger, Frank; O'Brien, David; Paz-Vinas, Ivan; Potter, Kevin M.; Razgour, Orly; Vernesi, Cristiano; Hunter, Margaret E.</t>
  </si>
  <si>
    <t>Global genetic diversity status and trends: towards a suite of Essential Biodiversity Variables (EBVs) for genetic composition</t>
  </si>
  <si>
    <t>BIOLOGICAL REVIEWS</t>
  </si>
  <si>
    <t>biodiversity monitoring; environmental policy; indicators; metadata; interoperability; molecular ecology</t>
  </si>
  <si>
    <t>EFFECTIVE POPULATION-SIZE; R-PACKAGE; CLIMATE-CHANGE; HABITAT FRAGMENTATION; DEMOGRAPHIC HISTORY; CONSERVATION UNITS; PROVIDES EVIDENCE; LOCAL ADAPTATION; MARTES-AMERICANA; GENOMICS</t>
  </si>
  <si>
    <t>Biodiversity underlies ecosystem resilience, ecosystem function, sustainable economies, and human well-being. Understanding how biodiversity sustains ecosystems under anthropogenic stressors and global environmental change will require new ways of deriving and applying biodiversity data. A major challenge is that biodiversity data and knowledge are scattered, biased, collected with numerous methods, and stored in inconsistent ways. The Group on Earth Observations Biodiversity Observation Network (GEO BON) has developed the Essential Biodiversity Variables (EBVs) as fundamental metrics to help aggregate, harmonize, and interpret biodiversity observation data from diverse sources. Mapping and analyzing EBVs can help to evaluate how aspects of biodiversity are distributed geographically and how they change over time. EBVs are also intended to serve as inputs and validation to forecast the status and trends of biodiversity, and to support policy and decision making. Here, we assess the feasibility of implementing Genetic Composition EBVs (Genetic EBVs), which are metrics of within-species genetic variation. We review and bring together numerous areas of the field of genetics and evaluate how each contributes to global and regional genetic biodiversity monitoring with respect to theory, sampling logistics, metadata, archiving, data aggregation, modeling, and technological advances. We propose four Genetic EBVs: (i) Genetic Diversity; (ii) Genetic Differentiation; (iii) Inbreeding; and (iv) Effective Population Size (N-e). We rank Genetic EBVs according to their relevance, sensitivity to change, generalizability, scalability, feasibility and data availability. We outline the workflow for generating genetic data underlying the Genetic EBVs, and review advances and needs in archiving genetic composition data and metadata. We discuss how Genetic EBVs can be operationalized by visualizing EBVs in space and time across species and by forecasting Genetic EBVs beyond current observations using various modeling approaches. Our review then explores challenges of aggregation, standardization, and costs of operationalizing the Genetic EBVs, as well as future directions and opportunities to maximize their uptake globally in research and policy. The collection, annotation, and availability of genetic data has made major advances in the past decade, each of which contributes to the practical and standardized framework for large-scale genetic observation reporting. Rapid advances in DNA sequencing technology present new opportunities, but also challenges for operationalizing Genetic EBVs for biodiversity monitoring regionally and globally. With these advances, genetic composition monitoring is starting to be integrated into global conservation policy, which can help support the foundation of all biodiversity and species' long-term persistence in the face of environmental change. We conclude with a summary of concrete steps for researchers and policy makers for advancing operationalization of Genetic EBVs. The technical and analytical foundations of Genetic EBVs are well developed, and conservation practitioners should anticipate their increasing application as efforts emerge to scale up genetic biodiversity monitoring regionally and globally.</t>
  </si>
  <si>
    <t>[Hoban, Sean] Morton Arboretum, Ctr Tree Sci, 4100 Illinois Rt 53, Lisle, IL 60532 USA; [Archer, Frederick, I] NOAA NMFS, Southwest Fisheries Sci Ctr, 8901 La Jolla Shores Dr, La Jolla, CA 92037 USA; [Bertola, Laura D.] CUNY City Coll, 160 Convent Ave, New York, NY 10031 USA; [Bragg, Jason G.] Royal Bot Garden Sydney, Australian Inst Bot Sci, Res Ctr Ecogstern Resilience, Mrs Macquaries Rd, Sydney, NSW 2000, Australia; [Breed, Martin F.] Flinders Univ S Australia, Coll Sci &amp; Engn, Univ Dr, Bedford Pk, SA 5042, Australia; [Bruford, Michael W.] Cardiff Univ, Sch Biosci, Cathays Pk, Cardiff CF10 3AX, S Glam, Wales; [Coleman, Melinda A.] New South Wales Fisheries, Dept Primary Ind, Natl Marine Sci Ctr, 2 Bay Dr, Coffs Harbour, NSW 2450, Australia; [Ekblom, Robert] Swedish Environm Protect Agcy, Wildlife Anal Unit, Blekholmsterrassen 36, SE-10648 Stockholm, Sweden; [Funk, W. Chris] Colorado State Univ, Dept Biol, Grad Degree Ecol, 1878 Campus Delivery, Ft Collins, CO 80523 USA; [Grueber, Catherine E.] Univ Sydney, Fac Sci, Sch Life &amp; Environm Sci, Carslaw Bldg, Sydney, NSW 2006, Australia; [Hand, Brian K.] Flathead Lake Biol Stn, 32125 Bio Stn Ln, Polson, MT 59860 USA; [Jaffe, Rodolfo] Exponent, 15375 SE 30th Pl,Suite 250, Bellevue, WA 98007 USA; [Jensen, Evelyn] Newcastle Univ, Sch Nat &amp; Environm Sci, Agr Bldg, Newcastle Upon Tyne NE1 7RU, Tyne &amp; Wear, England; [Johnson, Jeremy S.] Prescott Coll, Dept Environm Studies, 220 Grove Ave, Prescott, AZ 86303 USA; [Kershaw, Francine] Nat Resources Def Council, 40 West 20th St, New York, NY 10011 USA; [Liggins, Libby] Massey Univ, Sch Nat Sci, Oteha Rohe Campus,Gate 4 Albany Highway, Auckland 0745, Aotearoa, New Zealand; [MacDonald, Anna J.] Australian Natl Univ, Res Sch Biol, Acton, ACT 2601, Australia; [Mergeay, Joachim] Res Inst Nat &amp; Forest, Gaverstr 4, B-9500 Geraardsbergen, Belgium; [Mergeay, Joachim] Katholieke Univ Leuven, Aquat Ecol Evolut &amp; Conservat, Charles Deberiotstr 32,Box 2439, B-3000 Leuven, Belgium; [Miller, Joshua M.] MacEwan Univ, Dept Biol Sci, 10700 104 Ave, Edmonton, AB T5J 4S2, Canada; [Muller-Karger, Frank] Univ S Florida, Coll Marine Sci, 140 7th Ave South, St Petersburg, FL 33701 USA; [O'Brien, David] NatureScot, Great Glen House,Leachkin Rd, Inverness IV3 8NW, Scotland; [Paz-Vinas, Ivan] Univ Toulouse, Lab Evolut &amp; Diversite Biol, IRD, CNRS,UPS,UMR EDB 5174, 118 Route Narbonne, F-31062 Toulouse, France; [Potter, Kevin M.] North Carolina State Univ, Dept Forestry &amp; Environm Resources, 3041 Cornwallis Rd, Res Triangle Pk, NC 27709 USA; [Razgour, Orly] Univ Exeter, Hatherly Labs, Biosci, Streatham Campus,Prince Wales Rd, Exeter EX4 4PS, Devon, England; [Vernesi, Cristiano] Fdn Edmund Mach, Forest Ecol Unit, Res &amp; Innovat Ctr, Via E Mach 1, I-38010 San Michele All Adige, TN, Italy; [Hunter, Margaret E.] US Geol Survey, Wetland &amp; Aquat Res Ctr, 7920 NW 71st St, Gainesville, FL 32653 USA; [MacDonald, Anna J.] Australian Antarctic Div, Dept Agr Water &amp; Environm, 203 Channel Highway, Kingston, Tas 7050, Australia; [Hoban, Sean; Bertola, Laura D.; Breed, Martin F.; Bruford, Michael W.; Ekblom, Robert; Funk, W. Chris; Grueber, Catherine E.; MacDonald, Anna J.; Mergeay, Joachim; Hunter, Margaret E.] Int Union Conservat Nat IUCN, Conservat Genet Specialist Grp, CH-1196 Gland, Switzerland; [Hoban, Sean; Archer, Frederick, I; Bertola, Laura D.; Bragg, Jason G.; Breed, Martin F.; Bruford, Michael W.; Coleman, Melinda A.; Ekblom, Robert; Funk, W. Chris; Grueber, Catherine E.; Hand, Brian K.; Jaffe, Rodolfo; Jensen, Evelyn; Johnson, Jeremy S.; Kershaw, Francine; Liggins, Libby; MacDonald, Anna J.; Mergeay, Joachim; Miller, Joshua M.; Muller-Karger, Frank; O'Brien, David; Paz-Vinas, Ivan; Potter, Kevin M.; Razgour, Orly; Vernesi, Cristiano; Hunter, Margaret E.] Grp Earth Observat Biodivers Observat Network, Geneva, Switzerland</t>
  </si>
  <si>
    <t>National Oceanic Atmospheric Admin (NOAA) - USA; City University of New York (CUNY) System; City College of New York (CUNY); Flinders University South Australia; Cardiff University; NSW Department of Primary Industries; Southern Cross University; Colorado State University; University of Sydney; Exponent; Newcastle University - UK; Massey University; Australian National University; Research Institute for Nature &amp; Forest; KU Leuven; State University System of Florida; University of South Florida; Institut de Recherche pour le Developpement (IRD); Universite de Toulouse; Universite Federale Toulouse Midi-Pyrenees (ComUE); Universite Toulouse III - Paul Sabatier; Ecole Nationale Formation Agronomique (ENSFEA); Centre National de la Recherche Scientifique (CNRS); CNRS - Institute of Ecology &amp; Environment (INEE); North Carolina State University; University of Exeter; Fondazione Edmund Mach; United States Department of the Interior; United States Geological Survey; Australian Antarctic Division</t>
  </si>
  <si>
    <t>Hunter, ME (corresponding author), Int Union Conservat Nat IUCN, Conservat Genet Specialist Grp, CH-1196 Gland, Switzerland.;Hunter, ME (corresponding author), Grp Earth Observat Biodivers Observat Network, Geneva, Switzerland.</t>
  </si>
  <si>
    <t>mhunter@usgs.gov</t>
  </si>
  <si>
    <t>Hand, Brian/F-9963-2014; Archer, Frederick/HRA-3487-2023; Johnson, Jeremy/JFA-7093-2023; Potter, Kevin M./I-4455-2019; Hoban, Sean M/E-1530-2011; Paz-Vinas, Ivan/L-1936-2013; MacDonald, Anna J/B-4462-2011; Bragg, Jason/P-7675-2019; Razgour, Orly/B-9646-2011; Mergeay, Joachim/E-7670-2011; Breed, Martin/G-5482-2011</t>
  </si>
  <si>
    <t>Archer, Frederick/0000-0002-3179-4769; Potter, Kevin M./0000-0002-7330-5345; Paz-Vinas, Ivan/0000-0002-0043-9289; MacDonald, Anna J/0000-0003-2972-200X; Bragg, Jason/0000-0002-7621-7295; Johnson, Jeremy/0000-0002-4305-1647; Razgour, Orly/0000-0003-3186-0313; Mergeay, Joachim/0000-0002-6504-0551; Grueber, Catherine/0000-0002-8179-1822; Breed, Martin/0000-0001-7810-9696; Hoban, Sean/0000-0002-0348-8449; O'Brien, David/0000-0001-7901-295X</t>
  </si>
  <si>
    <t>COST (European Cooperation in Science and Technology) [CA 18134]; NERC [NE/M018660/3, NE/M018660/1] Funding Source: UKRI</t>
  </si>
  <si>
    <t>COST (European Cooperation in Science and Technology)(European Cooperation in Science and Technology (COST)); NERC(UK Research &amp; Innovation (UKRI)Natural Environment Research Council (NERC))</t>
  </si>
  <si>
    <t>We would like to thank the organizations and groups that have contributed to this project, including NIMBioS, GEO BON, G-BiKE, and IUCN. We would like to acknowledge John Robinson and Sarah Pearson for their early input to this review. This article is based on work from COST Action G-BiKE, CA 18134, supported by COST (European Cooperation in Science and Technology), www.cost.eu. Any use of trade, firm, or product names is for descriptive purposes only and does not imply endorsement by the United States Government.</t>
  </si>
  <si>
    <t>1464-7931</t>
  </si>
  <si>
    <t>1469-185X</t>
  </si>
  <si>
    <t>BIOL REV</t>
  </si>
  <si>
    <t>Biol. Rev.</t>
  </si>
  <si>
    <t>10.1111/brv.12852</t>
  </si>
  <si>
    <t>2P9KF</t>
  </si>
  <si>
    <t>WOS:000781686900001</t>
  </si>
  <si>
    <t>Soens, B; Chernonozhkin, SM; de Vega, CG; Vanhaecke, F; van Ginneken, M; Claeys, P; Goderis, S</t>
  </si>
  <si>
    <t>Soens, Bastien; Chernonozhkin, Stepan M.; de Vega, Claudia Gonzalez; Vanhaecke, Frank; van Ginneken, Matthias; Claeys, Philippe; Goderis, Steven</t>
  </si>
  <si>
    <t>Characterization of achondritic cosmic spherules from the Wideroefjellet micrometeorite collection (Sor Rondane Mountains, East Antarctica)</t>
  </si>
  <si>
    <t>Oxygen isotopes; Iron isotopes; Achondrites; Cosmic spherules; Atmospheric entry</t>
  </si>
  <si>
    <t>OXYGEN-ISOTOPE; TRACE-ELEMENT; CHEMICAL-COMPOSITION; CONDENSATION TEMPERATURES; EXPERIMENTAL PETROLOGY; MINERAL CHEMISTRY; PARENT BODIES; FUSION CRUSTS; MARE BASALTS; METEORITE</t>
  </si>
  <si>
    <t>Achondritic micrometeorites represent one of the rarest (ca. 0.5-2.1%) particle types among Antarctic micrometeorite collections. Here, we present major, trace element and oxygen isotope compositions on five vitreous, achondritic cosmic spherules (341-526 mu m in size) recovered from the Wideroefjellet sedimentary trap in the Sor Rondane Mountains (SRMs) of East Antarctica. We also present the first iron isotope data for four of these achondritic cosmic spherules. The particles were initially identified based on the atomic concentrations of Fe-Mg-Mn and their distribution in Fe/Mg versus Fe/Mn space, spanning a relatively wide range in Fe/Mg ratios (ca. 0.48-1.72). The Fe/Mn ratios cover a more restricted range (22.4-31.7), comparable to or slightly below the values measured for howardite-eucrite-diogenite (HED) and martian meteorites. One particle (WF1801-AC3) displays an elevated Fe/Mn ratio of similar to 78, comparable to the values determined for lunar rocks. The negative correlation observed between the CaO + Al2O3 contents and the Fe/Si ratios of achondritic spherules reflects both the mineralogy of the precursor materials, as well as the extent of volatilization experienced during atmospheric entry heating. This trend suggests that the primary mineralogy of precursor materials may have been compositionally similar to basaltic achondrites. Based on their distribution in Ca/Si versus Al/Si space, we argue that the majority of achondritic cosmic spherules predominantly sample pyroxene- and/or plagioclase-rich (i.e., basaltic) precursor bodies. Such precursor mineralogy is also inferred from their rare earth element (REE) patterns, which show resemblances to fine-grained basaltic eucrites or Type 1 achondritic spherules (n = 3 -av. REEN = 11.2-15.5, (La/Yb)(N) = 0.93-1.21), pigeonite-rich equilibrated eucrite precursors or Type 2 achondritic spherules (n = 1 - av. REEN = 27.9, (La/Yb)(N) = 0.10), and possibly Ca-phosphates from (primitive) achondritic bodies (n = 1 - av. REEN = 58.8, (La/Yb)(N) = 1.59). This is clearly demonstrated for particle WF1801AC-1, which was likely inherited from a fine-grained eucritic precursor body. The pre-atmospheric oxygen isotope composition was reconstructed through compensation of mass-dependent fractionation processes as well as mixing with atmospheric oxygen, using iron isotope data. Two particles (WF1801AC-2, WF1801-AC4) display corrected oxygen isotope compositions (delta O-18 = 3.7-4.4 parts per thousand) largely consistent with HED meteorites and may thus originate from HED-like parent bodies. The corrected oxygen isotope compositions (delta O-18 = 12.6-12.8 parts per thousand) of the remaining particles (WF1801-AC3, WF1801-AC5) do not correspond to known meteorite fields and may represent two distinct types of unknown achondritic parent bodies or residual atmospheric entry effects. Finally, the abundance (ca. 0.5%) of achondritic cosmic spherules within the Wideroefjellet sedimentary trap is comparable to that observed in the South Pole Water Well (SPWW - ca. 0.5%), Novaya Zemlya glacier (ca. 0.45%) and Transantarctic Mountain (TAM) (ca. 2.1%) collections, confirming their overall rarity in micrometeorite collections. Unambiguous evidence for micrometeorites from the Moon or Mars remains absent from collections to date. (c) 2022 Elsevier Ltd. All rights reserved.</t>
  </si>
  <si>
    <t>[Soens, Bastien; Claeys, Philippe; Goderis, Steven] Vrije Univ Brussel, Analyt Environm &amp; Geochem, Pl Laan 2, BE-1050 Brussels, Belgium; [Soens, Bastien] Univ Libre Bruxelles, Lab G Time, 50 Av FD Roosevelt CP 160-02, BE-1050 Brussels, Belgium; [Chernonozhkin, Stepan M.; de Vega, Claudia Gonzalez; Vanhaecke, Frank] Univ Ghent, Dept Chem, Krijgslaan 218 Bldg S12, BE-9000 Ghent, Belgium; [Chernonozhkin, Stepan M.] Univ Leoben, Res Grp Isotope Ratio Anal, Chair Gen &amp; Analyt Chem, Franz Josef Str 18, A-8700 Leoben, Austria; [van Ginneken, Matthias] Univ Kent, Ctr Astrophys &amp; Planetary Sci, Canterbury CT2 7NZ, Kent, England</t>
  </si>
  <si>
    <t>Vrije Universiteit Brussel; Universite Libre de Bruxelles; Ghent University; University of Leoben; University of Kent</t>
  </si>
  <si>
    <t>Soens, B (corresponding author), Vrije Univ Brussel, Analyt Environm &amp; Geochem, Pl Laan 2, BE-1050 Brussels, Belgium.</t>
  </si>
  <si>
    <t>Bastien.Soens@vub.be</t>
  </si>
  <si>
    <t>(VUB), VRIJE UNIVERSITEIT BRUSSEL/B-4895-2008; Vanhaecke, Frank/AAO-4582-2020; Goderis, Steven/F-9908-2011</t>
  </si>
  <si>
    <t>(VUB), VRIJE UNIVERSITEIT BRUSSEL/0000-0002-4585-7687; Vanhaecke, Frank/0000-0002-1884-3853; Soens, Bastien/0000-0002-7695-6629; Goderis, Steven/0000-0002-6666-7153</t>
  </si>
  <si>
    <t>Research Foundation Flanders (FWO); Belgian Science Policy (BELSPO); Research Foundation - Flanders (FWO - Vlaanderen); VUB strategic research; FWO-FNRS Excellence of Science (EoS) project ET-HoME [30442502]; Marie Curie Clarin-COFUND project of the Principality of Asturias; European Union</t>
  </si>
  <si>
    <t>Research Foundation Flanders (FWO)(FWO); Belgian Science Policy (BELSPO)(Belgian Federal Science Policy Office); Research Foundation - Flanders (FWO - Vlaanderen)(FWO); VUB strategic research; FWO-FNRS Excellence of Science (EoS) project ET-HoME; Marie Curie Clarin-COFUND project of the Principality of Asturias(Marie Curie ActionsEuropean Union (EU)); European Union(European Union (EU))</t>
  </si>
  <si>
    <t>We like to thank Johan Villeneuve (CRPG) for his assistance during the SIMS measurement time. We would also thank the Research Foundation Flanders (FWO) for funding this PhD research to BS. SG, MvG, and PC acknowledge the support by the Belgian Science Policy (BELSPO) through BELAM, Amundsen and BAMM projects. SG, SCh and PC also thank the Research Foundation -Flanders (FWO -Vlaanderen), and the VUB strategic research. SG, PC, and FV acknowledge the support from the FWO-FNRS ``Excellence of Science (EoS)project ET-HoME (ID 30442502). CGdV acknowledges the grant received from the Marie Curie Clarin-COFUND project of the Principality of Asturias and the European Union. We thank Martin Suttle and 2 anony-mous reviewers as well as associate editor James Day for their detailed comments and suggestions that significantly improved this manuscript.</t>
  </si>
  <si>
    <t>10.1016/j.gca.2022.03.029</t>
  </si>
  <si>
    <t>2T5XK</t>
  </si>
  <si>
    <t>WOS:000822547100006</t>
  </si>
  <si>
    <t>Wang, B; Chen, M; Zheng, MF; Qiu, YS</t>
  </si>
  <si>
    <t>Wang, Bo; Chen, Min; Zheng, Minfang; Qiu, Yusheng</t>
  </si>
  <si>
    <t>The biological uptake of dissolved iron in the changing Daya Bay, South China Sea: Effect of pH and DO</t>
  </si>
  <si>
    <t>Fe uptake; Fe bioavailability; Fe requirement; pH; DO; Coastal ecosystem</t>
  </si>
  <si>
    <t>PHYTOPLANKTON GROWTH; ANTARCTIC PENINSULA; COASTAL SEAWATER; FE(II) OXIDATION; MARINE DIATOM; CELLULAR IRON; CHLOROPHYLL-A; OCEAN; CARBON; OXYGEN</t>
  </si>
  <si>
    <t>The oceanic acidification and coastal hypoxia have potential to enhance biological uptake of dissolved iron (Fe) by phytoplankton. In this study, the Fe uptake rate (FeUR) in Daya Bay was significantly negatively correlated with pH and dissolved oxygen (DO) (r = -0.81 and -0.73, respectively, p &lt; 0.001). In addition, binary regression (FeUR = -1.45 x pH -0.10 x DO + 13.64) also indicated that both pH and DO played key roles in FeUR variations. As pH and DO decreased, Fe uptake by phytoplankton was promoted, and the contribution of nano-phytoplankton to Fe uptake increased significantly, while that of pico-FeUR decreased. These will result in the phytoplankton community to be miniaturized and Fe requirement of phytoplankton goes higher, thereby leading changes of phytoplankton composition and coastal ecosystem. This study helps to understand how Fe could affect the coastal ecosystem under the increasing anthropogenic influences.</t>
  </si>
  <si>
    <t>[Wang, Bo; Chen, Min; Zheng, Minfang; Qiu, Yusheng] Xiamen Univ, Coll Ocean &amp; Earth Sci, Xiamen 361102, Peoples R China; [Wang, Bo] Shandong Univ Sci &amp; Technol, Coll Safety &amp; Environm Engn, Qingdao 266590, Peoples R China</t>
  </si>
  <si>
    <t>Xiamen University; Shandong University of Science &amp; Technology</t>
  </si>
  <si>
    <t>National Natural Science Foundation of China [41721005]; National Program on Key Basic Research Project (973 Program) [2015CB452903]; Nat-ural Science Foundation of Shandong Province [ZR2021QD051]; Public Science and Technology Research Funds Projects of Ocean [201505034]</t>
  </si>
  <si>
    <t>National Natural Science Foundation of China(National Natural Science Foundation of China (NSFC)); National Program on Key Basic Research Project (973 Program)(National Basic Research Program of China); Nat-ural Science Foundation of Shandong Province(Natural Science Foundation of Shandong Province); Public Science and Technology Research Funds Projects of Ocean</t>
  </si>
  <si>
    <t>We are grateful to the project team members for providing assistance while sampling and the scientists who kindly shared the physical, chemical and biological data. This work was supported by National Natural Science Foundation of China (41721005) , National Program on Key Basic Research Project (973 Program) (No. 2015CB452903) , Nat-ural Science Foundation of Shandong Province (ZR2021QD051) , and Public Science and Technology Research Funds Projects of Ocean (No. 201505034) .</t>
  </si>
  <si>
    <t>10.1016/j.marpolbul.2022.113635</t>
  </si>
  <si>
    <t>2Q6FU</t>
  </si>
  <si>
    <t>WOS:000820517000004</t>
  </si>
  <si>
    <t>Eschrig, J; Bonal, L; Mahlke, M; Carry, B; Beck, P; Gattacceca, J</t>
  </si>
  <si>
    <t>Eschrig, J.; Bonal, L.; Mahlke, M.; Carry, B.; Beck, P.; Gattacceca, J.</t>
  </si>
  <si>
    <t>Investigating S-type asteroid surfaces through reflectance spectra of ordinary chondrites</t>
  </si>
  <si>
    <t>ICARUS</t>
  </si>
  <si>
    <t>Meteorites; Asteroids; Surfaces; Spectroscopy; Mineralogy</t>
  </si>
  <si>
    <t>SHOCK METAMORPHISM; NEAR-EARTH; METEORITE; CALIBRATIONS; SPECTROSCOPY; PARTICLES; MIXTURES; FEATURES; OLIVINE; METAL</t>
  </si>
  <si>
    <t>The search for asteroidal parent bodies of chondrites through various techniques is an ongoing endeavor. A link between ordinary chondrites (OCs) and S-type asteroids has previously been established by the sample return of the Hayabusa space mission. OCs are the class with the most abundant samples in our meteorite collection. We present an in-depth study of the reflectance spectra of 39 equilibrated and 41 unequilibrated ordinary chondrites (EOCs and UOCs). We demonstrate that consistent measuring conditions are vital for the direct comparison of spectral features between chondrites, otherwise hampering any conclusions. We include a comparison with a total of 466 S-type asteroid reflectance spectra from various databases. We analyze (i) if a difference between EOCs and UOCs as well as between H, L and LL can be seen, (ii) if it is possible to identify unequilibrated and equilibrated S-type asteroid surfaces and (iii) if we can further constrain the match between OCs and S-type asteroids all based on reflectance spectra. As a first step, we checked the classification of the 31 Antarctic UOCs analyzed in the present work, using petrography and magnetic measurements, and evidenced that 74% of them were misclassified. Reflectance spectra were compared between EOCs and UOCs as well as between H, L and LL chondrites using a set of spectral features including band depths and positions, peak reflectance values, spectral slopes and the Ol/(Ol + Px) ratio. UOCs and EOCs reflectance spectra show no clear-cut dichotomy, but a continuum with some EOCs showing stronger absorption bands and peak reflectance values, while others are comparable to UOCs. Moreover, we show by the example of 6 EOCs that their band depths decrease with decreasing grain size. Based on reflectance spectra alone, it is thus highly challenging to objectively identify an unequilibrated from an equilibrated S-type surface. There is no clear distinction of the chemical groups: only LL EOCs of petrographic type &gt; 4 can be distinguished from H and L through less deep 2000 nm band depths and 1000 nm band positions at longer wavelengths. No dichotomy of S-type asteroids can be seen based on the Ol/(Ol + Px) ratio. Their average Ol/(Ol + Px) ratio matches EOCs better than UOCs. A principal component analysis (PCA) was performed illustrating that both the unknown degree of space weathering and the unknown regolith grain size on asteroid surfaces hinder the distinction between equilibrated and unequilibrated surfaces. Lastly, an anti-correlation between the diameter of the asteroids and their 1000 nm band depth is found indicating that larger sized S-type asteroids show finer grained surfaces.</t>
  </si>
  <si>
    <t>[Eschrig, J.; Bonal, L.; Beck, P.] Univ Grenoble Alpes, Inst Planetol &amp; dAstrophys Grenoble, CNRS CNES, F-38000 Grenoble, France; [Mahlke, M.; Carry, B.] Univ Cote dAzur, Observ Cote dAzur, Lab Lagrange, CNRS, Valbonne, France; [Gattacceca, J.] Aix Marseille Univ, Coll France, CEREGE, CNRS,IRD, Aix En Provence, France</t>
  </si>
  <si>
    <t>Communaute Universite Grenoble Alpes; Universite Grenoble Alpes (UGA); Centre National de la Recherche Scientifique (CNRS); Universite Cote d'Azur; Observatoire de la Cote d'Azur; Centre National de la Recherche Scientifique (CNRS); Institut de Recherche pour le Developpement (IRD); Aix-Marseille Universite; Universite PSL; College de France</t>
  </si>
  <si>
    <t>Eschrig, J (corresponding author), Univ Grenoble Alpes, Inst Planetol &amp; dAstrophys Grenoble, CNRS CNES, F-38000 Grenoble, France.</t>
  </si>
  <si>
    <t>jolantha.eschrig@univ-grenoble-alpes.fr</t>
  </si>
  <si>
    <t>Gattacceca, Jerome/AAG-5651-2019</t>
  </si>
  <si>
    <t>Gattacceca, Jerome/0000-0002-1639-7140; Carry, Benoit/0000-0001-5242-3089</t>
  </si>
  <si>
    <t>Centre National d'Etudes Spatiales (CNES-France); ERC [SOLARYS ERC-CoG2017-771691]; NSF; NASA</t>
  </si>
  <si>
    <t>Centre National d'Etudes Spatiales (CNES-France)(Centre National D'etudes Spatiales); ERC(European Research Council (ERC)); NSF(National Science Foundation (NSF)); NASA(National Aeronautics &amp; Space Administration (NASA))</t>
  </si>
  <si>
    <t>This work has been funded by the Centre National d'Etudes Spatiales (CNES-France) and by the ERC grant SOLARYS ERC-CoG2017-771691.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We thank the Natural History Museum, Vienna, Department of Mineralogy and Petrography for providing us with a thick section of Mezo-Madaras (Inv-Nr. NHMV-N2140) and bulk samples of Mezo-Madaras (NHMV_ID_#3993_B2), Parnallee (NHMV_ID_#6207_B2) and Tieschitz (NHMV_ID_#7152_A).</t>
  </si>
  <si>
    <t>0019-1035</t>
  </si>
  <si>
    <t>1090-2643</t>
  </si>
  <si>
    <t>Icarus</t>
  </si>
  <si>
    <t>10.1016/j.icarus.2022.115012</t>
  </si>
  <si>
    <t>1D2OM</t>
  </si>
  <si>
    <t>WOS:000793645100004</t>
  </si>
  <si>
    <t>Turschwell, MP; Hayes, MA; Lacharité, M; Abundo, M; Adams, J; Blanchard, J; Brain, E; Buelow, CA; Bulman, C; Condie, SA; Connolly, RM; Dutton, I; Fulton, EA; Gallagher, S; Maynard, D; Pethybridge, H; Plagányi, E; Porobic, J; Taelman, SE; Trebilco, R; Woods, G; Brown, CJ</t>
  </si>
  <si>
    <t>Turschwell, M. P.; Hayes, M. A.; Lacharite, M.; Abundo, M.; Adams, J.; Blanchard, J.; Brain, E.; Buelow, C. A.; Bulman, C.; Condie, S. A.; Connolly, R. M.; Dutton, I; Fulton, E. A.; Gallagher, S.; Maynard, D.; Pethybridge, H.; Plaganyi, E.; Porobic, J.; Taelman, S. E.; Trebilco, R.; Woods, G.; Brown, C. J.</t>
  </si>
  <si>
    <t>A review of support tools to assess multi-sector interactions in the emerging offshore Blue Economy</t>
  </si>
  <si>
    <t>ENVIRONMENTAL SCIENCE &amp; POLICY</t>
  </si>
  <si>
    <t>Aquaculture; Offshore; Renewable energy; Multi-use platform; Planning; Sustainability</t>
  </si>
  <si>
    <t>ECOSYSTEM-BASED MANAGEMENT; FISHERIES-MANAGEMENT; MARINE; MODELS; ENERGY; AQUACULTURE; LESSONS</t>
  </si>
  <si>
    <t>Multiple ocean sectors compete for space and resources, creating conflicts but also opportunities to plan for synergistic outcomes that benefit multiple sectors. Planning and management are increasingly informed by qualitative and quantitative methods for assessing multi-sector interactions to identify trade-offs and synergies among sectors and with the environment, but there is a need to critically review the alignment of these tools with the requirements of Blue Economy stakeholders. Through a systematic literature review, an operational maturity analysis, and a survey of Blue Economy stakeholders, we found that the most well-developed tools for assessing interactions between multiple Blue Economy industries, and with the environment, are spatial prioritization tools, such as Marxan and multi-criteria decision support tools; and spatial static tools, such as cumulative effect mapping. More complex process/dynamic tools such as ecosystem and oceanographic models are well developed for single sectors, particularly water quality assessments and commercial fisheries, but have been less commonly applied in multi-sector contexts. Our review and stakeholder survey highlighted that assessing the environmental and operational suitability of sites for Blue Economy infrastructure in conjunction with operational impacts, trade-offs and decommissioning considerations requires: 1) a toolbox of approaches that covers a range of spatial, temporal and ecological scales; 2) tools that capture interactions and feedbacks among sectors, and with the environment, without being unnecessarily complicated (i.e., tractable to use and allow for effective communication of findings); and 3) continued synthesis of approaches and tools used across sectors such as commercial fishing, aquaculture, offshore renewable energy, and offshore engineering.</t>
  </si>
  <si>
    <t>[Turschwell, M. P.; Hayes, M. A.; Buelow, C. A.; Connolly, R. M.; Brown, C. J.] Griffith Univ, Coastal Marine Res Ctr, Sch Envirinment &amp; Sci, Australian Rivers Inst, Gold Coast, Qld 4222, Australia; [Lacharite, M.; Blanchard, J.] Univ Tasmania, Inst Marine &amp; Antarctic Studies, Hobart, Tas 7053, Australia; [Abundo, M.] Nanyang Technol Univ, Coll Engn, 50 Nanyang Ave, Singapore 639798, Singapore; [Abundo, M.] OceanPixel Pte Ltd, NTU Innovat Ctr, NEST, 71 Nanyang Dr, Singapore 638075, Singapore; [Adams, J.; Brain, E.; Dutton, I; Maynard, D.; Woods, G.] Dept Nat Resources &amp; Environm Tasmania, GPO Box 44, Hobart, Tas 7001, Australia; [Lacharite, M.; Blanchard, J.; Condie, S. A.; Dutton, I; Fulton, E. A.; Plaganyi, E.; Porobic, J.; Trebilco, R.] Univ Tasmania, Ctr Marine Socioecol, Hobart, Tas 7001, Australia; [Bulman, C.; Condie, S. A.; Fulton, E. A.; Pethybridge, H.; Porobic, J.; Trebilco, R.] CSIRO Oceans &amp; Atmosphere, Hobart, Tas 7001, Australia; [Gallagher, S.] EPA Tasmania, Dept Primary Ind Pk Water &amp; Environm, GPO Box 1550, Hobart, Tas 7001, Australia; [Plaganyi, E.] CSIRO Oceans &amp; Atmosphere, Brisbane, Qld 4062, Australia; [Taelman, S. E.] Univ Ghent, Fac Biosci Engn, Dept Green Chem &amp; Technol, Sustainable Syst Engn Grp STEN, Coupure Links 653, Ghent, Belgium</t>
  </si>
  <si>
    <t>Griffith University; Griffith University - Gold Coast Campus; University of Tasmania; Nanyang Technological University; University of Tasmania; Commonwealth Scientific &amp; Industrial Research Organisation (CSIRO); Commonwealth Scientific &amp; Industrial Research Organisation (CSIRO); Ghent University</t>
  </si>
  <si>
    <t>Turschwell, MP (corresponding author), Griffith Univ, Coastal Marine Res Ctr, Sch Envirinment &amp; Sci, Australian Rivers Inst, Gold Coast, Qld 4222, Australia.</t>
  </si>
  <si>
    <t>m.turschwell@griffith.edu.au</t>
  </si>
  <si>
    <t>Brown, Christopher J/G-4287-2011; Fulton, Beth/A-2871-2008; Pethybridge, Heidi/AAI-9824-2021; Plaganyi, Eva E/C-5130-2011; Trebilco, Rowan/I-5311-2012; Connolly, Rod/C-4094-2008</t>
  </si>
  <si>
    <t>Brown, Christopher J/0000-0002-7271-4091; Plaganyi, Eva E/0000-0002-4740-4200; Trebilco, Rowan/0000-0001-9712-8016; Connolly, Rod/0000-0001-6223-1291</t>
  </si>
  <si>
    <t>Blue Economy Cooperative Research Centre (BECRC) under the Australian Government's CRC Program [CRC20180101]; BECRC; Australian Research Council [DP180103124]; Global Wetlands Project; H2020-EU.2.1.3 Orienting project, cSBO SUMES project (VLAIO) [95823]</t>
  </si>
  <si>
    <t>Blue Economy Cooperative Research Centre (BECRC) under the Australian Government's CRC Program; BECRC; Australian Research Council(Australian Research Council); Global Wetlands Project; H2020-EU.2.1.3 Orienting project, cSBO SUMES project (VLAIO)</t>
  </si>
  <si>
    <t>The authors acknowledge the financial support of the Blue Economy Cooperative Research Centre (BECRC), established and supported under the Australian Government's CRC Program, grant number CRC20180101 and E.A.F. was also directly supported by broader BECRC funding. The CRC Program supports industry-led collaborations between industry, researchers and the community. C.J.B., R.M.C. and M.P. T. were supported by a Discovery Project (DP180103124) from the Australian Research Council. C.J.B., R.M.C., C.A.B. and M.P.T. acknowledge support from the Global Wetlands Project, supported by a charitable organisation which neither seeks nor permits publicity for its efforts. S.E.T acknowledges support from H2020-EU.2.1.3 Orienting project (ID: 95823), cSBO SUMES project (VLAIO).</t>
  </si>
  <si>
    <t>1462-9011</t>
  </si>
  <si>
    <t>1873-6416</t>
  </si>
  <si>
    <t>ENVIRON SCI POLICY</t>
  </si>
  <si>
    <t>Environ. Sci. Policy</t>
  </si>
  <si>
    <t>10.1016/j.envsci.2022.03.016</t>
  </si>
  <si>
    <t>1D0AF</t>
  </si>
  <si>
    <t>WOS:000793472400009</t>
  </si>
  <si>
    <t>Cannone, N; Malfasi, F; Favero-Longo, SE; Convey, P; Guglielmin, M</t>
  </si>
  <si>
    <t>Cannone, Nicoletta; Malfasi, Francesco; Favero-Longo, Sergio Enrico; Convey, Peter; Guglielmin, Mauro</t>
  </si>
  <si>
    <t>Acceleration of climate warming and plant dynamics in Antarctica</t>
  </si>
  <si>
    <t>CURRENT BIOLOGY</t>
  </si>
  <si>
    <t>VASCULAR PLANTS; SIGNY ISLAND; ACTIVE LAYER; POLAR DESERT; TEMPERATURE; PENINSULA; VEGETATION; RESPONSES; LICHEN; REPRODUCTION</t>
  </si>
  <si>
    <t>The strong air temperature warming between the 1950s and 2016 in the Antarctic Peninsula region' exceeded the global average warming(2,3) with evident impacts on terrestrial ecosystems and the two native Antarctic vascular plants Deschampsia antarctica Desv. and Colobanthus quitensis (Kunth) Bartl.(4-10) Subsequently, a short but intense cooling occurred from the Antarctic Peninsula to the South Orkney Islands (1999-2016),(1,11-13) impacting terrestrial ecosystems, with reduced lichen growth(14) and no further expansion of D. antarctica in the Argentine Islands.(5) The strong warming trend is predicted to resume(15) with expansion of ice-free areas and continued impacts on the abiotic and biotic components of terrestrial ecosystems including the ingression of non-native species(3,8,16,17) as recently recorded at Signy Island (South Orkney Islands).(18-20) In this study we document acceleration in the expansion of D. antarctica and C. quitensis in the last decade (2009-2018) at Signy Island, where the air temperature warming trend resumed in summer after 2012. We hypothesize that the striking expansion of these plants is mainly triggered by summer air warming and release from the limitation of fur seal disturbance. We also hypothesize that the pulse climatic event of the strong air cooling detected in 2012 did not appear to influence the vegetation community dynamics on this island. This is the first evidence in Antarctica for accelerated ecosystem responses to climate warming, confirming similar observations in the Northern Hemisphere. Our findings support the hypothesis that future warming will trigger significant changes in these fragile Antarctic ecosystems.</t>
  </si>
  <si>
    <t>[Cannone, Nicoletta; Malfasi, Francesco] Univ Insubria, Dip Sci &amp; Alta Tecnol, Via Valleggio 11, I-22100 Como, Italy; [Favero-Longo, Sergio Enrico] Univ Torino, Dip Sci Vita &amp; Biol Sistemi, Via Mattioli 25, I-10125 Turin, Italy; [Convey, Peter] British Antarctic Survey, Nat Environm Res Council, Madingley Rd, Cambridge CB3 0ET, England; [Convey, Peter] Univ Johannesburg, Dept Zool, POB 524, ZA-2006 Auckland Pk, South Africa; [Guglielmin, Mauro] Univ Insubria, Dip Sci Teor &amp; Applicate, Via JH Dunant 2, I-21100 Varese, Italy</t>
  </si>
  <si>
    <t>University of Insubria; University of Turin; UK Research &amp; Innovation (UKRI); Natural Environment Research Council (NERC); NERC British Antarctic Survey; University of Johannesburg; University of Insubria</t>
  </si>
  <si>
    <t>Cannone, N (corresponding author), Univ Insubria, Dip Sci &amp; Alta Tecnol, Via Valleggio 11, I-22100 Como, Italy.</t>
  </si>
  <si>
    <t>nicoletta.cannone@uninsubria.it</t>
  </si>
  <si>
    <t>Convey, Peter/AAV-5728-2020; Malfasi, Francesco/JTS-5575-2023</t>
  </si>
  <si>
    <t>Convey, Peter/0000-0001-8497-9903; Malfasi, Francesco/0000-0002-2660-8327; Favero Longo, Sergio Enrico/0000-0001-7129-5975</t>
  </si>
  <si>
    <t>PNRA (Progetto Nazionale Ricerche in Antartide); Progetto Nazionale Ricerche in Antartide [PNRA2016_00224, PNRA2018_00288]; NERC; NERC [bas0100036] Funding Source: UKRI</t>
  </si>
  <si>
    <t>PNRA (Progetto Nazionale Ricerche in Antartide); Progetto Nazionale Ricerche in Antartide; NERC(UK Research &amp; Innovation (UKRI)Natural Environment Research Council (NERC)); NERC(UK Research &amp; Innovation (UKRI)Natural Environment Research Council (NERC))</t>
  </si>
  <si>
    <t>We thank PNRA (Progetto Nazionale Ricerche in Antartide) for funding and logistical support. This study was supported by Progetto Nazionale Ricerche in Antartide (grant numbers PNRA2016_00224 and PNRA2018_00288). P.C. is supported by NERC core funding to the BAS Biodiversity, Evolution and Adaptation Team. This work contributes to the activities of the Climate Change Research Centre of the Universita degli Studi dell'Insubria.</t>
  </si>
  <si>
    <t>0960-9822</t>
  </si>
  <si>
    <t>1879-0445</t>
  </si>
  <si>
    <t>CURR BIOL</t>
  </si>
  <si>
    <t>Curr. Biol.</t>
  </si>
  <si>
    <t>APR 11</t>
  </si>
  <si>
    <t>10.1016/j.cub.2022.01.074</t>
  </si>
  <si>
    <t>Biochemistry &amp; Molecular Biology; Biology; Cell Biology</t>
  </si>
  <si>
    <t>Biochemistry &amp; Molecular Biology; Life Sciences &amp; Biomedicine - Other Topics; Cell Biology</t>
  </si>
  <si>
    <t>0X3ZV</t>
  </si>
  <si>
    <t>WOS:000789649800003</t>
  </si>
  <si>
    <t>Cesca, S; Sugan, M; Rudzinski, L; Vajedian, S; Niemz, P; Plank, S; Petersen, G; Deng, ZG; Rivalta, E; Vuan, A; Linares, MPP; Heimann, S; Dahm, T</t>
  </si>
  <si>
    <t>Cesca, Simone; Sugan, Monica; Rudzinski, Lukasz; Vajedian, Sanaz; Niemz, Peter; Plank, Simon; Petersen, Gesa; Deng, Zhiguo; Rivalta, Eleonora; Vuan, Alessandro; Linares, Milton Percy Plasencia; Heimann, Sebastian; Dahm, Torsten</t>
  </si>
  <si>
    <t>Massive earthquake swarm driven by magmatic intrusion at the Bransfield Strait, Antarctica</t>
  </si>
  <si>
    <t>FLUID-FILLED FRACTURES; 6.3 LAQUILA EARTHQUAKE; M-W; DIKE PROPAGATION; WEST ANTARCTICA; SEISMICITY; MECHANISMS; VOLCANISM; MODEL; BASIN</t>
  </si>
  <si>
    <t>An earthquake swarm affected the Bransfield Strait, Antarctica, a unique rift basin in transition from intra-arc rifting to ocean spreading. The swarm, counting similar to 85,000 volcano-tectonic earthquakes since August 2020, is located close to the Orca submarine volcano, previously considered inactive. Simultaneously, geodetic data reported up to similar to 11 cm north-westward displacement over King George Island. We use a broad variety of geophysical data and methods to reveal the complex migration of seismicity, accompanying the intrusion of 0.26-0.56 km(3) of magma. Strike-slip earthquakes mark the intrusion at depth, while shallower normal faulting the similar to 20 km long lateral growth of a dike. Seismicity abruptly decreased after a Mw 6.0 earthquake, suggesting the magmatic dike lost pressure with the slipping of a large fault. A seafloor eruption is likely, but not confirmed by sea surface temperature anomalies. The unrest documents episodic magmatic intrusion in the Bransfield Strait, providing unique insights into active continental rifting.</t>
  </si>
  <si>
    <t>[Cesca, Simone; Niemz, Peter; Petersen, Gesa; Deng, Zhiguo; Rivalta, Eleonora; Dahm, Torsten] GFZ German Res Ctr Geosci Potsdam, Potsdam, Germany; [Sugan, Monica; Vuan, Alessandro; Linares, Milton Percy Plasencia] Natl Inst Oceanog &amp; Appl Geophys OGS, Trieste, Italy; [Rudzinski, Lukasz] Polish Acad Sci, Inst Geophys, Warsaw, Poland; [Vajedian, Sanaz] Missouri Univ Sci &amp; Technol, Dept Geosci &amp; Geol &amp; Petr Engn, Rolla, MO 65409 USA; [Niemz, Peter; Petersen, Gesa; Heimann, Sebastian; Dahm, Torsten] Univ Potsdam, Inst Geosci, Potsdam, Germany; [Plank, Simon] German Aerosp Ctr DLR, Oberpfaffenhofen, Wessling, Germany; [Rivalta, Eleonora] Univ Bologna, Bologna, Italy</t>
  </si>
  <si>
    <t>Helmholtz Association; Helmholtz-Center Potsdam GFZ German Research Center for Geosciences; Istituto Nazionale di Oceanografia e di Geofisica Sperimentale; Polish Academy of Sciences; Institute of Geophysics of the Polish Academy of Sciences; University of Missouri System; Missouri University of Science &amp; Technology; University of Potsdam; Helmholtz Association; German Aerospace Centre (DLR); University of Bologna</t>
  </si>
  <si>
    <t>Cesca, S (corresponding author), GFZ German Res Ctr Geosci Potsdam, Potsdam, Germany.</t>
  </si>
  <si>
    <t>simone.cesca@gfz-potsdam.de</t>
  </si>
  <si>
    <t>rivalta, eleonora/E-8651-2015; Petersen, Gesa M./JAN-4527-2023; Vuan, Alessandro/GLR-3168-2022; Cesca, Simone/K-4081-2017; Vuan, Alessandro/B-7115-2014</t>
  </si>
  <si>
    <t>Cesca, Simone/0000-0001-9419-3904; Heimann, Sebastian/0000-0003-0096-7193; Vuan, Alessandro/0000-0001-5536-1717; Rivalta, Eleonora/0000-0001-8245-0504; Sugan, Monica/0000-0002-1247-3193; Petersen, Gesa M./0000-0002-7138-0499; Dahm, Torsten/0000-0001-6432-7422</t>
  </si>
  <si>
    <t>Polish Ministry of Education and Science; Helmholtz-Gemeinschaft Impuls- und Vernetzungsfonds project TecVolSA project [ZT-I-0017]; Italian Programma Nazionale di Ricerche in Antartide (PNRA) [PdR_14_0028]; German Research Foundation DFG [362440331, SPP 2017, 313806092]</t>
  </si>
  <si>
    <t>Polish Ministry of Education and Science(Ministry of Science and Higher Education, Poland); Helmholtz-Gemeinschaft Impuls- und Vernetzungsfonds project TecVolSA project; Italian Programma Nazionale di Ricerche in Antartide (PNRA); German Research Foundation DFG(German Research Foundation (DFG))</t>
  </si>
  <si>
    <t>.R. has been supported by a subsidy from the Polish Ministry of Education and Science for the Institute of Geophysics, Polish Academy of Sciences. G.P. is funded by the German Research Foundation DFG project (362440331), a subproject of SPP 2017: Mountain Building Processes in 4D (Project Number 313806092). P. N. is funded by the Helmholtz-Gemeinschaft Impuls- und Vernetzungsfonds project TecVolSA project (ZT-I-0017). This research has been funded by the Italian Programma Nazionale di Ricerche in Antartide (PNRA) within the framework of the project PdR_14_0028. The authors acknowledge the scientific and logistic support of Direccion Nacional del Antartico (DNA)-Instituto Antartico Argentino (IAA) and the fundamental role of the Armada, Ejercito, and Fuerza Aerea Argentina personnel in creating and maintaining the proper operating conditions for the ASAIN stations in the Antarctic bases.</t>
  </si>
  <si>
    <t>10.1038/s43247-022-00418-5</t>
  </si>
  <si>
    <t>0K6IV</t>
  </si>
  <si>
    <t>WOS:000780893600001</t>
  </si>
  <si>
    <t>Stap, LB; Berends, CJ; Scherrenberg, MDW; Van de Wal, RSW; Gasson, EGW</t>
  </si>
  <si>
    <t>Stap, Lennert B.; Berends, Constantijn J.; Scherrenberg, Meike D. W.; van de Wal, Roderik S. W.; Gasson, Edward G. W.</t>
  </si>
  <si>
    <t>Net effect of ice-sheet-atmosphere interactions reduces simulated transient Miocene Antarctic ice-sheet variability</t>
  </si>
  <si>
    <t>OFFSHORE WILKES LAND; MODEL PISM-PIK; SEA-LEVEL; CARBON-DIOXIDE; MASS-BALANCE; CLIMATE; EVOLUTION; CO2; MIDDLE; TEMPERATURE</t>
  </si>
  <si>
    <t>Benthic delta O-18 levels vary strongly during the warmer-than-modern early and mid-Miocene (23 to 14 Myr ago), suggesting a dynamic Antarctic ice sheet (AIS). So far, however, realistic simulations of the Miocene AIS have been limited to equilibrium states under different CO2 levels and orbital settings. Earlier transient simulations lacked icesheet-atmosphere interactions and used a present-day rather than Miocene Antarctic bedrock topography. Here, we quantify the effect of ice-sheet-atmosphere interactions, running the ice-sheet model IMAU-ICE using climate forcing from Miocene simulations by the general circulation model GENESIS. Utilising a recently developed matrix interpolation method enables us to interpolate the climate forcing based on CO2 levels (between 280 and 840 ppm), as well as varying ice-sheet configurations (between no ice and a large East Antarctic Ice Sheet). We furthermore implement recent reconstructions of Miocene Antarctic bedrock topography. We find that the positive albedo-temperature feedback, partly compensated for by a negative feedback between ice volume and precipitation, increases hysteresis in the relation between CO2 and ice volume. Together, these ice-sheet-atmosphere interactions decrease the amplitude of Miocene AIS variability in idealised transient simulations. Forced by quasiorbital 40 kyr forcing CO2 cycles, the ice volume variability reduces by 21 % when ice-sheet-atmosphere interactions are included compared to when forcing variability is only based on CO2 changes. Thereby, these interactions also diminish the contribution of AIS variability to benthic delta O-18 fluctuations. Evolving bedrock topography during the early and mid-Miocene also reduces ice volume variability by 10 % under equal 40 kyr cycles of atmosphere and ocean forcing.</t>
  </si>
  <si>
    <t>[Stap, Lennert B.; Berends, Constantijn J.; Scherrenberg, Meike D. W.; van de Wal, Roderik S. W.] Univ Utrecht, Inst Marine &amp; Atmospher Res Utrecht, NL-3584 CC Utrecht, Netherlands; [van de Wal, Roderik S. W.] Univ Utrecht, Fac Geosci, Dept Phys Geog, NL-3508 TC Utrecht, Netherlands; [Gasson, Edward G. W.] Univ Exeter, Coll Life &amp; Environm Sci, Ctr Geog &amp; Environm Sci, Penryn TRIO 9FE, Cornwall, England</t>
  </si>
  <si>
    <t>Utrecht University; Utrecht University; University of Exeter</t>
  </si>
  <si>
    <t>Stap, LB (corresponding author), Univ Utrecht, Inst Marine &amp; Atmospher Res Utrecht, NL-3584 CC Utrecht, Netherlands.</t>
  </si>
  <si>
    <t>l.b.stap@uu.nl</t>
  </si>
  <si>
    <t>van de wal, roderik/D-1705-2011</t>
  </si>
  <si>
    <t>van de wal, roderik/0000-0003-2543-3892; Stap, Lennert/0000-0002-2108-3533; Berends, Tijn/0000-0002-2961-0350</t>
  </si>
  <si>
    <t>Dutch Research Council (NWO) through VENI [VI.Veni.202.031]; PROTECT - European Union [869304]</t>
  </si>
  <si>
    <t>Dutch Research Council (NWO) through VENI; PROTECT - European Union</t>
  </si>
  <si>
    <t>Lennert B. Stap is funded by the Dutch Research Council (NWO) through VENI grant VI.Veni.202.031. Constantijn J. Berends is supported by PROTECT, which has received funding from the European Union's Horizon 2020 research and innovation programme under grant agreement no. 869304 (PROTECT contribution number 31).</t>
  </si>
  <si>
    <t>10.5194/tc-16-1315-2022</t>
  </si>
  <si>
    <t>0J5VY</t>
  </si>
  <si>
    <t>WOS:000780173200001</t>
  </si>
  <si>
    <t>Tian, TR; Fraser, AD; Kimura, N; Zhao, C; Heil, P</t>
  </si>
  <si>
    <t>Tian, Tian R.; Fraser, Alexander D.; Kimura, Noriaki; Zhao, Chen; Heil, Petra</t>
  </si>
  <si>
    <t>Rectification and validation of a daily satellite-derived Antarctic sea ice velocity product</t>
  </si>
  <si>
    <t>MOTION; OCEAN; DEFORMATION; MODEL; DRIFT</t>
  </si>
  <si>
    <t>Antarctic sea ice kinematics plays a crucial role in shaping the Southern Ocean climate and ecosystems. Satellite passive-microwave-derived sea ice motion data have been used widely for studying sea ice motion and deformation, and they provide daily global coverage at a relatively low spatial resolution (in the order of 60 km x 60 km). In the Arctic, several validated datasets of satellite observations are available and used to study sea ice kinematics, but far fewer validation studies exist for the Antarctic. Here, we compare the widely used passive-microwave-derived Antarctic sea ice motion product by Kimura et al. (2013) with buoy-derived velocities and interpret the effects of satellite observational configuration on the representation of Antarctic sea ice kinematics. We identify two issues in the Kimura et al. (2013) product: (i) errors in two large triangular areas within the eastern Weddell Sea and western Amundsen Sea relating to an error in the input satellite data composite and (ii) a more subtle error relating to invalid assumptions for the average sensing time of each pixel. Upon rectification of these, performance of the daily composite sea ice motion product is found to be a function of latitude, relating to the number of satellite swaths incorporated (more swaths further south as tracks converge) and the heterogeneity of the underlying satellite signal (brightness temperature here). Daily sea ice motion vectors calculated using ascending- and descending-only satellite tracks (with a true similar to 24 h timescale) are compared with the widely used combined product (ascending and descending tracks combined together, with an inherent similar to 39 h timescale). This comparison reveals that kinematic parameters derived from the shorter-timescale velocity datasets are higher in magnitude than the combined dataset, indicating a high degree of sensitivity to observation timescale. We conclude that the new generation of swath-to-swath (S2S) sea ice velocity datasets, encompassing a range of observational timescales, is necessary to advance future research into sea ice kinematics.</t>
  </si>
  <si>
    <t>[Tian, Tian R.] Univ Tasmania, Inst Marine &amp; Antarctic Studies, Hobart, Tas 7001, Australia; [Tian, Tian R.; Fraser, Alexander D.; Zhao, Chen; Heil, Petra] Univ Tasmania, Inst Marine &amp; Antarctic Studies, Australian Antarctic Program Partnership, Hobart, Tas 7001, Australia; [Kimura, Noriaki] Univ Tokyo, Atmosphere &amp; Ocean Res Inst, Kashiwa, Chiba, Japan; [Heil, Petra] Australian Antarctic Div, 203 Channel Highway, Kingston, Tas 7050, Australia</t>
  </si>
  <si>
    <t>University of Tasmania; University of Tasmania; University of Tokyo; Australian Antarctic Division</t>
  </si>
  <si>
    <t>Tian, TR (corresponding author), Univ Tasmania, Inst Marine &amp; Antarctic Studies, Hobart, Tas 7001, Australia.;Tian, TR (corresponding author), Univ Tasmania, Inst Marine &amp; Antarctic Studies, Australian Antarctic Program Partnership, Hobart, Tas 7001, Australia.</t>
  </si>
  <si>
    <t>tian.tian@utas.edu.au</t>
  </si>
  <si>
    <t>Zhao, Chen/S-2693-2019; Fraser, Alexander/AFO-7186-2022</t>
  </si>
  <si>
    <t>Zhao, Chen/0000-0003-0368-1334; Fraser, Alexander/0000-0003-1924-0015; Tian, Tian/0000-0002-8639-8448; Heil, Petra/0000-0003-2078-0342</t>
  </si>
  <si>
    <t>Australian government as part of the Antarctic Science Collaboration Initiative program; Australian Antarctic Program Partnership [ASCI000002]; Australian Government Research Training Program (RTP) scholarship at the Institute for Marine and Antarctic Studies, University of Tasmania; Antarctic Science Foundation (ASF); Australian Antarctic Science Project [4506]; International Space Science Institute (Bern, Switzerland) project [405]; Grants-in-Aid for Scientific Research [22K12341] Funding Source: KAKEN</t>
  </si>
  <si>
    <t>Australian government as part of the Antarctic Science Collaboration Initiative program(Australian Government); Australian Antarctic Program Partnership; Australian Government Research Training Program (RTP) scholarship at the Institute for Marine and Antarctic Studies, University of Tasmania; Antarctic Science Foundation (ASF); Australian Antarctic Science Project; International Space Science Institute (Bern, Switzerland) project; Grants-in-Aid for Scientific Research(Ministry of Education, Culture, Sports, Science and Technology, Japan (MEXT)Japan Society for the Promotion of ScienceGrants-in-Aid for Scientific Research (KAKENHI))</t>
  </si>
  <si>
    <t>This research was carried out under grant funding from the Australian government as part of the Antarctic Science Collaboration Initiative program, and it contributes to Project 6 of the Australian Antarctic Program Partnership (project ID ASCI000002). Tian R. Tian received funding through an Australian Government Research Training Program (RTP) scholarship at the Institute for Marine and Antarctic Studies, University of Tasmania. The Antarctic Science Foundation (ASF) provided generous support and funding to Tian R. Tian during the COVID-19 pandemic. Petra Heil is supported through the Australian Antarctic Science Project 4506 and the International Space Science Institute (Bern, Switzerland) project no. 405. Computation and storage facilities were provided by The National eResearch Collaboration Tools and Resources project (NeCTAR).</t>
  </si>
  <si>
    <t>10.5194/tc-16-1299-2022</t>
  </si>
  <si>
    <t>0J4OF</t>
  </si>
  <si>
    <t>WOS:000780083400001</t>
  </si>
  <si>
    <t>White, PA; Keeler, DG; Sheanshang, D; Rupper, S</t>
  </si>
  <si>
    <t>White, Philip A.; Keeler, Durban G.; Sheanshang, Daniel; Rupper, Summer</t>
  </si>
  <si>
    <t>Improving piecewise linear snow density models through hierarchical spatial and orthogonal functional smoothing</t>
  </si>
  <si>
    <t>ENVIRONMETRICS</t>
  </si>
  <si>
    <t>Bayesian statistics; change point; confounding; differential equation; functional data; Gaussian process; spatial statistics</t>
  </si>
  <si>
    <t>CROSS-COVARIANCE FUNCTIONS; FIRN DENSIFICATION; ACCUMULATION RATES; ANTARCTIC SNOW; MASS-BALANCE; ICE; CLIMATE; IMPACT; GLACIERS</t>
  </si>
  <si>
    <t>Snow density estimates as a function of depth are used for understanding climate processes, evaluating water accumulation trends in polar regions, and estimating glacier mass balances. The common and interpretable physically derived differential equation models for snow density are piecewise linear as a function of depth (on a transformed scale); thus, they can fail to capture important data features. Moreover, the differential equation parameters show strong spatial autocorrelation. To address these issues, we allow the parameters of the physical model, including random change points over depth, to vary spatially. We also develop a framework for functionally smoothing the physically motivated model. To preserve inference on the interpretable physical model, we project the smoothing function into the physical model's spatially varying null space. The proposed spatially and functionally smoothed snow density model better fits the data while preserving inference on physical parameters. Using this model, we find significant spatial variation in the parameters that govern snow densification.</t>
  </si>
  <si>
    <t>[White, Philip A.; Sheanshang, Daniel] Brigham Young Univ, Dept Stat, Provo, UT 84602 USA; [Keeler, Durban G.; Rupper, Summer] Univ Utah, Dept Geog, Provo, UT USA</t>
  </si>
  <si>
    <t>Brigham Young University; Utah System of Higher Education; University of Utah</t>
  </si>
  <si>
    <t>White, PA (corresponding author), Brigham Young Univ, Dept Stat, Provo, UT 84602 USA.</t>
  </si>
  <si>
    <t>pwhite@stat.byu.edu</t>
  </si>
  <si>
    <t>Rupper, Summer/KHD-4492-2024</t>
  </si>
  <si>
    <t>White, Philip/0000-0003-0907-9221; Rupper, Summer/0000-0001-8655-5282</t>
  </si>
  <si>
    <t>National Aeronautics and Space Administration [NNX16AJ72G]</t>
  </si>
  <si>
    <t>National Aeronautics and Space Administration(National Aeronautics &amp; Space Administration (NASA))</t>
  </si>
  <si>
    <t>National Aeronautics and Space Administration, Grant/Award Number: NNX16AJ72G</t>
  </si>
  <si>
    <t>1180-4009</t>
  </si>
  <si>
    <t>1099-095X</t>
  </si>
  <si>
    <t>Environmetrics</t>
  </si>
  <si>
    <t>e2726</t>
  </si>
  <si>
    <t>10.1002/env.2726</t>
  </si>
  <si>
    <t>Environmental Sciences; Mathematics, Interdisciplinary Applications; Statistics &amp; Probability</t>
  </si>
  <si>
    <t>Environmental Sciences &amp; Ecology; Mathematics</t>
  </si>
  <si>
    <t>2S0GU</t>
  </si>
  <si>
    <t>WOS:000780405400001</t>
  </si>
  <si>
    <t>Crame, JA; McGowan, AJ</t>
  </si>
  <si>
    <t>Crame, J. Alistair; McGowan, Alistair J.</t>
  </si>
  <si>
    <t>Origin of the tropical-polar biodiversity contrast</t>
  </si>
  <si>
    <t>Cretaceous-Palaeogene extinction; early Cenozoic radiations; marine Mollusca; tropical-polar biodiversity</t>
  </si>
  <si>
    <t>LATITUDINAL DIVERSITY GRADIENTS; SPECIES-DIVERSITY; CLIMATE-CHANGE; NICHE CONSERVATISM; EXTREME LONGEVITY; SEYMOUR ISLAND; FOSSIL RECORD; MARINE; EOCENE; EVOLUTION</t>
  </si>
  <si>
    <t>Aim The aim was to investigate the evolutionary origins of the striking biodiversity contrast between high- and low-latitude regions in the present day. Is this a relatively recent phenomenon, causally linked in some way to the greenhouse-icehouse transition and onset of global cooling c. 34 Myr ago, or does it have deeper temporal roots and thus other potential causes? Location Early Cenozoic fossil assemblages from two tropical and one polar region, and modern counterparts from various tropical localities and Antarctica. Time period The Cretaceous-Palaeogene (K/Pg) mass extinction event, Early Cenozoic (Palaeocene-Eocene) and the present day. Major taxa studied Shelf-depth marine Mollusca; the four richest modern benthic clades: Imparidentia, Pteriomorphia, Neogastropoda and Littorinimorpha. Methods The K/Pg mass extinction and subsequent recovery was compared between two tropical and one polar region at four distinct stratigraphic intervals. Taxa were identified to species level and assigned to principal families within the four largest benthic molluscan clades. Taxon counts were compared between the three regions at each level and also compared with standardized tropical and polar modern faunas. Results The mass extinction was followed by a distinct 25 Myr phase of evolutionary radiation, during which the tropical-polar contrast in the taxonomic composition of all four clades was strongly enhanced; as the global molluscan fauna expanded, it differentiated into distinct low- and high-latitude components. Main conclusions A marked differentiation of tropical and polar molluscan faunas occurred in the immediate aftermath of the K/Pg mass extinction; it is likely that, at least for the two bivalve clades investigated, this differentiation was initiated well within the Mesozoic era. The greater antiquity of the tropical-polar split suggests that it was not the product of any single controlling factor during the Cenozoic.</t>
  </si>
  <si>
    <t>[Crame, J. Alistair] British Antarctic Survey, Madingley Rd, Cambridge CB3 0ET, England; [McGowan, Alistair J.] BioGeoD, Edinburgh, Midlothian, Scotland</t>
  </si>
  <si>
    <t>Crame, JA (corresponding author), British Antarctic Survey, Madingley Rd, Cambridge CB3 0ET, England.</t>
  </si>
  <si>
    <t>jacr@bas.ac.uk</t>
  </si>
  <si>
    <t>British Antarctic Survey [NE/I005803/1]; NERC [NE/I005803/1] Funding Source: UKRI</t>
  </si>
  <si>
    <t>British Antarctic Survey; NERC(UK Research &amp; Innovation (UKRI)Natural Environment Research Council (NERC))</t>
  </si>
  <si>
    <t>British Antarctic Survey, Grant/Award Number: NE/I005803/1</t>
  </si>
  <si>
    <t>10.1111/geb.13503</t>
  </si>
  <si>
    <t>0Y7QB</t>
  </si>
  <si>
    <t>WOS:000780387000001</t>
  </si>
  <si>
    <t>Richter, A; Schröder, L; Scheinert, M; Popov, SV; Groh, A; Willen, M; Horwath, M; Dietrich, R</t>
  </si>
  <si>
    <t>Richter, Andreas; Schroeder, Ludwig; Scheinert, Mirko; Popov, Sergey, V; Groh, Andreas; Willen, Matthias; Horwath, Martin; Dietrich, Reinhard</t>
  </si>
  <si>
    <t>The hydrostatic control of load-induced height changes above subglacial Lake Vostok</t>
  </si>
  <si>
    <t>Ice dynamics; laser altimetry; subglacial lakes</t>
  </si>
  <si>
    <t>GLACIAL ISOSTATIC-ADJUSTMENT; GREENLAND ICE-SHEET; EAST ANTARCTICA; FLOW VELOCITIES; ALTIMETRY DATA; SATELLITE; RADAR; GNSS; CIRCULATION; CLIMATE</t>
  </si>
  <si>
    <t>Lake Vostok, East Antarctica, represents an extensive water surface at the base of the ice sheet. Snow, ice and atmospheric pressure loads applied anywhere within the lake area produce a hydrostatic response, involving deformations of the ice surface, ice-water interface and particle horizons. A modelling scheme is developed to derive height changes of these surfaces for a given load pattern. It is applied to a series of load scenarios, and predictions based on load fields derived from a regional climate model are compared to observational datasets. Our results show that surface height changes due to snow-buildup anomalies are damped over the lake area, reducing the spatial standard deviation by one-third. The response to air pressure variations, in turn, adds surface height variability. Atmospheric pressure loads may produce height changes of up to +/- 4 cm at daily resolution, but decay rapidly with integration time. The hydrostatic load response has no significant impact neither on ICESat laser campaign biases determined over the lake area nor on vertical particle movements derived from GNSS observations.</t>
  </si>
  <si>
    <t>[Richter, Andreas; Schroeder, Ludwig; Scheinert, Mirko; Groh, Andreas; Willen, Matthias; Horwath, Martin; Dietrich, Reinhard] Tech Univ Dresden, Inst Pianetare Geodasie, Dresden, Germany; [Richter, Andreas] Univ Nacl La Plata, Lab MAGGIA, La Plata, Argentina; [Richter, Andreas] Consejo Nacl Invest Cient &amp; Tecn, Buenos Aires, DF, Argentina; [Popov, Sergey, V] Polar Marine Geosurvey Expedit, Antarctic Div, St Petersburg, Russia; [Popov, Sergey, V] St Petersburg State Univ, Hydrol Dept, St Petersburg, Russia; [Schroeder, Ludwig] Bundesamt Kartog &amp; Geodasie, Leipzig, Germany</t>
  </si>
  <si>
    <t>Technische Universitat Dresden; National University of La Plata; Consejo Nacional de Investigaciones Cientificas y Tecnicas (CONICET); Saint Petersburg State University</t>
  </si>
  <si>
    <t>Richter, A (corresponding author), Tech Univ Dresden, Inst Pianetare Geodasie, Dresden, Germany.;Richter, A (corresponding author), Univ Nacl La Plata, Lab MAGGIA, La Plata, Argentina.;Richter, A (corresponding author), Consejo Nacl Invest Cient &amp; Tecn, Buenos Aires, DF, Argentina.</t>
  </si>
  <si>
    <t>andreas.richter@tu-dresden.de</t>
  </si>
  <si>
    <t>Popov, Sergey/IYJ-2371-2023; Popov, Sergey V./I-2319-2013</t>
  </si>
  <si>
    <t>Popov, Sergey/0000-0002-1830-8658; Popov, Sergey V./0000-0002-1830-8658; Scheinert, Mirko/0000-0002-0892-8941; Willen, Matthias/0000-0001-5226-7231</t>
  </si>
  <si>
    <t>German Research Foundation (DFG) [SCHE1426/20-1, HO4232/4-2, DI473/20-1, DI473/34-1, DI473/38-1]; Russian Foundation for Basic Research (RFBR) [17-55-12003-NNIO, 10-05-91330-NNIO-a]</t>
  </si>
  <si>
    <t>German Research Foundation (DFG)(German Research Foundation (DFG)); Russian Foundation for Basic Research (RFBR)(Russian Foundation for Basic Research (RFBR))</t>
  </si>
  <si>
    <t>surface mass balance and air pressure predictions of the RACMO2.3p2 model were provided to the authors by Jan Melchior van Wessem. All figures and part of the computations were produced using the Generic Mapping Tools (Wessel and others, 2019). This study was jointly funded by the German Research Foundation (DFG, grants SCHE1426/20-1, HO4232/4-2, DI473/20-1, DI473/34-1 and DI473/38-1) and the Russian Foundation for Basic Research (RFBR, grants 17-55-12003-NNIO and 10-05-91330-NNIO-a).</t>
  </si>
  <si>
    <t>10.1017/jog.2022.2</t>
  </si>
  <si>
    <t>4M7SS</t>
  </si>
  <si>
    <t>WOS:000780667400001</t>
  </si>
  <si>
    <t>Trokhymets, V; Savytskiy, O; Zinkovskyi, A; Gupalo, O; Dykyy, I; Lutsenko, D; Berezkina, A; La Mesa, M</t>
  </si>
  <si>
    <t>Trokhymets, Vladlen; Savytskiy, Oleksander; Zinkovskyi, Artem; Gupalo, Olena; Dykyy, Ihor; Lutsenko, Dmytro; Berezkina, Anna; La Mesa, Mario</t>
  </si>
  <si>
    <t>Species composition, distribution and relative abundance of the inshore fish community off the Argentine Islands, Bellingshausen Sea</t>
  </si>
  <si>
    <t>Antarctic fish; Notothenioidei; Population structure; Coastal waters; West Antarctic Peninsula</t>
  </si>
  <si>
    <t>NOTOTHENIA-CORIICEPS; ADAPTIVE RADIATION; ICE; ECOSYSTEM; ECOLOGY; DIET</t>
  </si>
  <si>
    <t>In the last three decades, several interdisciplinary studies investigated the marine ecosystems off the West Antarctic Peninsula (WAP), one of the most impacted areas of the Southern Ocean by the global warming. Although the extent of near-shore habitats along the WAP is wider than elsewhere in Antarctica, the coastal fish communities have been rarely studied. Complementing these previous studies, we provide new data on the species composition, population structure and relative abundance of the inshore fish community living off the Argentine Islands (Bellingshausen Sea). Fish samples were caught all the year round during four different periods spread over ten years (from 2006 to 2017). The fish fauna consisted of fourteen high-Antarctic and low-Antarctic species of notothenioids, most of them belonging to the Nototheniidae. Notothenia coriiceps was by far the most abundant species, followed in decreasing abundance by Chaenocephalus aceratus, Notothenia rossii, Trematomus newnesi and Trematomus bernacchii. Our findings provide context for future ecological studies as this area represents either a spawning and nursery area for multiple species in this study. More generally, the inshore waters off the Argentine Islands represent the southern limit of distribution for several low-Antarctic species, and our results provide critical baseline data for assessing possible disruptions in population dynamics driven by the ongoing climate change.</t>
  </si>
  <si>
    <t>[Trokhymets, Vladlen; Zinkovskyi, Artem] Taras Shevchenko Natl Univ Kyiv, Educ &amp; Sci Ctr, Dept Ecol &amp; Zool, Inst Biol &amp; Med, Hlushkova Ave 2, UA-03127 Kiev, Ukraine; [Savytskiy, Oleksander; Gupalo, Olena] Natl Acad Sci Ukraine, Dept Ichthyol &amp; Hydrobiol River Syst, Inst Hydrobiol, Geroiv Stalingradu Ave 12, UA-04210 Kiev, Ukraine; [Dykyy, Ihor] Ivan Franko Natl Univ Lviv, Fac Biol, Dept Zool, Mykhaila Hrushevskoho St 4, UA-79005 Lvov, Ukraine; [Lutsenko, Dmytro] Natl Acad Sci Ukraine, Inst Problems Cryobiol &amp; Cryomed, Pereyaslayska Str 23, UA-61016 Kharkiv, Ukraine; [Berezkina, Anna] Minist Educ &amp; Sci Ukraine, Natl Antarctic Sci Ctr Ukraine, Taras Sheychenko Blvd 16, UA-01601 Kiev, Ukraine; [La Mesa, Mario] CNR, Inst Polar Sci ISP, Area Ric Bologna, Via P Gobetti 101, I-40129 Bologna, Italy</t>
  </si>
  <si>
    <t>Ministry of Education &amp; Science of Ukraine; Taras Shevchenko National University of Kyiv; National Academy of Sciences Ukraine; Institute of Hydrobiology of the National Academy of Sciences of Ukraine; Ministry of Education &amp; Science of Ukraine; Ivan Franko National University Lviv; National Academy of Sciences Ukraine; Institute for Problems of Cryobiology &amp; Cryomedicine of NASU; Ministry of Education &amp; Science of Ukraine; State Institution National Antarctic Scientific Center; Consiglio Nazionale delle Ricerche (CNR); Istituto di Scienze Polari (ISP-CNR)</t>
  </si>
  <si>
    <t>Lutsenko, Dmytro/AAD-3176-2019</t>
  </si>
  <si>
    <t>Lutsenko, Dmytro/0000-0003-0554-3437; Berezkina, Anna/0000-0001-5886-9620; Trokhymets, Vladlen/0000-0001-6367-1897; Hupalo, Olena/0000-0002-3465-4737; Zinkovskyi, Artem/0000-0002-6424-5854</t>
  </si>
  <si>
    <t>National Antarctic Scientific Center of Ukraine; Institute of Biology and Medicine of Taras Shevchenko National University of Kyiv</t>
  </si>
  <si>
    <t>The authors are grateful to the National Antarctic Scientific Center of Ukraine for financing and organizing the collection and transport of the samples, as well as for the full support to the study. We are much indebted to the Institute of Biology and Medicine of Taras Shevchenko National University of Kyiv and to the Institute of Hydrobiology of the National Academy of Sciences of Ukraine for providing all the laboratory facilities. The corresponding author would like to dedicate the paper to all Ukrainian people.</t>
  </si>
  <si>
    <t>10.1007/s00300-022-03040-5</t>
  </si>
  <si>
    <t>WOS:000781154400001</t>
  </si>
  <si>
    <t>Bonizzoni, S; Hamilton, S; Reeves, RR; Genov, T; Bearzi, G</t>
  </si>
  <si>
    <t>Bonizzoni, Silvia; Hamilton, Sheryl; Reeves, Randall R.; Genov, Tilen; Bearzi, Giovanni</t>
  </si>
  <si>
    <t>Odontocete cetaceans foraging behind trawlers, worldwide</t>
  </si>
  <si>
    <t>REVIEWS IN FISH BIOLOGY AND FISHERIES</t>
  </si>
  <si>
    <t>Adaptation; Behavior; Conservation; Fisheries; Interactions; Marine mammals</t>
  </si>
  <si>
    <t>BOTTLE-NOSED DOLPHINS; PORPOISES PHOCOENA-PHOCOENA; MARINE MAMMAL BYCATCH; PEARL RIVER ESTUARY; TURSIOPS-TRUNCATUS; SOUSA-CHINENSIS; KILLER WHALES; FISHING GEAR; BY-CATCH; HUMPBACK DOLPHINS</t>
  </si>
  <si>
    <t>Several populations of odontocete cetaceans, including at least 19 species, have modified their behavior and adapted to foraging in association with trawlers. We review information on odontocete interactions with different types of trawlers across 13 Food and Agriculture Organization fishing areas around the world. We also review knowledge gaps, the effects on odontocete ecology, distribution, behavior and social organization, the main mitigation options, and some management avenues that could help reduce incidental mortality. Trawlers involved in the interactions varied greatly in gear and target species, implying odontocetes have developed behavioral specializations to forage under a variety of conditions. Specialized behavior included venturing into a moving trawl net to feed on the organisms trapped in the net, feeding on fish stirred up by the net, extracting fish from the outer mesh, feeding on catch lost during hauling, and scavenging on discarded catch. Foraging behind trawlers facilitates access to prey, and in some instances may compensate for scarcity of natural prey within areas exposed to intensive fishing or environmental degradation. This opportunistic foraging strategy, however, exposes the animals to potential harm and mortality in trawl gear. The combined effect of facilitated foraging and bycatch on the status and trends of odontocete populations is unknown. The economic damage caused by odontocetes, e.g. in terms of loss of marketable catch and gear damage, remains largely conjectural. Attempts to reduce depredation and/or bycatch in trawl gear have included acoustic deterrents and exclusion devices installed in nets, although neither technique has proven to be consistently effective.</t>
  </si>
  <si>
    <t>[Bonizzoni, Silvia; Bearzi, Giovanni] Dolphin Biol &amp; Conservat, Via Cellina 5, I-33084 Cordenons, PN, Italy; [Bonizzoni, Silvia; Bearzi, Giovanni] OceanCare, Gerbestr 6, CH-8820 Wadenswil, Switzerland; [Hamilton, Sheryl] Univ Tasmania, Inst Marine &amp; Antarctic Studies &amp; Ctr Marine Soci, Hobart, Tas 7001, Australia; [Reeves, Randall R.] IUCN SSC Cetacean Specialist Grp, 27 Chandler Lane, Hudson, PQ J0P 1H0, Canada; [Reeves, Randall R.] Okapi Wildlife Associates, 27 Chandler Lane, Hudson, PQ J0P 1H0, Canada; [Reeves, Randall R.] US Marine Mammal Commiss, 4340 East West Highway,Room 700, Bethesda, MD 20814 USA; [Genov, Tilen] Morigenos Slovenian Marine Mammal Soc, Kidricevo nabrezje 4, Piran 6330, Slovenia; [Genov, Tilen] Univ St Andrews, Scottish Oceans Inst, Sea Mammal Res Unit, St Andrews KY16 8LB, Fife, Scotland; [Bearzi, Giovanni] CNR, Natl Res Council, ISMAR Inst Marine Sci, Arsenale Tesa 104,Castello 2737-F, I-30122 Venice, Italy</t>
  </si>
  <si>
    <t>University of Tasmania; University of St Andrews; Consiglio Nazionale delle Ricerche (CNR); Istituto di Scienze Marine (ISMAR-CNR)</t>
  </si>
  <si>
    <t>Bonizzoni, S (corresponding author), Dolphin Biol &amp; Conservat, Via Cellina 5, I-33084 Cordenons, PN, Italy.</t>
  </si>
  <si>
    <t>silvia.bonizzoni@gmail.com; sheryl.hamilton@utas.edu.au; rrreeves@okapis.ca; tilen.genov@gmail.com; giovanni.bearzi@gmail.com</t>
  </si>
  <si>
    <t>Bearzi, Giovanni/L-6115-2016</t>
  </si>
  <si>
    <t>Bearzi, Giovanni/0000-0001-6633-3324; Reeves, Randall/0000-0002-6512-6507; Genov, Tilen/0000-0003-4814-8891; Bonizzoni, Silvia/0000-0001-7331-4439</t>
  </si>
  <si>
    <t>0960-3166</t>
  </si>
  <si>
    <t>1573-5184</t>
  </si>
  <si>
    <t>REV FISH BIOL FISHER</t>
  </si>
  <si>
    <t>Rev. Fish. Biol. Fish.</t>
  </si>
  <si>
    <t>10.1007/s11160-022-09712-z</t>
  </si>
  <si>
    <t>Fisheries; Marine &amp; Freshwater Biology</t>
  </si>
  <si>
    <t>3C4UR</t>
  </si>
  <si>
    <t>WOS:000779958600001</t>
  </si>
  <si>
    <t>Kelly, R; Foley, P; Stephenson, RL; Hobday, AJ; Pecl, GT; Boschetti, F; Cvitanovic, C; Fleming, A; Fulton, EA; Nash, KL; Neis, B; Singh, GG; van Putten, EI</t>
  </si>
  <si>
    <t>Kelly, Rachel; Foley, Paul; Stephenson, Robert L.; Hobday, Alistair J.; Pecl, Gretta T.; Boschetti, Fabio; Cvitanovic, Christopher; Fleming, Aysha; Fulton, E. A.; Nash, Kirsty L.; Neis, Barbara; Singh, Gerald G.; van Putten, E. Ingrid</t>
  </si>
  <si>
    <t>Foresighting future oceans: Considerations and opportunities</t>
  </si>
  <si>
    <t>MARINE POLICY</t>
  </si>
  <si>
    <t>Foresighting; Ocean futures; Futures literacy; Equity</t>
  </si>
  <si>
    <t>SCENARIO DEVELOPMENT; PATHWAYS; SCIENCE; POLICY; SUSTAINABILITY; METHODOLOGY; DYNAMICS; LESSONS; DESIGN; WORK</t>
  </si>
  <si>
    <t>Climate change, overexploitation, pollution, and other pressures continue to degrade and threaten the marine environment and associated systems. Successfully managing and governing marine socioecological systems in light of these compounding pressures requires approaches that move beyond reactive and business-as-usual responses. Specifically, achieving ocean health and sustainability in these socioecological systems requires strengthening and applying processes that proactively imagine alternatives and plan for preferred futures. This paper contributes to emerging dialogue on the need to co-create visions of ocean futures, with a focus on the concept of foresighting. Foresighting is a process of creatively identifying possible, plausible, alternative socioecological futures in the medium to long term, and is increasingly seen as an approach that can support decision-making under uncertainty about the future. Here, we explore the origins and practical applications of foresighting from across the literature, before focusing on its (potential) application in the marine context. We discuss which elements are potentially useful or require more engagement to facilitate the visioning of shared futures for marine socioecological systems. We consider key dimensions of foresighting that require greater attention, including futures literacy, inclusivity, and inter- and transdisciplinarity. We also highlight important issues for consideration, including whether foresighting efforts should be informed by experts or by broader community participation, and discuss potential ethical issues associated with engaging marine stakeholders in foresighting. We determine that foresighting has considerable potential in the marine context for connecting stakeholder groups in the process of imagining and shaping equitable and sustainable ocean futures, but several methodological and ethical issues - including who gets to participate, and how - require further critical and careful consideration to create conditions for success.</t>
  </si>
  <si>
    <t>[Kelly, Rachel; Foley, Paul; Stephenson, Robert L.; Neis, Barbara; Singh, Gerald G.] Mem Univ Newfoundland, Future Ocean &amp; Coastal Infrastruct Foci, St John, NF, Canada; [Kelly, Rachel; Stephenson, Robert L.; Hobday, Alistair J.; Pecl, Gretta T.; Cvitanovic, Christopher; Fleming, Aysha; Fulton, E. A.; Nash, Kirsty L.; van Putten, E. Ingrid] Univ Tasmania, Ctr Marine Socioecol, Hobart, Tas 7005, Australia; [Kelly, Rachel; Pecl, Gretta T.; Nash, Kirsty L.] Univ Tasmania, Inst Marine &amp; Antarctic Studies, Hobart, Tas 7005, Australia; [Kelly, Rachel; Hobday, Alistair J.; Fulton, E. A.; van Putten, E. Ingrid] CSIRO Oceans &amp; Atmosphere, Hobart, Tas 7000, Australia; [Foley, Paul] Mem Univ Newfoundland, Environm Policy Inst, Sch Sci &amp; Environm, Grenfell Campus, Corner Brook, NF, Canada; [Stephenson, Robert L.] Fisheries &amp; Oceans Canada, St Andrews, NB, Canada; [Stephenson, Robert L.] Univ New Brunswick, St Andrews Biol Stn, St Andrews, NB, Canada; [Boschetti, Fabio] CSIRO Oceans &amp; Atmosphere, Perth, WA, Australia; [Cvitanovic, Christopher] Australian Natl Univ, Australian Natl Ctr Publ Awareness Sci, Canberra, ACT, Australia; [Fleming, Aysha] Univ Tasmania, CSIRO Land &amp; Water, Hobart, Tas 7005, Australia; [Singh, Gerald G.] Mem Univ Newfoundland, Dept Geog, St John, NF, Canada; [Singh, Gerald G.] Univ British Columbia, Inst Oceans &amp; Fisheries, Vancouver, BC, Canada</t>
  </si>
  <si>
    <t>Memorial University Newfoundland; University of Tasmania; University of Tasmania; Commonwealth Scientific &amp; Industrial Research Organisation (CSIRO); Memorial University Newfoundland; Fisheries &amp; Oceans Canada; Fisheries &amp; Oceans Canada; University of New Brunswick; Commonwealth Scientific &amp; Industrial Research Organisation (CSIRO); Australian National University; Commonwealth Scientific &amp; Industrial Research Organisation (CSIRO); University of Tasmania; Memorial University Newfoundland; University of British Columbia</t>
  </si>
  <si>
    <t>Kelly, R (corresponding author), Mem Univ Newfoundland, Future Ocean &amp; Coastal Infrastruct Foci, St John, NF, Canada.;Kelly, R (corresponding author), Univ Tasmania, Ctr Marine Socioecol, Hobart, Tas 7005, Australia.;Kelly, R (corresponding author), Univ Tasmania, Inst Marine &amp; Antarctic Studies, Hobart, Tas 7005, Australia.;Kelly, R (corresponding author), CSIRO Oceans &amp; Atmosphere, Hobart, Tas 7000, Australia.</t>
  </si>
  <si>
    <t>r.kelly@utas.edu.au</t>
  </si>
  <si>
    <t>Fleming, Aysha/E-8753-2011; Pecl, Gretta/D-7267-2011; Nash, Kirsty L/B-5456-2015; Hobday, Alistair/A-1460-2012; Fulton, Beth/A-2871-2008; Boschetti, Fabio/A-1607-2015</t>
  </si>
  <si>
    <t>Fleming, Aysha/0000-0001-9895-1928; Pecl, Gretta/0000-0003-0192-4339; Nash, Kirsty L/0000-0003-0976-3197; Boschetti, Fabio/0000-0001-8999-6913</t>
  </si>
  <si>
    <t>Future Ocean and Coastal Infrastructures (FOCI), an Ocean Frontier Institute project; Ocean Frontier Institute; ARC Future Fellowship; Australian Research Council [DE210100606]; Nippon Foundation Ocean Nexus Center at the University of Washington EarthLab; Memorial University; Australian Research Council [DE210100606] Funding Source: Australian Research Council</t>
  </si>
  <si>
    <t>Future Ocean and Coastal Infrastructures (FOCI), an Ocean Frontier Institute project; Ocean Frontier Institute; ARC Future Fellowship(Australian Research Council); Australian Research Council(Australian Research Council); Nippon Foundation Ocean Nexus Center at the University of Washington EarthLab; Memorial University; Australian Research Council(Australian Research Council)</t>
  </si>
  <si>
    <t>This research, and RK, PF, RLS, received funding from Future Ocean and Coastal Infrastructures (FOCI), an Ocean Frontier Institute project. Research funding was provided by the Ocean Frontier Institute through an award from the Canada First Research Excellence Fund. GP was supported by an ARC Future Fellowship. KLN was supported by funding from the Australian Research Council (DE210100606). GGS acknowledges support from the Nippon Foundation Ocean Nexus Center at the University of Washington EarthLab, in collaboration with Memorial University.</t>
  </si>
  <si>
    <t>0308-597X</t>
  </si>
  <si>
    <t>1872-9460</t>
  </si>
  <si>
    <t>MAR POLICY</t>
  </si>
  <si>
    <t>Mar. Pol.</t>
  </si>
  <si>
    <t>10.1016/j.marpol.2022.105021</t>
  </si>
  <si>
    <t>Environmental Studies; International Relations</t>
  </si>
  <si>
    <t>Environmental Sciences &amp; Ecology; International Relations</t>
  </si>
  <si>
    <t>2S1EY</t>
  </si>
  <si>
    <t>WOS:000821544100001</t>
  </si>
  <si>
    <t>Bezus, B; Esquivel, JCC; Cavlitto, S; Cavello, I</t>
  </si>
  <si>
    <t>Bezus, Brenda; Esquivel, Juan Carlos Contreras; Cavlitto, Sebastian; Cavello, Ivana</t>
  </si>
  <si>
    <t>Pectin extraction from lime pomace by cold-active polygalacturonase-assisted method</t>
  </si>
  <si>
    <t>INTERNATIONAL JOURNAL OF BIOLOGICAL MACROMOLECULES</t>
  </si>
  <si>
    <t>Citrus aurantifolia; Cold-active enzyme; Tausonia pullulans; Antarctic yeast</t>
  </si>
  <si>
    <t>ENDO-POLYGALACTURONASE; ENZYMATIC EXTRACTION; KINETIC-PROPERTIES; YEASTS; ADAPTATION; ACID</t>
  </si>
  <si>
    <t>An Antarctic yeast was cultivated to produce and enzymatic extract with polygalacturonase activity, whose biochemical properties were studied. It assisted pectin extraction from lime pomace at 20 degrees C. The extract pro-duced by Tausonia pullulans 8E had an optimum temperature of 40 degrees C and optimum pH of 5.0. At 20 degrees C, it displayed 54% of relative activity. A good pH-stability and thermostability were observed. Hg}2 and Co}2 inhibited its activity in 40 and 11%, respectively. Pectin was obtained from lime pomace at 20 degrees C, with 15% of yield after 120 min extraction. Uronic acid (46%) and neutral sugars (53%) were determined. Pectin's molecular weight was estimated in the order of 100,000 g mol-1. By anion-exchange chromatography, pectin-linked and free neutral sugars were observed. The high-methoxyl pectin was used to prepare low-calorie gels. It was demonstrated that this cold-active enzyme allows enzymatic-assisted pectin extraction at 20 degrees C.</t>
  </si>
  <si>
    <t>[Bezus, Brenda; Esquivel, Juan Carlos Contreras; Cavello, Ivana] Ctr Invest &amp; Desarrollo Fermentac Ind CINDEFI, UNLP, CCT La Plata, CONICET, Calle 47 &amp; 115,B1900ASH, La Plata, Buenos Aires, Argentina; [Cavlitto, Sebastian] Univ Autonoma Coahuila, Sch Chem, Unidad Saltillo, Lab Appl Glycobiotechnol, Saltillo 2528, Coahuila, Mexico</t>
  </si>
  <si>
    <t>National University of La Plata; Consejo Nacional de Investigaciones Cientificas y Tecnicas (CONICET); Universidad Autonoma de Coahuila</t>
  </si>
  <si>
    <t>Cavello, I (corresponding author), Ctr Invest &amp; Desarrollo Fermentac Ind CINDEFI, UNLP, CCT La Plata, CONICET, Calle 47 &amp; 115,B1900ASH, La Plata, Buenos Aires, Argentina.</t>
  </si>
  <si>
    <t>bbezus@biotec.quimica.unlp.edu.ar; carlos.contreras@uadec.edu.mx; cavalitto@quimica.unlp.edu.ar; icavello@biotec.quimica.unlp.edu.ar</t>
  </si>
  <si>
    <t>National Scientific and Technological Research Council [PICT 2018-3194, PICT 2019-3123]; National Agency for the Pro-motion of Science and Technology (ANPCyT); United Nations University Programme for Biotechnology in Latin America and the Caribbean (UNU-BIOLAC)</t>
  </si>
  <si>
    <t>National Scientific and Technological Research Council; National Agency for the Pro-motion of Science and Technology (ANPCyT)(ANPCyT); United Nations University Programme for Biotechnology in Latin America and the Caribbean (UNU-BIOLAC)</t>
  </si>
  <si>
    <t>This work was supported by grants from the National Scientific and Technological Research Council and the National Agency for the Promotion of Science and Technology (ANPCyT, PICT 2018-3194 and PICT 2019-3123) . We thank The United Nations University Programme for Biotechnology in Latin America and the Caribbean (UNU-BIOLAC) for B. B. Fellowship in which the experiments were carried out.</t>
  </si>
  <si>
    <t>0141-8130</t>
  </si>
  <si>
    <t>1879-0003</t>
  </si>
  <si>
    <t>INT J BIOL MACROMOL</t>
  </si>
  <si>
    <t>Int. J. Biol. Macromol.</t>
  </si>
  <si>
    <t>A</t>
  </si>
  <si>
    <t>10.1016/j.ijbiomac.2022.04.019</t>
  </si>
  <si>
    <t>Biochemistry &amp; Molecular Biology; Chemistry, Applied; Polymer Science</t>
  </si>
  <si>
    <t>Biochemistry &amp; Molecular Biology; Chemistry; Polymer Science</t>
  </si>
  <si>
    <t>1I1XF</t>
  </si>
  <si>
    <t>WOS:000797028100009</t>
  </si>
  <si>
    <t>Wang, Y; Zhao, C; Gladstone, R; Ben, GF; Warner, R</t>
  </si>
  <si>
    <t>Wang, Yu; Zhao, Chen; Gladstone, Rupert; Ben Galton-Fenzi; Warner, Roland</t>
  </si>
  <si>
    <t>Thermal structure of the Amery Ice Shelf from borehole observations and simulations</t>
  </si>
  <si>
    <t>The Amery Ice Shelf (AIS), East Antarctica, has a layered structure, due to the presence of both meteoric and marine ice. In this study, the thermal structure of the AIS and its spatial pattern are evaluated and analysed through borehole observations and numerical simulations with Elmer/Ice, a full-Stokes ice sheet/shelf model. In the area with marine ice, a near-isothermal basal layer up to 120 m thick is observed, which closely conforms to the pressure-dependent freezing temperature of seawater. In the area experiencing basal melting, large temperature gradients, up to -0.36 degrees C m(-1), are observed at the base. Threedimensional (3-D) steady-state temperature simulations with four different basal mass balance (BMB) datasets for the AIS reveal a high sensitivity of ice shelf thermal structure to the distribution of BMB. We also construct a one-dimensional (1-D) transient temperature column model to simulate the process of an ice column moving along a flowline with corresponding boundary conditions, which achieves slightly better agreement with borehole observations than the 3-D simulations. Our simulations reveal internal cold ice advected from higher elevations by the AIS's main inlet glaciers, warming downstream along the ice flow, and we suggest the thermal structures dominated by these cold cores may commonly exist among Antarctic ice shelves. For the marine ice, the porous structure of its lower layer and interactions with ocean below determine the local thermal regime and give rise to the near-isothermal phenomenon. The limitations in our simulations identify the need for ice shelf-ocean coupled models with improved thermodynamics and more comprehensive boundary conditions. Given the temperature dependence of ice rheology, the depth-averaged ice stiffness factor &lt;(B(T'))over bar&gt; derived from the most realistic simulated temperature field is presented to quantify the influence of the temperature distribution on ice shelf dynamics. The full 3-D temperature field provides a useful input to future modelling studies.</t>
  </si>
  <si>
    <t>[Wang, Yu; Zhao, Chen; Ben Galton-Fenzi; Warner, Roland] Univ Tasmania, Inst Marine &amp; Antarctic Studies, Australian Antarctic Program Partnership, Hobart, Tas, Australia; [Wang, Yu] Ocean Univ China, Coll Ocean &amp; Atmospher Sci, Qingdao, Peoples R China; [Wang, Yu] Beijing Normal Univ, Coll Global Change &amp; Earth Syst Sci, Beijing, Peoples R China; [Gladstone, Rupert] Univ Lapland, Arctic Ctr, Rovaniemi, Finland; [Ben Galton-Fenzi] Australian Antarctic Div, Kingston, Australia; [Ben Galton-Fenzi] Univ Tasmania, Australian Ctr Excellence Antarctic Sci, Hobart, Tas, Australia</t>
  </si>
  <si>
    <t>University of Tasmania; Ocean University of China; Beijing Normal University; University of Lapland; Australian Antarctic Division; University of Tasmania</t>
  </si>
  <si>
    <t>Wang, Y (corresponding author), Univ Tasmania, Inst Marine &amp; Antarctic Studies, Australian Antarctic Program Partnership, Hobart, Tas, Australia.;Wang, Y (corresponding author), Ocean Univ China, Coll Ocean &amp; Atmospher Sci, Qingdao, Peoples R China.;Wang, Y (corresponding author), Beijing Normal Univ, Coll Global Change &amp; Earth Syst Sci, Beijing, Peoples R China.</t>
  </si>
  <si>
    <t>yu.wang0@utas.edu.au</t>
  </si>
  <si>
    <t>Warner, Robert R./M-5342-2013; Warner, Roland Charles/ISS-2485-2023; Zhao, Chen/S-2693-2019; Gladstone, Rupert/C-1086-2013</t>
  </si>
  <si>
    <t>Warner, Roland Charles/0000-0002-9778-3544; Zhao, Chen/0000-0003-0368-1334; Wang, Yu/0000-0001-9070-6004; Galton-Fenzi, Benjamin Keith/0000-0003-1404-4103; Gladstone, Rupert/0000-0002-1582-3857</t>
  </si>
  <si>
    <t>Australian Antarctic Program Partnership (AAPP) [ASCI000002]; National Natural Science Foundation of China [41941006]; Academy of Finland [322430]; Australian Government; Australian Antarctic Division [AAS 1164, 4096]; [AAS 4506]; Academy of Finland (AKA) [322430] Funding Source: Academy of Finland (AKA)</t>
  </si>
  <si>
    <t>Australian Antarctic Program Partnership (AAPP); National Natural Science Foundation of China(National Natural Science Foundation of China (NSFC)); Academy of Finland(Research Council of Finland); Australian Government(Australian Government); Australian Antarctic Division; ; Academy of Finland (AKA)(Research Council of Finland)</t>
  </si>
  <si>
    <t>Yu Wang, Chen Zhao, and Ben Galton-Fenzi are supported under the Australian Antarctic Program Partnership (AAPP; Project ID ASCI000002). Yu Wang is also supported by the National Natural Science Foundation of China (no.41941006). Roland Warner is a University Associate with the AAPP. The Australian Antarctic Program Partnership is led by the University of Tasmania and includes the Australian Antarctic Division, CSIRO Oceans and Atmosphere, Geoscience Australia, the Bureau of Meteorology, the Tasmanian State Government and Australia's Integrated Marine Observing System. Rupert Gladstone is supported by the Academy of Finland (grant no. 322430). This project received grant funding from the Australian Government as part of the Antarctic Science Collaboration Initiative program. We thank Susheel Adusumilli and colleagues for a discussion about marine ice thickness of the Amery Ice Shelf. The AWS data were provided by project AAS 4506 (Observatory of East Antarctic near-surface atmosphere and cryosphere). Lastly, we acknowledge the contributions of all the AMISOR field teams and operations support staff and the support of the Australian Antarctic Division through projects AAS 1164 and 4096.</t>
  </si>
  <si>
    <t>APR 8</t>
  </si>
  <si>
    <t>10.5194/tc-16-1221-2022</t>
  </si>
  <si>
    <t>1B3WQ</t>
  </si>
  <si>
    <t>WOS:000792369600001</t>
  </si>
  <si>
    <t>Almela, P; Velázquez, D; Rico, E; Justel, A; Quesada, A</t>
  </si>
  <si>
    <t>Almela, Pablo; Velazquez, David; Rico, Eugenio; Justel, Ana; Quesada, Antonio</t>
  </si>
  <si>
    <t>Marine Vertebrates Impact the Bacterial Community Composition and Food Webs of Antarctic Microbial Mats</t>
  </si>
  <si>
    <t>penguins; nitrogen; phosphorus; microbial mat; trophic relationships; bacterial community; Antarctica</t>
  </si>
  <si>
    <t>BYERS PENINSULA; FRESH-WATER; ROSS-ISLAND; PENGUIN POPULATIONS; NITROGEN DYNAMICS; CRYOCONITE HOLES; STABLE-ISOTOPES; LIMITATION; CARBON; LAKE</t>
  </si>
  <si>
    <t>The biological activity of marine vertebrates represents an input of nutrients for Antarctic terrestrial biota, with relevant consequences for the entire ecosystem. Even though microbial mats assemble most of the biological diversity of the non-marine Antarctica, the effects of the local macrofauna on these microecosystems remain understudied. Using 16S rRNA gene sequencing, C-13 and N-15 stable isotopes, and by characterizing the P and N-derived nutrient levels, we evaluated the effects of penguins and other marine vertebrates on four microbial mats located along the Antarctic Peninsula. Our results show that P concentrations, C/N and N/P ratios, and delta N-15 values of penguin-impacted microbial mats were significantly higher than values obtained for macrofauna-free sample. Nutrients derived from penguin colonies and other marine vertebrates altered the trophic interactions of communities within microbial mats, as well as the relative abundance and trophic position of meiofaunal groups. Twenty-nine bacterial families from eight different phyla significantly changed with the presence of penguins, with inorganic nitrogen (NH4+ and NO3-) and delta N-15 appearing as key factors in driving bacterial community composition. An apparent change in richness, diversity, and dominance of prokaryotes was also related to penguin-derived nutrients, affecting N utilization strategies of microbial mats and relating oligotrophic systems to communities with a higher metabolic versatility. The interdisciplinary approach of this study makes these results advance our understanding of interactions and composition of communities inhabiting microbial mats from Antarctica, revealing how they are deeply associated with marine animals.</t>
  </si>
  <si>
    <t>[Almela, Pablo; Velazquez, David; Quesada, Antonio] Univ Autonoma Madrid, Dept Biol, Madrid, Spain; [Rico, Eugenio] Univ Autonoma Madrid, Dept Ecol, Madrid, Spain; [Rico, Eugenio; Quesada, Antonio] Univ Autonoma Madrid, Ctr Invest Biodiversidad &amp; Cambio Global CIBC UAM, Madrid, Spain; [Justel, Ana] Univ Carlos III Madrid, UC3M Santander Big Data Inst IBiDat, Madrid, Spain; [Justel, Ana] Univ Autonoma Madrid, Dept Math, Madrid, Spain</t>
  </si>
  <si>
    <t>Autonomous University of Madrid; Autonomous University of Madrid; Autonomous University of Madrid; Universidad Carlos III de Madrid; Autonomous University of Madrid</t>
  </si>
  <si>
    <t>Quesada, A (corresponding author), Univ Autonoma Madrid, Dept Biol, Madrid, Spain.;Quesada, A (corresponding author), Univ Autonoma Madrid, Ctr Invest Biodiversidad &amp; Cambio Global CIBC UAM, Madrid, Spain.</t>
  </si>
  <si>
    <t>Almela, Pablo/KHC-9273-2024; Quesada, Antonio/L-2430-2013; Justel, Ana/A-3955-2010; Rico, Eugenio/L-2429-2013; Velazquez, David/M-2309-2017</t>
  </si>
  <si>
    <t>Almela, Pablo/0000-0001-8200-861X; Justel, Ana/0000-0003-3335-0579; Rico, Eugenio/0000-0001-6978-645X; Velazquez, David/0000-0002-4127-8370</t>
  </si>
  <si>
    <t>Spanish Agencia Estatal de Investigacion (AEI); Fondo Europeo de Desarrollo Regional (FEDER) [PID2020-116520RB-I00, CTM2016-79741-R, PCIN-2016-001]; MINECO [BES-2017-080558]</t>
  </si>
  <si>
    <t>Spanish Agencia Estatal de Investigacion (AEI)(Spanish Government); Fondo Europeo de Desarrollo Regional (FEDER)(European Union (EU)Spanish Government); MINECO(Spanish Government)</t>
  </si>
  <si>
    <t>This work was supported by the Spanish Agencia Estatal de Investigacion (AEI) and Fondo Europeo de Desarrollo Regional (FEDER), Grants PID2020-116520RB-I00, CTM2016-79741-R, and PCIN-2016-001. PA was supported by a FPI-contract fellowship (BES-2017-080558) from MINECO.</t>
  </si>
  <si>
    <t>10.3389/fmicb.2022.841175</t>
  </si>
  <si>
    <t>1B2KR</t>
  </si>
  <si>
    <t>WOS:000792270100001</t>
  </si>
  <si>
    <t>Tilmes, S; Visioni, D; Jones, A; Haywood, J; Séférian, R; Nabat, P; Boucher, O; Bednarz, EM; Niemeier, U</t>
  </si>
  <si>
    <t>Tilmes, Simone; Visioni, Daniele; Jones, Andy; Haywood, James; Seferian, Roland; Nabat, Pierre; Boucher, Olivier; Bednarz, Ewa Monica; Niemeier, Ulrike</t>
  </si>
  <si>
    <t>Stratospheric ozone response to sulfate aerosol and solar dimming climate interventions based on the G6 Geoengineering Model Intercomparison Project (GeoMIP) simulations</t>
  </si>
  <si>
    <t>This study assesses the impacts of stratospheric aerosol intervention (SAI) and solar dimming on stratospheric ozone based on the G6 Geoengineering Model Intercomparison Project (GeoMIP) experiments, called G6sulfur and G6solar. For G6sulfur, an enhanced stratospheric sulfate aerosol burden reflects some of the incoming solar radiation back into space to cool the surface climate, while for G6solar, the reduction in the global solar constant in the model achieves the same goal. Both experiments use the high emissions scenario of SSP5-8.5 as the baseline experiment and define surface temperature from the medium emission scenario of SSP2-4.5 as the target. In total, six Earth system models (ESMs) performed these experiments, and three out of the six models include interactive stratospheric chemistry. The increase in absorbing sulfate aerosols in the stratosphere results in a heating of the lower tropical stratospheric temperatures by between 5 to 13 K for the six different ESMs, leading to changes in stratospheric transport, water vapor, and other related changes. The increase in the aerosol burden also increases aerosol surface area density, which is important for heterogeneous chemical reactions. The resulting changes in the springtime Antarctic ozone between the G6sulfur and SSP5-8.5, based on the three models with interactive chemistry, include an initial reduction in total column ozone (TCO) of 10 DU (ranging between 0-30 DU for the three models) and up to 20 DU (between 10-40 DU) by the end of the century. The relatively small reduction in TCO for the multi-model mean in the first 2 decades results from variations in the required sulfur injections in the models and differences in the complexity of the chemistry schemes. In contrast, in the Northern Hemisphere (NH) high latitudes, no significant changes can be identified due to the large natural variability in the models, with little change in TCO by the end of the century. However, all three models with interactive chemistry consistently simulate an increase in TCO in the NH mid-latitudes up to 20 DU, compared to SSP5-8.5, in addition to the 20 DU increase resulting from increasing greenhouse gases between SSP2-4.5 and SSP5-8.5. In contrast to G6sulfur, G6solar does not significantly change stratospheric temperatures compared to the baseline simulation. Solar dimming results in little change in TCO compared to SSP5-8.5. Only in the tropics does G6solar result in an increase of TCO of up to 8 DU, compared to SSP2-4.5, which may counteract the projected reduction in SSP5-8.5. This work identifies differences in the response of SAI and solar dimming on ozone for three ESMs with interactive chemistry, which are partly due to the differences and shortcomings in the complexity of aerosol microphysics, chemistry, and the description of ozone photolysis. It also identifies that solar dimming, if viewed as an analog to SAI using a predominantly scattering aerosol, would succeed in reducing tropospheric and surface temperatures, but any stratospheric changes due to the high forcing greenhouse gas scenario, including the potential harmful increase in TCO beyond historical values, would prevail.</t>
  </si>
  <si>
    <t>[Tilmes, Simone] Natl Ctr Atmospher Res, Atmospher Chem Observat &amp; Modeling Lab, Boulder, CO 80307 USA; [Visioni, Daniele; Bednarz, Ewa Monica] Cornell Univ, Sibley Sch Mech &amp; Aerosp Engn, Ithaca, NY 14853 USA; [Jones, Andy; Haywood, James] Met Off Hadley Ctr, Exeter EX1 3PB, Devon, England; [Haywood, James] Univ Exeter, Coll Engn Math &amp; Phys Sci, Exeter, Devon, England; [Seferian, Roland] Univ Toulouse, CNRS, Meteo France, CNRM, Toulouse, France; [Nabat, Pierre; Boucher, Olivier] Sorbonne Univ, Inst Pierre Simon Laplace, CNRS, Paris, France; [Niemeier, Ulrike] Max Planck Inst Meteorol, Atmosphere Earth Syst, Hamburg, Germany</t>
  </si>
  <si>
    <t>National Center Atmospheric Research (NCAR) - USA; Cornell University; Met Office - UK; Hadley Centre; University of Exeter; Meteo France; Universite de Toulouse; Centre National de la Recherche Scientifique (CNRS); Universite Paris Saclay; Sorbonne Universite; Universite Paris Cite; Centre National de la Recherche Scientifique (CNRS); CNRS - National Institute for Earth Sciences &amp; Astronomy (INSU); Max Planck Society</t>
  </si>
  <si>
    <t>Tilmes, S (corresponding author), Natl Ctr Atmospher Res, Atmospher Chem Observat &amp; Modeling Lab, Boulder, CO 80307 USA.</t>
  </si>
  <si>
    <t>tilmes@ucar.edu</t>
  </si>
  <si>
    <t>Tilmes, Simone/JUV-6618-2023; Séférian, Roland/ABD-5465-2021; Haywood, Jim/GQA-6691-2022; Visioni, Daniele/O-7824-2016; Boucher, Olivier/K-7483-2012</t>
  </si>
  <si>
    <t>Tilmes, Simone/0000-0002-6557-3569; Séférian, Roland/0000-0002-2571-2114; Visioni, Daniele/0000-0002-7342-2189; Haywood, Jim/0000-0002-2143-6634; Bednarz, Ewa Monika/0000-0002-7441-0497; Boucher, Olivier/0000-0003-2328-5769</t>
  </si>
  <si>
    <t>National Science Foundation, USA [CBET-1931641]; Atkinson Center for a Sustainable Future at Cornell University; Agence Nationale de la Recherce, France [ANR-11-IDEX-0004-17-EURE-0006]; UK Department for Business, Energy and Industrial Strategy (BEIS); Deutsche Forschungsgemeinschaft Unit VollImpact, Germany [398006378]; European Union; Deutsches Klima Rechenzentrum (DKRZ); Atomic Energy Commission (CEA) [2019-A0060107732, 2020-A0080107732]; Meteo-France/DSI supercomputing center; French Alternative Energies; ESM2025 -Earth System Models for the Future [820829, 101003536]; NERC [NE/W003880/1] Funding Source: UKRI</t>
  </si>
  <si>
    <t>National Science Foundation, USA(National Science Foundation (NSF)); Atkinson Center for a Sustainable Future at Cornell University; Agence Nationale de la Recherce, France(Agence Nationale de la Recherche (ANR)); UK Department for Business, Energy and Industrial Strategy (BEIS); Deutsche Forschungsgemeinschaft Unit VollImpact, Germany(German Research Foundation (DFG)); European Union(European Union (EU)); Deutsches Klima Rechenzentrum (DKRZ); Atomic Energy Commission (CEA)(French Atomic Energy Commission); Meteo-France/DSI supercomputing center; French Alternative Energies; ESM2025 -Earth System Models for the Future; NERC(UK Research &amp; Innovation (UKRI)Natural Environment Research Council (NERC))</t>
  </si>
  <si>
    <t>This research has been supported by the National Science Foundation, USA (agreement CBET-1931641), the Atkinson Center for a Sustainable Future at Cornell University, the Agence Nationale de la Recherce, France (programme reference ANR-11-IDEX-0004-17-EURE-0006), the UK Department for Business, Energy and Industrial Strategy (BEIS), the Deutsche Forschungsgemeinschaft Research Unit VollImpact, Germany (grant no. 398006378); the European Union's Horizon 2020 novation programme (CONSTRAIN) and ESM2025 -Earth System Models for the Future (grant nos. 820829 and 101003536), the Deutsches Klima Rechenzentrum (DKRZ), the French Alternative Energies and Atomic Energy Commission (CEA) that deployed new computing and storage resources and services in its TGCC computing centre (grant nos. 2019-A0060107732 and 2020-A0080107732; gencmip6 project), and the Meteo-France/DSI supercomputing center.</t>
  </si>
  <si>
    <t>10.5194/acp-22-4557-2022</t>
  </si>
  <si>
    <t>1B3WW</t>
  </si>
  <si>
    <t>WOS:000792370200001</t>
  </si>
  <si>
    <t>Ferriss, BE; Reum, JCP; Sanderson, BL; McDonald, PS</t>
  </si>
  <si>
    <t>Ferriss, Bridget E.; Reum, Jonathan C. P.; Sanderson, Beth L.; McDonald, P. Sean</t>
  </si>
  <si>
    <t>Social-ecological approaches to shellfish aquaculture using qualitative network models</t>
  </si>
  <si>
    <t>Aquaculture; Crassostrea gigas; clam; geoduck; oyster; Panopea generosa; qualitative network model; social-ecological system; Venerupis philippinarum</t>
  </si>
  <si>
    <t>WELL-BEING INDICATORS; PUGET-SOUND; ECOSYSTEM SERVICES; EXPERT KNOWLEDGE; COMMUNITY; IMPACTS; SYSTEMS; COAST; CONSERVATION; ENVIRONMENT</t>
  </si>
  <si>
    <t>Integrating social and ecological aspects of bivalve aquaculture in research and management processes can improve understanding of the system as a whole, and facilitate management decision-making. We created social-ecological conceptual models of Pacific oyster (Crassostrea gigas), Manila clam (Venerupis philippinarum), and Pacific geoduck (Panopea generosa) aquaculture in a USA estuary, which were the basis of qualitative network analysis to compare: (i) social-ecological models versus truncated ecological- and social- only models, and (ii) two geoduck models representing different stakeholder groups' perspectives on nature-based recreation and environmental stewardship. The social-ecological models predicted different results compared to individual social or ecological models, including for abundance of invertebrates, eelgrass, and marine water quality. The two alternative geoduck models predicted outcomes that varied across multiple social-ecological variables, including the availability of local harvestable food, sense of place, and abundance of invertebrates in structured habitat. Results demonstrate the interconnectedness of the social and ecological components of the aquaculture system, and how predicted outcomes can vary depending on their inclusion in the model. This study also demonstrates the value in considering a suite of models that represents a range of group perspectives to identify areas of conflict and agreement, and to recognize bias inherent in the models.</t>
  </si>
  <si>
    <t>[Ferriss, Bridget E.; Reum, Jonathan C. P.] NOAA, Alaska Fisheries Sci Ctr, Natl Marine Fisheries Serv, 7600 Sand Point Way Northeast, Seattle, WA 98115 USA; [Ferriss, Bridget E.] Washington Sea Grant, 3716 Brooklyn Ave NE, Seattle, WA 98105 USA; [Reum, Jonathan C. P.] Univ Tasmania, Inst Marine &amp; Antarctic Studies, Hobart, Tas, Australia; [Reum, Jonathan C. P.] Univ Tasmania, Ctr Marine Socioecol, Hobart, Tas, Australia; [Sanderson, Beth L.] NOAA, Northwest Fisheries Sci Ctr, Natl Marine Fisheries Serv, 2725 Montlake Blvd East, Seattle, WA 98112 USA; [McDonald, P. Sean] Univ Washington, Sch Aquat &amp; Fishery Sci, 1122 NE Boat St,Box 355020, Seattle, WA 98195 USA; [McDonald, P. Sean] Univ Washington, Program Environm, Box 355679, Seattle, WA 98195 USA</t>
  </si>
  <si>
    <t>National Oceanic Atmospheric Admin (NOAA) - USA; University of Tasmania; University of Tasmania; National Oceanic Atmospheric Admin (NOAA) - USA; University of Washington; University of Washington Seattle; University of Washington; University of Washington Seattle</t>
  </si>
  <si>
    <t>Ferriss, BE (corresponding author), NOAA, Alaska Fisheries Sci Ctr, Natl Marine Fisheries Serv, 7600 Sand Point Way Northeast, Seattle, WA 98115 USA.;Ferriss, BE (corresponding author), Washington Sea Grant, 3716 Brooklyn Ave NE, Seattle, WA 98105 USA.</t>
  </si>
  <si>
    <t>bridget.ferriss@noaa.gov</t>
  </si>
  <si>
    <t>Reum, Jonathan/0000-0001-6601-4550; Ferriss, Bridget/0000-0002-6739-5313</t>
  </si>
  <si>
    <t>Washington Sea Grant, University of Washington [NA14OAR4170078]</t>
  </si>
  <si>
    <t>Washington Sea Grant, University of Washington(University of Washington)</t>
  </si>
  <si>
    <t>This work was funded by a grant from Washington Sea Grant, University of Washington, pursuant to National Oceanic and Atmospheric Administration Award No. NA14OAR4170078.</t>
  </si>
  <si>
    <t>10.1093/icesjms/fsac053</t>
  </si>
  <si>
    <t>WOS:000785552000001</t>
  </si>
  <si>
    <t>Smith, JE; Keane, J; Mundy, C; Gardner, C; Oellermann, M</t>
  </si>
  <si>
    <t>Smith, Jennifer E.; Keane, John; Mundy, Craig; Gardner, Caleb; Oellermann, Michael</t>
  </si>
  <si>
    <t>Spiny lobsters prefer native prey over range-extending invasive urchins</t>
  </si>
  <si>
    <t>naive predator; non-native prey; predator-prey; range shift; rock lobster; species redistribution; Tasmania; urchin barrens</t>
  </si>
  <si>
    <t>JASUS-EDWARDSII; MARINE RESERVES; SEA-URCHINS; PREDATION</t>
  </si>
  <si>
    <t>Climate change increases the need to control range-extending species, which adversely impact their recipient ecosystem. Increasing populations of resident predators may be effective to counter such range-extension, but only if they consume the novel invaders at sufficient rates. In South-East Australia, poleward range-extending Longspined Sea Urchins (Centrostephanus rodgersii) are causing catastrophic ecological habitat transition to extensive urchin barrens. Tasmanian native Southern Rock Lobster (Jasus edwardsii) is a potential predator that could control further urchin expansion. Experimental feeding trials showed that range-extending Longspined Sea Urchins are the least preferred prey choice for Southern Rock Lobsters (3.8% predation events), when compared to three local species: abalone, urchins, and snails (36.6, 32.6, and 27%). Interestingly, habitat origin and naivete of lobsters to urchins affected urchin consumption with 85% being consumed by lobsters originating from urchin barrens. Low predation rates on Longspined Sea Urchin suggest that resident lobsters are unlikely to control further barren expansion unless a behavioural shift occurs. Results imply that potential control of Longspined Sea Urchins by Southern Rock Lobsters has previously been overestimated. Additional control methods are needed to safeguard ecological communities and important commercial stocks from this climate change-induced, range-extending pest species.</t>
  </si>
  <si>
    <t>[Smith, Jennifer E.; Keane, John; Mundy, Craig; Gardner, Caleb; Oellermann, Michael] Univ Tasmania, Inst Marine &amp; Antarctic Studies, Hobart, Tas 7053, Australia; [Oellermann, Michael] Tech Univ Munich, TUM Sch Life Sci, Aquat Syst Biol Unit, Muhlenweg 22, D-85354 Freising Weihenstephan, Germany</t>
  </si>
  <si>
    <t>University of Tasmania; Technical University of Munich</t>
  </si>
  <si>
    <t>Smith, JE (corresponding author), Univ Tasmania, Inst Marine &amp; Antarctic Studies, Hobart, Tas 7053, Australia.</t>
  </si>
  <si>
    <t>je.smith@utas.edu.au</t>
  </si>
  <si>
    <t>Mundy, Craig/G-3390-2014; Oellermann, Michael/G-7073-2011</t>
  </si>
  <si>
    <t>Mundy, Craig/0000-0002-1945-3750; Oellermann, Michael/0000-0001-5392-6737; Smith, Jennifer/0000-0001-5051-3769; Keane, John Patrick/0000-0001-8950-5176</t>
  </si>
  <si>
    <t>Holsworth Wildlife Research Endowment-Equity Trustees Charitable Foundation; Ecological Society of Australia; Tasmanian Government via the Abalone Industry Reinvestment Fund; German Research Foundation (DFG) fellowships [OE 658/1, OE 658/2]</t>
  </si>
  <si>
    <t>Holsworth Wildlife Research Endowment-Equity Trustees Charitable Foundation; Ecological Society of Australia; Tasmanian Government via the Abalone Industry Reinvestment Fund; German Research Foundation (DFG) fellowships(German Research Foundation (DFG))</t>
  </si>
  <si>
    <t>This project was partly funded by the Holsworth Wildlife Research Endowment-Equity Trustees Charitable Foundation and the Ecological Society of Australia and by the Tasmanian Government via the Abalone Industry Reinvestment Fund. MO was supported by the German Research Foundation (DFG) fellowships OE 658/1 and OE 658/2.</t>
  </si>
  <si>
    <t>10.1093/icesjms/fsac058</t>
  </si>
  <si>
    <t>WOS:000784687300001</t>
  </si>
  <si>
    <t>Silva, BGC; Convey, P; Carvalho-Silva, M; Amorim, ET; Patiño, J; Câmara, PEAS</t>
  </si>
  <si>
    <t>Costa Silva, Barbara Guedes; Convey, Peter; Carvalho-Silva, Micheline; Amorim, Eduardo Toledo; Patino, Jairo; Aguiar Saraiva Camara, Paulo Eduardo</t>
  </si>
  <si>
    <t>Patterns of moss richness in Admiralty Bay, King George Island, cannot be explained by geological or ornithogenic drivers alone</t>
  </si>
  <si>
    <t>bryophytes; environmental filters; geological extracts; non-ornithogenic soils; ornithogenic soils</t>
  </si>
  <si>
    <t>LICHEN HYPOGYMNIA-PHYSODES; DESICCATION-TOLERANCE; ECOLOGICAL PHYSIOLOGY; ASSEMBLY RULES; ANTARCTICA; ECOSYSTEMS; DISPERSAL; TRAITS; PLANT; VARIABILITY</t>
  </si>
  <si>
    <t>We set out to document the diversity and distribution of bryophytes in Admiralty Bay and thereby enable the identification of patterns in local diversity and their possible drivers. Combining data extracted from different sources and recent collections, we documented the presence of 63 species. Similarity analyses of moss species diversity in relation to underlying geology and ornithogenic influence identified an identical cophenetic correlation coefficient of 0.744 for both factors. The Sorensen index was &lt; 0.6, indicating that the groups share &lt; 60% of the species recorded. The data showed that the selected filters (ornithogenic soils, non-ornithogenic soils and different geological extracts) did not underlie consistent species groupings, and we conclude that other environmental and topographical factors are likely to be responsible for shaping the moss community structure in Admiralty Bay. To enable effective management of Antarctic Specially Managed Area (ASMA) No. 1 and Antarctic Specially Protected Area (ASPA) No. 128, robust assessments of the local ecosystem and biodiversity are necessary to assist in the decision-making processes mandated under the Antarctic Treaty System, one of whose founding principles is the preservation of the Antarctic ecosystem.</t>
  </si>
  <si>
    <t>[Costa Silva, Barbara Guedes; Carvalho-Silva, Micheline; Aguiar Saraiva Camara, Paulo Eduardo] Univ Brasilia, Brasilia, DF, Brazil; [Convey, Peter] British Antarctic Survey, Cambridge, England; [Convey, Peter] Univ Johannesburg, Johannesburg, South Africa; [Amorim, Eduardo Toledo] Jardim Bot Rio de Janeiro CNCFIora JBRJ, Ctr Nacl Conservacao Flora, Rio De Janeiro, Brazil; [Patino, Jairo] Consejo Super Invest Cientif IPNA CSIC, Isl Ecol &amp; Evolut Res Grp, Inst Prod Nat &amp; Agrobiol IPNA, Tenerife, Canary Islands, Spain; [Patino, Jairo] Univ La Laguna, Dept Bot Ecol &amp; Plant Physiol, Tenerife, Canary Islands, Spain</t>
  </si>
  <si>
    <t>Universidade de Brasilia; UK Research &amp; Innovation (UKRI); Natural Environment Research Council (NERC); NERC British Antarctic Survey; University of Johannesburg; Universidad de la Laguna</t>
  </si>
  <si>
    <t>Silva, BGC (corresponding author), Univ Brasilia, Brasilia, DF, Brazil.</t>
  </si>
  <si>
    <t>brbrgds@gmail.com</t>
  </si>
  <si>
    <t>Camara, Paulo/GPP-2054-2022; Patiño, Jairo/HNS-3024-2023; Convey, Peter/AAV-5728-2020</t>
  </si>
  <si>
    <t>Camara, Paulo/0000-0002-3944-996X; Convey, Peter/0000-0001-8497-9903; Silva, Micheline/0000-0002-2389-3804</t>
  </si>
  <si>
    <t>CNPq (Conselho Nacional de Pesquisa -Brazil); CNPq (MEC/MCTI/CAPES/CNPq/FAPs)</t>
  </si>
  <si>
    <t>CNPq (Conselho Nacional de Pesquisa -Brazil)(Conselho Nacional de Desenvolvimento Cientifico e Tecnologico (CNPQ)); CNPq (MEC/MCTI/CAPES/CNPq/FAPs)(Conselho Nacional de Desenvolvimento Cientifico e Tecnologico (CNPQ)Fundacao de Apoio a Pesquisa do Distrito Federal (FAPDF))</t>
  </si>
  <si>
    <t>This project was funded by CNPq (Conselho Nacional de Pesquisa -Brazil; MEC/MCTI/CAPES/CNPq/FAPs).</t>
  </si>
  <si>
    <t>PII S0954102021000614</t>
  </si>
  <si>
    <t>10.1017/S0954102021000614</t>
  </si>
  <si>
    <t>WOS:000779537700001</t>
  </si>
  <si>
    <t>Hu, YX; Lu, XM; Zeng, XB; Stamnes, SA; Neuman, TA; Kurtz, NT; Zhai, PW; Gao, M; Sun, WB; Xu, KM; Liu, ZY; Omar, AH; Baize, RR; Rogers, LJ; Mitchell, BO; Stamnes, K; Huang, YP; Chen, N; Weimer, C; Lee, J; Fair, Z</t>
  </si>
  <si>
    <t>Hu, Yongxiang; Lu, Xiaomei; Zeng, Xubin; Stamnes, Snorre A.; Neuman, Thomas A.; Kurtz, Nathan T.; Zhai, Pengwang; Gao, Meng; Sun, Wenbo; Xu, Kuanman; Liu, Zhaoyan; Omar, Ali H.; Baize, Rosemary R.; Rogers, Laura J.; Mitchell, Brandon O.; Stamnes, Knut; Huang, Yuping; Chen, Nan; Weimer, Carl; Lee, Jennifer; Fair, Zachary</t>
  </si>
  <si>
    <t>Deriving Snow Depth From ICESat-2 Lidar Multiple Scattering Measurements</t>
  </si>
  <si>
    <t>FRONTIERS IN REMOTE SENSING</t>
  </si>
  <si>
    <t>snow depth; lidar; average path length; path length distribution; multiple scattering; ICESat-2</t>
  </si>
  <si>
    <t>WATER EQUIVALENT; OPTICAL-PROPERTIES; SEA-ICE; COVER; RADIATION; RETRIEVAL; CLOUD</t>
  </si>
  <si>
    <t>Snow is a crucial element in the Earth's system, but snow depth and mass are very challenging to be measured globally. Here, we provide the theoretical foundation for deriving snow depth directly from space-borne lidar (ICESat-2) snow multiple scattering measurements for the first time. First, based on the Monte Carlo lidar radiative transfer simulations of ICESat-2 measurements of 532-nm laser light propagation in snow, we find that the lidar backscattering path length follows Gamma distribution. Next, we derive three simple analytical equations to compute snow depth from the average, second-, and third-order moments of the distribution. As a preliminary application, these relations are then used to retrieve snow depth over the Antarctic ice sheet and the Arctic sea ice using the ICESat-2 lidar multiple scattering measurements. The robustness of this snow depth technique is demonstrated by the agreement of snow depth computed from the three derived relations using both modeled data and ICESat-2 observations.</t>
  </si>
  <si>
    <t>[Hu, Yongxiang; Lu, Xiaomei; Stamnes, Snorre A.; Sun, Wenbo; Xu, Kuanman; Liu, Zhaoyan; Omar, Ali H.; Baize, Rosemary R.; Rogers, Laura J.] NASA Langley Res Ctr, Sci Directorate, Hampton, VA 23666 USA; [Zeng, Xubin; Mitchell, Brandon O.] Univ Arizona, Dept Hydrol &amp; Atmospher Sci, Tucson, AZ USA; [Neuman, Thomas A.; Kurtz, Nathan T.; Fair, Zachary] NASA GSFC Cryospher Sci Lab, Greenbelt, MD USA; [Zhai, Pengwang] UMBC, Dept Phys, Baltimore, MD 21250 USA; [Gao, Meng] NASA Goddard Space Flight Ctr, Ocean Ecol Lab, Greenbelt, MD USA; [Gao, Meng] Sci Syst &amp; Applicat Inc, Lanham, MD USA; [Stamnes, Knut; Huang, Yuping; Chen, Nan] Stevens Inst Technol, Dept Phys, Hoboken, NJ 07030 USA; [Weimer, Carl; Lee, Jennifer] Ball Aerosp &amp; Technol Corp, Boulder, CO USA</t>
  </si>
  <si>
    <t>National Aeronautics &amp; Space Administration (NASA); NASA Langley Research Center; University of Arizona; University System of Maryland; University of Maryland Baltimore County; National Aeronautics &amp; Space Administration (NASA); NASA Goddard Space Flight Center; Science Systems and Applications Inc; Stevens Institute of Technology; Ball Aerospace &amp; Technologies</t>
  </si>
  <si>
    <t>Hu, YX (corresponding author), NASA Langley Res Ctr, Sci Directorate, Hampton, VA 23666 USA.</t>
  </si>
  <si>
    <t>yongxiang.hu-1@nasa.gov</t>
  </si>
  <si>
    <t>Huang, Yu-Ping/I-2522-2013; Sun, Wenbo/HHC-2963-2022; Xu, Kuan-Man/B-7557-2013; GAO, Meng/AAL-6653-2021; Hu, Yongxiang/K-4426-2012</t>
  </si>
  <si>
    <t>GAO, Meng/0000-0002-8657-3541; Fair, Zachary/0000-0002-6047-1723; Zeng, Xubin/0000-0001-7352-2764</t>
  </si>
  <si>
    <t>NASA ICESat-2 program; NASA Remote Sensing Theory program; NASA ESTO's IIP program</t>
  </si>
  <si>
    <t>The authors wish to thank the NASA ICESat-2 program, NASA Remote Sensing Theory program, and NASA ESTO's IIP program for supporting this research. The ICESat-2 ATL03 data used in this study are available at the National Snow and Ice Data Center: https://nsidc.org/data/ATL03/versions/5.</t>
  </si>
  <si>
    <t>2673-6187</t>
  </si>
  <si>
    <t>FRONT REMOTE SENS</t>
  </si>
  <si>
    <t>Front. Remote Sens.</t>
  </si>
  <si>
    <t>10.3389/frsen.2022.855159</t>
  </si>
  <si>
    <t>Remote Sensing; Imaging Science &amp; Photographic Technology</t>
  </si>
  <si>
    <t>R3HL1</t>
  </si>
  <si>
    <t>WOS:001063294300001</t>
  </si>
  <si>
    <t>Kim, B; Do, H; Kim, BM; Lee, JH; Kim, S; Kim, EJ; Lee, J; Cho, SM; Kim, K</t>
  </si>
  <si>
    <t>Kim, Bomi; Do, Hackwon; Kim, Bo-Mi; Lee, Jun Hyuck; Kim, Sanghee; Kim, Eun Jae; Lee, Jungeun; Cho, Sung Mi; Kim, Kitae</t>
  </si>
  <si>
    <t>Freezing-enhanced oxidation of iodide by hydrogen peroxide in the presence of antifreeze proteins from the Arctic yeast Leucosporidium sp. AY30</t>
  </si>
  <si>
    <t>Iodine chemistry; Freeze concentration; Chemical reaction in ice; Ice binding protein; Hydrogen peroxide</t>
  </si>
  <si>
    <t>ICE-BINDING PROTEIN; BOUNDARY-LAYER HALOGENS; SEA-ICE; SNOW; AIR; CHEMISTRY; PHASE; OXIDE</t>
  </si>
  <si>
    <t>Ice-binding proteins (IBPs), originating from Arctic or Antarctic microorganisms, have freeze-inhibiting char-acteristics, allowing these organisms to survive in polar regions. Despite their significance in polar environments, the mechanism through which IBPs affect the chemical reactions in ice by controlling ice crystal formation has not yet been reported. In this study, a new mechanism for iodide (I-) activation into triiodide (I-3(-)), which is the abundant iodine species in seawater, by using hydrogen peroxide (H2O2) in a frozen solution with IBPs was developed. A significant enhancement of I- activation into I-3(-) was observed in the presence of Arctic-yeast-originating extracellular ice-binding glycoprotein (LeIBP) isolated from Leucosporidium sp. AY30, and a further increase in the I-3(-) concentration was observed with the introduction of H2O2 to the frozen solution (25 times higher than in the aqueous solution after 24 h of reaction). The reaction in the ice increased with an increase in LeIBP concentration. The in-situ pH measurement in ice using cresol red (CR) revealed protons accumulated in the ice grain boundaries by LeIBP. However, the presence of LeIBP did not influence the acidity of the ice. The enhanced freeze concentration effect of H2O2 by LeIBP indicated that larger ice granules were formed in the presence of LeIBP. The results suggest that LeIBP affects the formation and morphology of ice granules, which reduces the total volume of ice boundaries throughout the ice. This leads to an increased local concentration of I- and H2O2 within the ice grain boundaries. IBP-assisted production of gaseous iodine in a frozen environment provides a previously unrecognized formation mechanism of active iodine species in the polar regions.</t>
  </si>
  <si>
    <t>[Kim, Bomi; Do, Hackwon; Kim, Bo-Mi; Lee, Jun Hyuck; Kim, Sanghee; Kim, Eun Jae; Lee, Jungeun; Cho, Sung Mi; Kim, Kitae] Korea Polar Res Inst, Incheon 21990, South Korea; [Kim, Bomi; Do, Hackwon; Lee, Jun Hyuck; Kim, Kitae] Univ Sci &amp; Technol UST, Dept Polar Sci, Incheon 21990, South Korea</t>
  </si>
  <si>
    <t>Korea Polar Research Institute (KOPRI); University of Science &amp; Technology (UST)</t>
  </si>
  <si>
    <t>Kim, K (corresponding author), Korea Polar Res Inst, Incheon 21990, South Korea.</t>
  </si>
  <si>
    <t>ktkim@kopri.re.kr</t>
  </si>
  <si>
    <t>, Jungeun/0000-0002-6934-0199; Kim, Kitae/0000-0003-0803-3547</t>
  </si>
  <si>
    <t>Korea Polar Research Institute (KOPRI) project [PE22120]; Development of potential antibiotic compounds using polar organism resources [15250103, PM22030]; Ministry of Oceans and Fisheries, Korea</t>
  </si>
  <si>
    <t>Korea Polar Research Institute (KOPRI) project(Korea Polar Research Institute of Marine Research Placement (KOPRI)); Development of potential antibiotic compounds using polar organism resources; Ministry of Oceans and Fisheries, Korea</t>
  </si>
  <si>
    <t>This research was supported by the Korea Polar Research Institute (KOPRI) project (PE22120), and was a part of the project titled, Development of potential antibiotic compounds using polar organism resources (15250103, KOPRI Grant PM22030). It was funded by the Ministry of Oceans and Fisheries, Korea.</t>
  </si>
  <si>
    <t>10.1016/j.envres.2022.113233</t>
  </si>
  <si>
    <t>2R6CM</t>
  </si>
  <si>
    <t>WOS:000821198000007</t>
  </si>
  <si>
    <t>Venkataramana, V; Kerkar, AU; Mishra, RK; Sabu, P; Anilkumar, N</t>
  </si>
  <si>
    <t>Venkataramana, V.; Kerkar, Anvita U.; Mishra, R. K.; Sabu, P.; Anilkumar, N.</t>
  </si>
  <si>
    <t>Hydrodynamics and zooplankton assemblages in Prydz Bay, East Antarctica, during the austral summer of 2017</t>
  </si>
  <si>
    <t>REGIONAL STUDIES IN MARINE SCIENCE</t>
  </si>
  <si>
    <t>Multi plankton sampler; Copepoda; Chlorophyll-a; Water masses; Temperature and salinity; Coastal antarctica</t>
  </si>
  <si>
    <t>METRIDIA-GERLACHEI GIESBRECHT; DIEL VERTICAL MIGRATION; SPATIAL-DISTRIBUTION; MESOSCALE DISTRIBUTION; DISTRIBUTION PATTERNS; FEEDING ACTIVITIES; MESO-ZOOPLANKTON; WEDDELL SEA; SOUTH; COMMUNITY</t>
  </si>
  <si>
    <t>Vertical distribution of zooplankton biovolume, abundance and community composition in the twilight zone are important to better understand their role in carbon and energy transfer that mediate the food web structure in the Prydz Bay. Qualitative and quantitative zooplankton studies were carried out in January 2017, using a multi plankton sampler (mouth area: 0.25 m(2); 200-microns mesh size) in the ice-free domain of the Prydz Bay. In this study, we investigated the diel variation of zooplankton biovolume and community structure between the surface water layer and 500 m depth at every six hours intervals for a period of 48 h at about 68 degrees S latitude, 74 degrees E longitude in the Prydz Bay. Besides, relationship between the zooplankton assemblages and diffrent water masses were also discussed. We found an abrupt increase in zooplankton biovolume within the mixed layer depth on day 1 (13:15 h). Apart from high, localized contributions from chaetognaths, appendicularians and polychaete larvae, mesozooplankton was numerically dominated by copepods, and densities were highest near the surface most of the times. Two water masses were identified based on the signatures of temperature and salinity: Antarctic Surface Water (ASW) and Shelf Water (SW). ASW had a higher proportion of Calanoides acutus, Calanus propinquus and Oithona similis, while Metridia gerlachei, and Heterorhabdus austrinus were mostly encountered in SW. Our results will help to predict the short term temporal variations of copepods assemblages and other zooplanktons according to the dynamics of hydrographic features in Prydz Bay. (c) 2022 Elsevier B.V. All rights reserved.</t>
  </si>
  <si>
    <t>[Venkataramana, V.; Kerkar, Anvita U.; Mishra, R. K.; Sabu, P.; Anilkumar, N.] Minist Earth Sci, Natl Ctr Polar &amp; Ocean Res, Vasco Da Gama 403804, Goa, India</t>
  </si>
  <si>
    <t>Ministry of Earth Sciences (MoES) - India; National Centre for Polar and Ocean Research (NCPOR)</t>
  </si>
  <si>
    <t>Venkataramana, V (corresponding author), Minist Earth Sci, Natl Ctr Polar &amp; Ocean Res, Vasco Da Gama 403804, Goa, India.</t>
  </si>
  <si>
    <t>venkat@ncpor.res.in</t>
  </si>
  <si>
    <t>Kerkar, Anvita/HLG-7680-2023</t>
  </si>
  <si>
    <t>Venkataramana, Vankara/0000-0002-3925-015X</t>
  </si>
  <si>
    <t>Department of Science and Technology for DST-Inspire [J-01/2022-23]</t>
  </si>
  <si>
    <t>Department of Science and Technology for DST-Inspire(Department of Science &amp; Technology (DOST), PhilippinesDepartment of Science &amp; Technology (India))</t>
  </si>
  <si>
    <t>We express our sincere gratitude to the Director, NCPOR and expedition leader of 9th Indian Southern Ocean Expedition-2017. We would also like to thank officers and crew on S.A. Agulhas'' for their assistance in the field. Anvita U. Kerkar express her sincere thanks to Department of Science and Technology for DST-Inspire doctoral research fellowship. The NCPOR contribution number is J-01/2022-23.</t>
  </si>
  <si>
    <t>2352-4855</t>
  </si>
  <si>
    <t>REG STUD MAR SCI</t>
  </si>
  <si>
    <t>Reg. Stud. Mar. Sci.</t>
  </si>
  <si>
    <t>10.1016/j.rsma.2022.102341</t>
  </si>
  <si>
    <t>1D0TG</t>
  </si>
  <si>
    <t>WOS:000793522000003</t>
  </si>
  <si>
    <t>Choe, YH; Lee, JI; Kim, M</t>
  </si>
  <si>
    <t>Choe, Yong-Hoe; Lee, Jong Ik; Kim, Mincheol</t>
  </si>
  <si>
    <t>Complete Genome Sequence of Brevibacterium frigoritolerans Ant232, Isolated from Antarctic Snow</t>
  </si>
  <si>
    <t>SP-NOV.; ANNOTATION</t>
  </si>
  <si>
    <t>We report the complete and circularized genome sequences of Brevibacterium frigoritolerans Ant232, generated using a combination of Illumina and PacBio platforms. The high-quality complete genome consists of a circular 5,586,945-bp chromosome and a 305,498-bp plasmid, with G-C contents of 40.66% and 36.8%, respectively.</t>
  </si>
  <si>
    <t>[Choe, Yong-Hoe; Kim, Mincheol] Korea Polar Res Inst, Div Life Sci, Incheon, South Korea; [Lee, Jong Ik] Korea Polar Res Inst, Div Earth Sci, Incheon, South Korea</t>
  </si>
  <si>
    <t>Korea Polar Research Institute (KOPRI); Korea Polar Research Institute (KOPRI)</t>
  </si>
  <si>
    <t>Kim, M (corresponding author), Korea Polar Res Inst, Div Life Sci, Incheon, South Korea.</t>
  </si>
  <si>
    <t>mincheol@kopri.re.kr</t>
  </si>
  <si>
    <t>Kim, Mincheol/0000-0003-1506-4800</t>
  </si>
  <si>
    <t>Korea Polar Research Institute [KOPRI-PE21070]</t>
  </si>
  <si>
    <t>This work was supported by a grant from the Korea Polar Research Institute (grant KOPRI-PE21070).</t>
  </si>
  <si>
    <t>10.1128/mra.00152-22</t>
  </si>
  <si>
    <t>WOS:000784254600001</t>
  </si>
  <si>
    <t>Irwin, A; Geschke, A; Brooks, TM; Siikamaki, J; Mair, L; Strassburg, BBN</t>
  </si>
  <si>
    <t>Irwin, Amanda; Geschke, Arne; Brooks, Thomas M.; Siikamaki, Juha; Mair, Louise; Strassburg, Bernardo B. N.</t>
  </si>
  <si>
    <t>Quantifying and categorising national extinction-risk footprints</t>
  </si>
  <si>
    <t>BIODIVERSITY; CONSERVATION; IMPACTS; THREATS</t>
  </si>
  <si>
    <t>Biodiversity, essential to delivering the ecosystem services that support humanity, is under threat. Projections show that loss of biodiversity, specifically increases in species extinction, is likely to continue without significant intervention. Human activity is the principal driver of this loss, generating direct threats such as habitat loss and indirect threats such as climate change. Often, these threats are induced by consumption of products and services in locations far-removed from the affected species, creating a geographical displacement between cause and effect. Here we quantify and categorise extinction-risk footprints for 188 countries. Seventy-six countries are net importers of extinction-risk footprint, 16 countries are net exporters of extinction-risk footprint, and in 96 countries domestic consumption is the largest contributor to the extinction-risk footprint. These profiles provide insight into the underlying sources of consumption which contribute to species extinction risk, a valuable input to the formulation of interventions aimed at transforming humanity's interactions with biodiversity.</t>
  </si>
  <si>
    <t>[Irwin, Amanda; Geschke, Arne] Univ Sydney, Sch Phys, ISA, A28, Sydney, NSW 2006, Australia; [Brooks, Thomas M.] IUCN, Rue Mauverney 28, CH-1196 Gland, Switzerland; [Brooks, Thomas M.] Univ Philippines Los Banos, World Agroforestry Ctr ICRAF, Laguna, Philippines; [Brooks, Thomas M.] Univ Tasmania, Inst Marine &amp; Antarctic Studies, Hobart, Tas, Australia; [Siikamaki, Juha] IUCN, 1630 Connecticut Ave NW, Washington, DC 20009 USA; [Mair, Louise] Newcastle Univ, Sch Nat &amp; Environm Sci, Newcastle Upon Tyne NE1 7RU, Tyne &amp; Wear, England; [Strassburg, Bernardo B. N.] Pontificia Univ Catolica Rio de Janeiro, Rio Conservat &amp; Sustainabil Sci Ctr, Dept Geog &amp; Environm, Rio de Janeiro, Brazil; [Strassburg, Bernardo B. N.] Int Inst Sustainabil, Rio De Janeiro, Brazil</t>
  </si>
  <si>
    <t>University of Sydney; CGIAR; World Agroforestry (ICRAF); University of the Philippines System; University of the Philippines Los Banos; University of Tasmania; Newcastle University - UK; Pontificia Universidade Catolica do Rio de Janeiro</t>
  </si>
  <si>
    <t>Irwin, A (corresponding author), Univ Sydney, Sch Phys, ISA, A28, Sydney, NSW 2006, Australia.</t>
  </si>
  <si>
    <t>amanda.irwin@sydney.edu.au</t>
  </si>
  <si>
    <t>Geschke, Arne/AAM-7434-2020; Mair, Louise/AAL-4986-2020; Irwin, Amanda/GSM-9706-2022</t>
  </si>
  <si>
    <t>Geschke, Arne/0000-0001-9193-5829; Mair, Louise/0000-0002-7419-7200; Irwin, Amanda/0000-0001-8374-9284; Brooks, Thomas/0000-0001-8159-3116</t>
  </si>
  <si>
    <t>Luc Hoffmann Institute; Vulcan Inc; Synchronicity Earth, and Global Environment Facility - Conservation International GEF Project Agency; UK Research and Innovation's Global Challenges Research Fund under the Trade, Development and the Environment Hub project [ES/S008160/1]; Australian Government Research Training Program (RTP) Scholarship</t>
  </si>
  <si>
    <t>Luc Hoffmann Institute; Vulcan Inc; Synchronicity Earth, and Global Environment Facility - Conservation International GEF Project Agency; UK Research and Innovation's Global Challenges Research Fund under the Trade, Development and the Environment Hub project; Australian Government Research Training Program (RTP) Scholarship(Australian GovernmentDepartment of Industry, Innovation and Science)</t>
  </si>
  <si>
    <t>The authors wish to thank Frank Hawkins of IUCN for sharing his expertise and providing advice on the species of Madagascar, and Sebastian Juraszek of the University of Sydney for his management of the computing infrastructure which made this work possible. The development of the STAR metric was funded by the Luc Hoffmann Institute, Vulcan Inc, Synchronicity Earth, and Global Environment Facility, supported by the Conservation International GEF Project Agency, and advanced through discussion among the co-authors of Mair et al.26 hosted by the IUCN SSC Post-2020 Taskforce at the University of Newcastle in February 2019. B.B.N.S. acknowledges funding from the UK Research and Innovation's Global Challenges Research Fund under the Trade, Development and the Environment Hub project (ES/S008160/1). This research is supported by an Australian Government Research Training Program (RTP) Scholarship. The views expressed in this publication do not necessarily reflect those of IUCN, and the presentation of geographical entities does not imply any opinion on the part of IUCN concerning the legal status of any country, territory, or area, or of its authorities, or concerning the delimitation of its frontiers or boundaries.</t>
  </si>
  <si>
    <t>APR 7</t>
  </si>
  <si>
    <t>10.1038/s41598-022-09827-0</t>
  </si>
  <si>
    <t>0I9YU</t>
  </si>
  <si>
    <t>WOS:000779768200051</t>
  </si>
  <si>
    <t>Smith, AJ; Crosbie, PBB; Nowak, BF; Bridle, AR</t>
  </si>
  <si>
    <t>Smith, Aaron J.; Crosbie, Philip B. B.; Nowak, Barbara F.; Bridle, Andrew R.</t>
  </si>
  <si>
    <t>Comparative transcriptome profiling of virulent and avirulent isolates of Neoparamoeba perurans</t>
  </si>
  <si>
    <t>AMEBIC-GILL-DISEASE; SALMON SALMO-SALAR; FARMED ATLANTIC SALMON; CATHEPSIN-B; ACTIN; AGD; L.; PROTEIN; EXPRESSION; GENE</t>
  </si>
  <si>
    <t>Neoparamoeba perurans, the aetiological agent of amoebic gill disease, remains a persistent threat to Atlantic salmon mariculture operations worldwide. Innovation in methods of AGD control is required yet constrained by a limited understanding of the mechanisms of amoebic gill disease pathogenesis. In the current study, a comparative transcriptome analysis of two N. perurans isolates of contrasting virulence phenotypes is presented using gill-associated, virulent (wild type) isolates, and in vitro cultured, avirulent (clonal) isolates. Differential gene expression analysis identified a total of 21,198 differentially expressed genes between the wild type and clonal isolates, with 5674 of these genes upregulated in wild type N. perurans. Gene set enrichment analysis predicted gene sets enriched in the wild type isolates including, although not limited to, cortical actin cytoskeleton, pseudopodia, phagocytosis, macropinocytic cup, and fatty acid beta-oxidation. Combined, the results from these analyses suggest that upregulated gene expression associated with lipid metabolism, oxidative stress response, protease activity, and cytoskeleton reorganisation is linked to pathogenicity in wild type N. perurans. These findings provide a foundation for future AGD research and the development of novel therapeutic and prophylactic AGD control measures for commercial aquaculture.</t>
  </si>
  <si>
    <t>[Smith, Aaron J.; Crosbie, Philip B. B.; Nowak, Barbara F.; Bridle, Andrew R.] Univ Tasmania, Inst Marine &amp; Antarctic Studies, Launceston, Tas, Australia</t>
  </si>
  <si>
    <t>Smith, AJ (corresponding author), Univ Tasmania, Inst Marine &amp; Antarctic Studies, Launceston, Tas, Australia.</t>
  </si>
  <si>
    <t>aj.smith@utas.edu.au</t>
  </si>
  <si>
    <t>Nowak, Barbara/J-7261-2014; Bridle, Andrew R/B-4117-2013</t>
  </si>
  <si>
    <t>Smith, Aaron/0000-0002-1226-8798</t>
  </si>
  <si>
    <t>Australian Government through the Australian Research Council [LP160101762]; Australian Research Council [LP160101762] Funding Source: Australian Research Council</t>
  </si>
  <si>
    <t>Australian Government through the Australian Research Council(Australian Research Council); Australian Research Council(Australian Research Council)</t>
  </si>
  <si>
    <t>This research was fully funded by the Australian Government through the Australian Research Council's Linkage Projects funding scheme (project: LP160101762). The views expressed herein do not necessarily reflect those of the Australian Government or Australian Research Council.</t>
  </si>
  <si>
    <t>10.1038/s41598-022-09806-5</t>
  </si>
  <si>
    <t>WOS:000779768200014</t>
  </si>
  <si>
    <t>Goldsworthy, L</t>
  </si>
  <si>
    <t>Goldsworthy, Lynda</t>
  </si>
  <si>
    <t>Consensus decision-making in CCAMLR: Achilles' heel or fundamental to its success?</t>
  </si>
  <si>
    <t>Southern Ocean; CCAMLR; Consensus; Veto; Multilateral organisations; Decision making</t>
  </si>
  <si>
    <t>SOUTHERN-OCEAN; MANAGEMENT</t>
  </si>
  <si>
    <t>The Commission for the Convention on the Conservation of Antarctic Marine Living Resources is the body responsible for the conservation and management of most species in the Southern Ocean. The Convention mandates that decisions be made by consensus agreement of its Members. This approach has been largely successful in delivering strong management decisions across both complex issues and widely ranging national interests. However, recent failures to progress the implementation of a network of marine protected areas or to agree any concrete response actions to climate impacts raise concerns about its effectiveness. This paper reviews the level of uptake of Member-driven proposals and then examines examples of proposals that were not resolved within the usual three years to analyse the processes utilised by Members to find resolution. It concludes that CCAMLR has been successful in reaching agreements when focusing on fisheries management but less so on issues within its broader conservation mandate, such as area protection for biodiversity purposes or non-fishery management focused scientific study, or for issues that are perceiv ed to extend the competency of the Convention. It notes that CCAMLR lacks operational mechanisms to facilitate agreement in the absence of compromise text or when one or two Members cannot accept a proposal.</t>
  </si>
  <si>
    <t>[Goldsworthy, Lynda] Univ Tasmania, Inst Marine &amp; Antarctic Studies, Hobart, Tas, Australia; [Goldsworthy, Lynda] Ctr Marine Socioecol, Hobart, Tas, Australia</t>
  </si>
  <si>
    <t>Goldsworthy, L (corresponding author), Univ Tasmania, Inst Marine &amp; Antarctic Studies, Hobart, Tas, Australia.;Goldsworthy, L (corresponding author), Ctr Marine Socioecol, Hobart, Tas, Australia.</t>
  </si>
  <si>
    <t>Lynda.Goldsworthy@utas.edu.au</t>
  </si>
  <si>
    <t>Goldsworthy, Lynda/0000-0003-1426-4915</t>
  </si>
  <si>
    <t>IMAS Research Training Program (RTP) Stipend-(Standard RTP Base Stipend-Full Time-Annual); CAUL</t>
  </si>
  <si>
    <t>Open Access funding enabled and organized by CAUL and its Member Institutions. This project is supported by a IMAS Research Training Program (RTP) Stipend-(Standard RTP Base Stipend-Full Time-Annual).</t>
  </si>
  <si>
    <t>10.1007/s10784-021-09561-4</t>
  </si>
  <si>
    <t>3W5VV</t>
  </si>
  <si>
    <t>WOS:000779702300001</t>
  </si>
  <si>
    <t>Genthon, C; Veron, DE; Vignon, E; Madeleine, JB; Piard, L</t>
  </si>
  <si>
    <t>Genthon, Christophe; Veron, Dana E.; Vignon, Etienne; Madeleine, Jean-Baptiste; Piard, Luc</t>
  </si>
  <si>
    <t>Water vapor in cold and clean atmosphere: a 3-year data set in the boundary layer of Dome C, East Antarctic Plateau</t>
  </si>
  <si>
    <t>ICE; SUPERSATURATION; STATION</t>
  </si>
  <si>
    <t>The air at the surface of the high Antarctic Plateau is very cold, dry and clean. Under such conditions, the atmospheric moisture can significantly deviate from thermodynamic equilibrium, and supersaturation with respect to ice can occur. Most conventional humidity sensors for meteorological applications cannot report supersaturation in this environment. A simple approach for measuring supersaturation using conventional instruments, with one being operated in a heated airflow, is presented. Since 2018, this instrumental setup has been deployed at three levels in the lower similar to 40m above the surface at Dome C on the high Antarctic Plateau. A resulting 3-year (2018-2020) record (Genthon et al., 2021a) is presented and analyzed for features such as the frequency of supersaturation with respect to ice, diurnal and seasonal variability, and vertical distribution. As supercooled liquid water droplets are frequently observed in clouds at the temperatures experienced on the high Antarctic Plateau, the distribution of relative humidity with respect to liquid water at Dome C is also discussed. It is suggested that, while not strictly mimicking the conditions of the high troposphere, the surface atmosphere on the Antarctic Plateau is a convenient natural laboratory to test parametrizations of cold microphysics predominantly developed to handle the genesis of high tropospheric clouds. Data are available from the PANGAEA data repository at https://doi.org/10.1594/PANGAEA.939425 (Genthon et al., 2021a).</t>
  </si>
  <si>
    <t>[Genthon, Christophe; Vignon, Etienne; Madeleine, Jean-Baptiste] Sorbonne Univ, Ecole Normale Super, Lab Meteorol Dynam, IPSL,CNRS,PSL Res, Paris, France; [Veron, Dana E.] Univ Delaware, Dept Geog &amp; Spatial Sci, Newark, DE USA; [Piard, Luc] Univ Grenoble Alpes, CNRS, IRD, Grenoble INP,IGE, Grenoble, France</t>
  </si>
  <si>
    <t>Centre National de la Recherche Scientifique (CNRS); Sorbonne Universite; Universite Paris Cite; Universite PSL; Ecole Normale Superieure (ENS); University of Delaware; Communaute Universite Grenoble Alpes; Universite Grenoble Alpes (UGA); Institut National Polytechnique de Grenoble; Institut de Recherche pour le Developpement (IRD); Centre National de la Recherche Scientifique (CNRS)</t>
  </si>
  <si>
    <t>Genthon, C (corresponding author), Sorbonne Univ, Ecole Normale Super, Lab Meteorol Dynam, IPSL,CNRS,PSL Res, Paris, France.</t>
  </si>
  <si>
    <t>christophe.genthon@cnrs.fr</t>
  </si>
  <si>
    <t>Genthon, Christophe/0000-0002-3678-4447; VIGNON, Etienne/0000-0003-3801-9367</t>
  </si>
  <si>
    <t>Institut Polaire Francais Paul-Emile Victor [1013]; Institut national des sciences de l'Univers (CALVA)</t>
  </si>
  <si>
    <t>Institut Polaire Francais Paul-Emile Victor; Institut national des sciences de l'Univers (CALVA)</t>
  </si>
  <si>
    <t>This research has been supported by the Institut Polaire Francais Paul-Emile Victor (grant no. 1013) and the Institut national des sciences de l'Univers (CALVA).</t>
  </si>
  <si>
    <t>10.5194/essd-14-1571-2022</t>
  </si>
  <si>
    <t>0H6ZB</t>
  </si>
  <si>
    <t>WOS:000778880300001</t>
  </si>
  <si>
    <t>Mirzoeva, N; Tereshchenko, N; Paraskiv, A; Proskurnin, V; Stetsiuk, A; Korotkov, A</t>
  </si>
  <si>
    <t>Mirzoeva, Natalia; Tereshchenko, Nataliya; Paraskiv, Artem; Proskurnin, Vladislav; Stetsiuk, Aleksandra; Korotkov, Andrey</t>
  </si>
  <si>
    <t>Metals and metalloids in Antarctic krill and water in deep Weddell Sea areas</t>
  </si>
  <si>
    <t>Atlantic sector of the Antarctic; Antarctic krill Euphausia superba; Metals and metalloids; Water environment; Accumulation ability; Maximum permissible concentrations</t>
  </si>
  <si>
    <t>CLIMATE-CHANGE; TRACE-METALS; CONTAMINATION; IMPACTS</t>
  </si>
  <si>
    <t>The study on the concentration of trace elements in Antarctic krill and in water in the deep areas of the Atlantic sector of the Antarctic was performed. Concentrations of 22 trace elements were studied to determine their spatial distribution in krill, and to assess the accumulation ability of the krill against 8 of them. The trace elements concentration in krill diminished in the following order: Fe &gt; Cu &gt; Zn &gt; Ba &gt; B &gt; Se &gt; As &gt; Cr &gt; Ni &gt; Ag &gt; Li &gt; Mn &gt; V &gt; Mo &gt; Cd &gt; Co &gt; Hg &gt; Be. Concentrations of Pb, Ti, Tl, Sb were below their detection limits. Concentration factors of trace elements by krill varied from n x 10(2) to n x 10(4). The Cu and As concentrations in dry krill exceeded their MPC. Concentrations of all trace elements in wet mass of krill were not exceeded established regulative values.</t>
  </si>
  <si>
    <t>paraskiv@ibss-ras.ru</t>
  </si>
  <si>
    <t>Paraskiv, Artem/K-1314-2018; Proskurnin, Vladislav/H-4611-2018; Mirzoeva, Natalia Yurievna/Q-9393-2016</t>
  </si>
  <si>
    <t>Paraskiv, Artem/0000-0001-9874-5382; Proskurnin, Vladislav/0000-0002-2176-9228;</t>
  </si>
  <si>
    <t>Ministry of Science and Higher Education of Russian Federation [121090800137-6, 121031500515-8]</t>
  </si>
  <si>
    <t>Ministry of Science and Higher Education of Russian Federation</t>
  </si>
  <si>
    <t>The research was funded by two the state assignments of Ministry of Science and Higher Education of the Russian Federation (theme Comprehensive studies of the current state of the ecosystem of the Atlantic sector of the Antarctic, No. 121090800137-6 and theme Molismological and biogeochemical fundamentals of marine ecosys-tems homeostasis, No 121031500515-8) .</t>
  </si>
  <si>
    <t>10.1016/j.marpolbul.2022.113624</t>
  </si>
  <si>
    <t>1V8TE</t>
  </si>
  <si>
    <t>WOS:000806356900008</t>
  </si>
  <si>
    <t>Karkarey, R; Arthur, R; Nash, KL; Pratchett, MS; Sankaran, M; Graham, NAJ</t>
  </si>
  <si>
    <t>Karkarey, Rucha; Arthur, Rohan; Nash, Kirsty L.; Pratchett, Morgan S.; Sankaran, Mahesh; Graham, Nicholas A. J.</t>
  </si>
  <si>
    <t>Spatial decoupling of ? and ? diversity suggest different management needs for coral reef fish along an extensive mid-oceanic ridge</t>
  </si>
  <si>
    <t>GLOBAL ECOLOGY AND CONSERVATION</t>
  </si>
  <si>
    <t>? diversity; Turnover and nestedness; Coral reef fish; Taxonomic and functional diversity</t>
  </si>
  <si>
    <t>UNDERWATER VISUAL CENSUS; FUNCTIONAL DIVERSITY; BETA-DIVERSITY; BIODIVERSITY; DISSIMILARITY; SIMILARITY; FRAMEWORK; TURNOVER; PATTERNS; RECOVERY</t>
  </si>
  <si>
    <t>Understanding the underlying drivers of biodiversity is essential for conservation planning of large, connected seascapes. We tested how patterns in alpha and beta components of species and functional diversity of coral reef fish (214, species, 23 families) varied along the extensive Chagos Lakshadweep oceanic ridge (the largest chain of mid-oceanic atolls in the Indian Ocean) and evaluated geomorphological, environmental, and anthropogenic predictors of diversity patterns. alpha and beta diversity (species and functional) showed contrasting patterns along the ridge; richness and alpha diversity decreased towards the north and were influenced by anthropogenic pressures, while beta diversity increased towards the north, along environmental gradients and with geographic distance. Species beta diversity was dominated by turnover (&gt; 80%), while functional beta diversity was dominated by nestedness (&gt; 60%). Geographically distant reefs (&gt; 2000 km apart) with high structural complexity were functionally similar, illustrating a ridge-wide capacity for reefs to maintain ecological structure and function despite significant differences in biodiversity. Low spatial congruence in different facets of biodiversity suggest differentiated management needs for reef fish communities along the Chagos-Lakshadweep ridge. Specifically, while a single large marine reserve may be effective for biodiversity conservation in the Chagos archipelago in the south, a network of several smaller conservation areas may be needed to confer resilience to densely populated and biologically differentiated reefs further north.</t>
  </si>
  <si>
    <t>[Karkarey, Rucha; Arthur, Rohan] Nat Conservat Fdn, Mysore 570017, India; [Karkarey, Rucha; Sankaran, Mahesh] Tata Inst Fundamental Res, Natl Ctr Biol Sci, Bangalore 560065, India; [Karkarey, Rucha; Graham, Nicholas A. J.] Univ Lancaster, Lancaster Environm Ctr, Lancaster LA1 4YQ, Lancs, England; [Arthur, Rohan] Ctr Estudis Avancats Blanes, CSIC, Blanes 17300, Spain; [Nash, Kirsty L.] Univ Tasmania, Ctr Marine Socioecol, Hobart, Tas 7004, Australia; [Nash, Kirsty L.] Univ Tasmania, Inst Marine, Antarctic Studies, Hobart, Tas 7004, Australia; [Pratchett, Morgan S.] James Cook Univ, ARC Ctr Excellence Coral Reef Studies, Townsville, Qld 4811, Australia; [Sankaran, Mahesh] Univ Leeds, Sch Biol, Leeds LS2 9JT, England</t>
  </si>
  <si>
    <t>Tata Institute of Fundamental Research (TIFR); National Centre for Biological Sciences (NCBS); Lancaster University; Consejo Superior de Investigaciones Cientificas (CSIC); CSIC - Centre d'Estudis Avancats de Blanes (CEAB); University of Tasmania; University of Tasmania; James Cook University; University of Leeds</t>
  </si>
  <si>
    <t>Karkarey, R (corresponding author), Univ Lancaster, Lancaster Environm Ctr, Lancaster LA1 4YQ, Lancs, England.</t>
  </si>
  <si>
    <t>r.karkarey1@lancaster.ac.uk</t>
  </si>
  <si>
    <t>Pratchett, Morgan/AAW-5179-2020; Graham, Nicholas/C-8360-2014; Nash, Kirsty L/B-5456-2015</t>
  </si>
  <si>
    <t>Pratchett, Morgan/0000-0002-1862-8459; Graham, Nicholas/0000-0002-0304-7467; Nash, Kirsty L/0000-0003-0976-3197; Karkarey, Rucha/0000-0002-2017-2075</t>
  </si>
  <si>
    <t>DST-SERB Intramural Grant [EMR/2017/004014]; Azim Premji University Grants; Murugappa Chettiar Research Centre; Bertarelli Foundation; Royal Society; Australian Research Council [DE210100606]; Australian Research Council [DE210100606] Funding Source: Australian Research Council</t>
  </si>
  <si>
    <t>DST-SERB Intramural Grant; Azim Premji University Grants; Murugappa Chettiar Research Centre; Bertarelli Foundation; Royal Society(Royal Society); Australian Research Council(Australian Research Council); Australian Research Council(Australian Research Council)</t>
  </si>
  <si>
    <t>&amp; nbsp;We thank our funders for funding surveys that contributed to this study; Lakshadweep funding received from DST-SERB Intramural Grant (EMR/2017/004014) , Azim Premji University Grants and Murugappa Chettiar Research Centre awarded to RA. Chagos and Maldives funding received from the Bertarelli Foundation contributing to the Bertarelli Programme in Marine Science and the the Royal Society awarded to NAJG and funding from the Australian Research Council (DE210100606) awarded to KLN-. We thank the Royal Society for the Royal Society-SERB Newton International Fellowship awarded to RK. Surveys in Chagos were conducted under permit number 0001SE10 and we thank the Department of Science and Technology, Lakshadweep for research permits. We thank Dr James Robinson and the two anonymous reviewers for comments and guidance on analysis. Lakshadweep data were a subset of an annual monitoring survey run by Nature Conservation Foundation, Mysuru; we thank Dr Nachiket Kelkar, Dr Aaron Savio Lobo and Dr Teresa Alcoverro for contributing to surveys in Lakshadweep in 2011 and Carmen Gomez for transcription of benthic photoquadrats.</t>
  </si>
  <si>
    <t>2351-9894</t>
  </si>
  <si>
    <t>GLOB ECOL CONSERV</t>
  </si>
  <si>
    <t>Glob. Ecol. Conserv.</t>
  </si>
  <si>
    <t>e02110</t>
  </si>
  <si>
    <t>10.1016/j.gecco.2022.e02110</t>
  </si>
  <si>
    <t>1K6ZI</t>
  </si>
  <si>
    <t>WOS:000798745900002</t>
  </si>
  <si>
    <t>Tzedakis, PC; Hodell, DA; Nehrbass-Ahles, C; Mitsui, T; Wolff, EW</t>
  </si>
  <si>
    <t>Tzedakis, Polychronis C.; Hodell, David A.; Nehrbass-Ahles, Christoph; Mitsui, Takahito; Wolff, Eric W.</t>
  </si>
  <si>
    <t>Marine Isotope Stage 11c: An unusual interglacial</t>
  </si>
  <si>
    <t>Interglacial; MIS 11c; Insolation forcing; Sea level rise; CO2; Ice sheets</t>
  </si>
  <si>
    <t>ANTARCTIC ICE-SHEET; CONTINENTAL-MARGIN SEDIMENTS; MIDDLE PLEISTOCENE DEPOSITS; NORTH-ATLANTIC SURFACE; SEA-LEVEL; CLIMATE VARIABILITY; LAKE ELGYGYTGYN; CARBON-DIOXIDE; GLACIAL CYCLES; DEEP-SEA</t>
  </si>
  <si>
    <t>Notoriety of the Marine Isotope Stage (MIS) 11c interglacial arises from its long duration, extending over two precessional cycles, high sea level, and persistence of high atmospheric CO2 concentrations. The strong climatic response is often considered paradoxical because it was attained under weak boreal summer insolation forcing, a function of an extended eccentricity minimum and of precession and obliquity being almost opposite in phase. Here, we trace the characteristics of MIS 11c and explore their most likely causes. MIS 11c was preceded by the largest Quaternary ice volume expansion of MIS 12, which ended with a long period of ice rafting and interhemispheric heat transfer. We suggest that the duration of MIS 12 and the size of ice sheets exceeded a critical threshold that triggered a deglaciation despite the weak insolation forcing. The weak forcing led to a slow but steady loss of ice volume, that was sufficient to allow ocean outgassing of CO2, but insufficient to raise sea level within a single precessional cycle. This gave rise to a prolonged interval with large residual ice sheets and high CO 2 concentrations that is unique in the last 800,000 years. The obliquity-precession antiphasing produced a weak boreal summer insolation minimum, skipping a glacial inception and leading to continued sea-level rise and high CO2 concentrations, sustained by carbonate compensation. Full interglacial conditions were achieved in the second precessional cycle, and the combined strength and length of the interglacial probably led to loss of some Greenland and Antarctic ice compared to other interglacials. While MIS 11c is highly unusual in many respects, these appear to be linked to each other through the very weak insolation forcing, which led to its extended duration, slow sea-level rise and stable CO2 concentrations through a cocktail of counteracting carbon cycle processes. Although some of these features are also encountered in other interglacials, their combination with strong interglacial intensity is unique to MIS 11c and this appears to be a function of the large MIS 12 ice sheets and the high CO2 concentrations from the beginning of the interglacial. (C) 2022 The Authors. Published by Elsevier Ltd.</t>
  </si>
  <si>
    <t>[Tzedakis, Polychronis C.] UCL, Environm Change Res Ctr, Dept Geog, London, England; [Hodell, David A.; Nehrbass-Ahles, Christoph; Wolff, Eric W.] Univ Cambridge, Dept Earth Sci, Cambridge, England; [Mitsui, Takahito] Tech Univ Munich, Sch Engn &amp; Design, Earth Syst Modelling, Munich, Germany; [Mitsui, Takahito] Potsdam Inst Climate Impact Res, Potsdam, Germany</t>
  </si>
  <si>
    <t>University of London; University College London; University of Cambridge; Technical University of Munich; Potsdam Institut fur Klimafolgenforschung</t>
  </si>
  <si>
    <t>Tzedakis, PC (corresponding author), UCL, Environm Change Res Ctr, Dept Geog, London, England.</t>
  </si>
  <si>
    <t>p.c.tzedakis@ucl.ac.uk</t>
  </si>
  <si>
    <t>IPO, PAGES/JXY-7546-2024; Tzedakis, Polychronis C/J-1894-2012; Wolff, Eric W/D-7925-2014</t>
  </si>
  <si>
    <t>Wolff, Eric W/0000-0002-5914-8531; Tzedakis, Polychronis/0000-0001-6072-1166</t>
  </si>
  <si>
    <t>UK Natural Environment Research Council [NE/V001620/1]; Royal Society Professorship; Volkswagen Foundation, Germany; NERC [NE/V001620/1] Funding Source: UKRI</t>
  </si>
  <si>
    <t>UK Natural Environment Research Council(UK Research &amp; Innovation (UKRI)Natural Environment Research Council (NERC)); Royal Society Professorship(Royal Society); Volkswagen Foundation, Germany(Volkswagen); NERC(UK Research &amp; Innovation (UKRI)Natural Environment Research Council (NERC))</t>
  </si>
  <si>
    <t>We thank Miles Irving for drafting Fig. 4 and Fig. S2. PCT acknowledges funding from the UK Natural Environment Research Council (NE/V001620/1). EWW is supported by a Royal Society Professorship. TM acknowledges funding from the Volkswagen Foundation, Germany. This is a contribution to the PAGES Working Group on Quaternary Interglacials (QUIGS).</t>
  </si>
  <si>
    <t>10.1016/j.quascirev.2022.107493</t>
  </si>
  <si>
    <t>WOS:000796233800001</t>
  </si>
  <si>
    <t>Qiu, XT; Carter, CG; Hilder, PE; Hadley, S</t>
  </si>
  <si>
    <t>Qiu, Xintong; Carter, Chris G.; Hilder, Pollyanna E.; Hadley, Scott</t>
  </si>
  <si>
    <t>A dynamic nutrient mass balance model for optimizing waste treatment in RAS and associated IMTA system</t>
  </si>
  <si>
    <t>AQUACULTURE</t>
  </si>
  <si>
    <t>Mass balance model; Recirculating aquaculture system; Integrated multitrophic aquaculture; Atlantic salmon</t>
  </si>
  <si>
    <t>MULTI-TROPHIC AQUACULTURE; SALMON SALMO-SALAR; POLYCHAETE HEDISTE-DIVERSICOLOR; ATLANTIC SALMON; DEPOSIT FEEDERS; GROWTH; TEMPERATURE; L.; DIGESTIBILITY; NITRIFICATION</t>
  </si>
  <si>
    <t>The combination of a Recirculation Aquaculture System (RAS) and Integrated Multi-trophic Aquaculture (IMTA) aims to optimize the utilization of nutrient input by recycling aquaculture wastes through use as food resources for co-cultured species. The coupling of RAS and IMTA also allows the development of new aquaculture products, potentially increasing economic return. A dynamic nutrient mass balance model was developed for a seawaterbased RAS system with a hypothetical IMTA component. The model incorporated a three-dimensional trophic food web (Atlantic salmon, Ulva lactuca and an invertebrate grazing species) alongside traditional mechanical and biological (nitrification) filtration processes. The model simulated different waste treatment methods using biological and mechanical filtration only and further incorporating macroalgae filtration. Simulations showed that RAS in combination with macroalgae IMTA could reduce dissolved inorganic nitrogen (DIN) by 66% and dissolved inorganic phosphorus (DIP) by 31% compared with just RAS biological filtration. Using an optimal harvesting strategy, DIN and DIP waste removal rose to 94% and 45% respectively, and an increase in byproducts biomass of 41%. The dynamic nutrient mass balance model provides a quantitative tool to better understand the fate of nutrients, and to optimize the design of the system. Although the commercial-scale development of this type of aquaculture system will depend on feasibility and profitability, the concept of combining RAS and IMTA provides important potential for sustainable aquaculture in the future.</t>
  </si>
  <si>
    <t>[Qiu, Xintong; Carter, Chris G.; Hilder, Pollyanna E.; Hadley, Scott] Univ Tasmania, Inst Marine &amp; Antarctic Studies, Private Bag 49, Hobart, Tas, Australia; [Hilder, Pollyanna E.] CSIRO Agr &amp; Food, Hobart, Tas 7000, Australia</t>
  </si>
  <si>
    <t>University of Tasmania; Commonwealth Scientific &amp; Industrial Research Organisation (CSIRO)</t>
  </si>
  <si>
    <t>Hadley, S (corresponding author), Univ Tasmania, Inst Marine &amp; Antarctic Studies, Private Bag 49, Hobart, Tas, Australia.</t>
  </si>
  <si>
    <t>s_hadley@utas.edu.au</t>
  </si>
  <si>
    <t>Carter, Chris Guy/0000-0001-5210-1282</t>
  </si>
  <si>
    <t>0044-8486</t>
  </si>
  <si>
    <t>1873-5622</t>
  </si>
  <si>
    <t>Aquaculture</t>
  </si>
  <si>
    <t>10.1016/j.aquaculture.2022.738216</t>
  </si>
  <si>
    <t>1D2VJ</t>
  </si>
  <si>
    <t>WOS:000793663000006</t>
  </si>
  <si>
    <t>Chignell, SM; Howkins, A; Gullett, P; Fountain, AG</t>
  </si>
  <si>
    <t>Chignell, Stephen M.; Howkins, Adrian; Gullett, Poppie; Fountain, Andrew G.</t>
  </si>
  <si>
    <t>Patterns of interdisciplinary collaboration resemble biogeochemical relationships in the McMurdo Dry Valleys, Antarctica: a historical social network analysis of science, 1907-2016</t>
  </si>
  <si>
    <t>Critical physical geography; environmental history; history of science; science and technology studies; scientometrics; visual network analysis</t>
  </si>
  <si>
    <t>Co-authorship networks can provide key insights into the production of scientific knowledge. This is particularly interesting in Antarctica, where most human activity relates to scientific research. Bibliometric studies of Antarctic science have provided a useful understanding of international and interdisciplinary collaboration, yet most research has focused on broad-scale analyses over recent time periods. Here, we take advantage of a 'Goldilocks' opportunity in the McMurdo Dry Valleys, an internationally important region of Antarctica and the largest ice-free region on the continent. The McMurdo Dry Valleys have attracted continuous and diverse scientific activity since 1958. It is a geographically confined region with limited access, making it possible to evaluate the influence of specific events and individuals. We trace the history of environmental science in this region using bibliometrics and social network analysis. Our results show a marked shift in focus from the geosciences to the biosciences, which mirrors wider trends in the history of science. Collaboration among individuals and academic disciplines increased through time, and the most productive scientists in the network are also the most interdisciplinary. Patterns of collaboration among disciplines resemble the biogeochemical relationships among respective landscape features, raising interesting questions about the role of the material environment in the development of scientific networks in the region, and the dynamic interaction with socio-cultural and political factors. Our focused, historical approach adds nuance to broad-scale bibliometric studies and could be applied to understanding the dynamics of scientific research in other regions of Antarctica and elsewhere.</t>
  </si>
  <si>
    <t>[Chignell, Stephen M.] Univ British Columbia, Inst Resources Environm &amp; Sustainabil, Aquat Ecosyst Res Lab, 2202 Main, Vancouver, BC V6T 1Z4, Canada; [Chignell, Stephen M.; Howkins, Adrian] Univ Colorado, Inst Arctic &amp; Alpine Res, Boulder, CO 80309 USA; [Howkins, Adrian] Univ Bristol, Dept Hist, Bristol, Avon, England; [Gullett, Poppie] Colorado State Univ, Dept Hist, Ft Collins, CO 80523 USA; [Fountain, Andrew G.] Portland State Univ, Dept Geol, Portland, OR 97207 USA; [Fountain, Andrew G.] Portland State Univ, Dept Geog, Portland, OR 97207 USA</t>
  </si>
  <si>
    <t>University of British Columbia; University of Colorado System; University of Colorado Boulder; University of Bristol; Colorado State University; Portland State University; Portland State University</t>
  </si>
  <si>
    <t>Chignell, SM (corresponding author), Univ British Columbia, Inst Resources Environm &amp; Sustainabil, Aquat Ecosyst Res Lab, 2202 Main, Vancouver, BC V6T 1Z4, Canada.</t>
  </si>
  <si>
    <t>chignell@ubc.ca</t>
  </si>
  <si>
    <t>Chignell, Stephen/0000-0002-8277-4338</t>
  </si>
  <si>
    <t>APR 6</t>
  </si>
  <si>
    <t>10.33265/polar.v41.8037</t>
  </si>
  <si>
    <t>0V3GP</t>
  </si>
  <si>
    <t>WOS:000788233200001</t>
  </si>
  <si>
    <t>Díaz-Ibarrola, D; Martínez, D; Vargas-Lagos, C; Saravia, J; Vargas-Chacoff, L</t>
  </si>
  <si>
    <t>Diaz-Ibarrola, Daniela; Martinez, Danixa; Vargas-Lagos, Carolina; Saravia, Julia; Vargas-Chacoff, Luis</t>
  </si>
  <si>
    <t>Transcriptional modulation of immune genes in gut of Sub-Antarctic notothenioid fish Eleginops maclovinus challenged with Francisella noatunensis subsp. noatunensis</t>
  </si>
  <si>
    <t>FISH &amp; SHELLFISH IMMUNOLOGY</t>
  </si>
  <si>
    <t>Eleginops maclovinus; Immune system; Gut; Sub-Antarctic notothenioid; Gene expression; Francisella noatunensis</t>
  </si>
  <si>
    <t>GADUS-MORHUA L.; FARMED ATLANTIC COD; PISCIRICKETTSIA-SALMONIS; IMMUNOLOGICAL RESPONSE; IDENTIFICATION; PHILOMIRAGIA; PATHOGEN; TILAPIA; EVOLUTION; PISCICIDA</t>
  </si>
  <si>
    <t>The search for functional foods that improve the immune response has traditionally been focused on lymphoid tissue and the intestinal mucosa. However, it is unknown whether there is a different immune response in different portions of the gut following exposure to a bacterial pathogen. We challenged Eleginops maclovinus intraperitoneally (i.p) with Francisella noatunensis subsp. noatunensis and measured mRNA transcripts related to innate and adaptive immune responses in different parts of the gut (foregut, midgut and hindgut). We used control (i.p only with bacterial culture medium), low dose (i.p of F. noatunensis at 1 x 10(1) bact/mu L), medium dose (i.p of F. noatunensis at 1 x 10(5) bact/mu L) and high dose (i.p of F. noatunensis at 1 x 10(10) bact/mu L) groups in our experiments. We sampled fish at days 1, 3, 7, 14, 21, and 28 post-injection. We observed tissue-specific expression of TLR1, TLR5, TLR8, MHCI, MHCII and IgM, and transcription of these immune markers was lower in foregut and higher in midgut and hindgut. We detected Francisella genetic material (DNA) in fish stimulated with a high dose from day 1-28 in foregut, midgut, and hindgut. However, we could only detect Francisella DNA in fish stimulated the medium and low dose at later timepoints in the foregut (21-28 days post injection dpi) and hindgut (low dose from day 7-28 dpi). Our results suggest that the immune responses to bacterial pathogens occur throughout the gut, but certain segments may be more susceptible to infection because of their cellular morphology (anterior, middle and posterior).</t>
  </si>
  <si>
    <t>[Diaz-Ibarrola, Daniela; Martinez, Danixa; Vargas-Lagos, Carolina; Saravia, Julia; Vargas-Chacoff, Luis] Univ Austral Chile, Fac Ciencias, Inst Ciencias Marinas &amp; Limnol, Lab Fisiol Peces, Valdivia, Chile; [Diaz-Ibarrola, Daniela; Vargas-Lagos, Carolina; Saravia, Julia; Vargas-Chacoff, Luis] Univ Austral Chile, Ctr Fondap Invest Altas Latitudes IDEAL, Valdivia, Chile; [Diaz-Ibarrola, Daniela; Saravia, Julia] Univ Austral Chile, Programa Doctorado Ciencias Acuicultura, Escuela Grad, Puerto Montt, Chile; [Martinez, Danixa] Univ Austral Chile, Fac Ciencias Vet, Inst Patol Anim, Lab Inmunol &amp; Estres Organismos Acuat, Valdivia, Chile; [Vargas-Chacoff, Luis] Univ Austral Chile, BASE, Millennium Inst Biodivers Antarctic &amp; Subantarcti, Valdivia, Chile</t>
  </si>
  <si>
    <t>Díaz-Ibarrola, D; Vargas-Lagos, C (corresponding author), Univ Austral Chile, Inst Ciencias Marinas &amp; Limnol, Lab Fisiol Peces, Valdivia, Chile.</t>
  </si>
  <si>
    <t>ddiazibarrola@gmail.com; luis.vargas@uach.cl</t>
  </si>
  <si>
    <t>Saravia, Julia/JKI-0931-2023</t>
  </si>
  <si>
    <t>Vargas-Chacoff, Luis/0000-0002-0497-2582; MARTINEZ GONZALEZ, DANIXA PAMELA/0000-0002-7363-419X</t>
  </si>
  <si>
    <t>Fondecyt [1160877]; VIDCA-UACH; Fondap-Ideal [15150003]</t>
  </si>
  <si>
    <t>Fondecyt(Comision Nacional de Investigacion Cientifica y Tecnologica (CONICYT)CONICYT FONDECYT); VIDCA-UACH; Fondap-Ideal</t>
  </si>
  <si>
    <t>This work was supported by VIDCA-UACH, Fondap-Ideal No15150003 and Fondecyt Regular No1160877.</t>
  </si>
  <si>
    <t>1050-4648</t>
  </si>
  <si>
    <t>1095-9947</t>
  </si>
  <si>
    <t>FISH SHELLFISH IMMUN</t>
  </si>
  <si>
    <t>Fish Shellfish Immunol.</t>
  </si>
  <si>
    <t>10.1016/j.fsi.2022.03.044</t>
  </si>
  <si>
    <t>Fisheries; Immunology; Marine &amp; Freshwater Biology; Veterinary Sciences</t>
  </si>
  <si>
    <t>6F6MI</t>
  </si>
  <si>
    <t>WOS:000884172000001</t>
  </si>
  <si>
    <t>Dall'Osto, M; Sotomayor-Garcia, A; Cabrera-Brufau, M; Berdalet, E; Vaqué, D; Zeppenfeld, S; van Pinxteren, M; Herrmann, H; Wex, H; Rinaldi, M; Paglione, M; Beddows, D; Harrison, R; Avila, C; Martin-Martin, RP; Park, J; Barbosa, A</t>
  </si>
  <si>
    <t>Dall'Osto, Manuel; Sotomayor-Garcia, Ana; Cabrera-Brufau, Miguel; Berdalet, Elisa; Vaque, Dolors; Zeppenfeld, Sebastian; van Pinxteren, Manuela; Herrmann, Hartmut; Wex, Heike; Rinaldi, Matteo; Paglione, Marco; Beddows, David; Harrison, Roy; Avila, Conxita; Martin-Martin, Rafael P.; Park, Jiyeon; Barbosa, Andres</t>
  </si>
  <si>
    <t>Leaching material from Antarctic seaweeds and penguin guano affects cloud-relevant aerosol production</t>
  </si>
  <si>
    <t>Sea spray aerosols; Antarctic; Sea ice-atmospheric interactions; Atmospheric marine biogeochemistry; CATCH; BEPSII; SOLAS</t>
  </si>
  <si>
    <t>SOUTH SHETLAND ISLANDS; PRIMARY MARINE AEROSOL; ICE-NUCLEATING PARTICLES; DYE-BINDING ASSAY; PLANKTONIC BACTERIA; FLOW-CYTOMETRY; CLIMATE-CHANGE; SEA; PHYTOPLANKTON; CARBON</t>
  </si>
  <si>
    <t>Within the Southern Ocean, the greatest warming is occurring on the Antarctic Peninsula (AP) where clear cryospheric and biological consequences are being observed. Antarctic coastal systems harbour a high diversity of marine and terrestrial ecosystems heavily influenced by Antarctic seaweeds (benthonic macroalgae) and bird colonies (mainly penguins). Primary sea spray aerosols (SSA) formed by the outburst of bubbles via the sea-surface microlayer depend on the organic composition of the sea water surface. In order to gain insight into the influence of ocean biology and biogeochemistry on atmospheric aerosol, we performed in situ laboratory aerosol bubble chamber experiments to study the effect of different leachates of biogenic material - obtained from common Antarctic seaweeds as well as penguin guano - on primary SSA. The addition of different leachate materials on a seawater sample showed a dichotomous effect depending on the leachate material added - either suppressing (up to 52%) or enhancing (22-88%) aerosol particle production. We found high ice nucleating particle number concentrations resulting from addition of guano leachate material. Given the evolution of upper marine polar coastal ecosystems in the AP, further studies on ocean-atmosphere coupling are needed in order to represent the currently poorly understood climate feedback processes.</t>
  </si>
  <si>
    <t>[Dall'Osto, Manuel; Sotomayor-Garcia, Ana; Cabrera-Brufau, Miguel; Berdalet, Elisa; Vaque, Dolors] CSIC, Dept Marine Biol &amp; Oceanog, Inst Marine Sci, Pg Maritim Barceloneta 37-49, E-08003 Barcelona, Catalonia, Spain; [Zeppenfeld, Sebastian; van Pinxteren, Manuela; Herrmann, Hartmut] Leibniz Inst Tropospher Res TROPOS, Atmospher Chem Dept ACD, D-04318 Leipzig, Germany; [Wex, Heike] Leibniz Inst Tropospher Res TROPOS, Expt Aerosol &amp; Cloud Microphys Dept, D-04318 Leipzig, Germany; [Rinaldi, Matteo; Paglione, Marco] CNR, Inst Atmospher Sci &amp; Climate, Bologna, Italy; [Beddows, David; Harrison, Roy] Univ Birmingham, Natl Ctr Atmospher Sci, Div Environm Hlth &amp; Risk Management, Sch Geog Earth &amp; Environm Sci, Birmingham B15 2TT, W Midlands, England; [Avila, Conxita; Martin-Martin, Rafael P.] Univ Barcelona, Dept Evolutionary Biol Ecol &amp; Environm Sci, Av Diagonal 643, Barcelona 08028, Catalonia, Spain; [Avila, Conxita; Martin-Martin, Rafael P.] Biodivers Res Inst IRBio, Av Diagonal 643, Barcelona 08028, Catalonia, Spain; [Park, Jiyeon] Korea Polar Res Inst, 26 Songdomirae Ro, Incheon 21990, South Korea; [Barbosa, Andres] CSIC, Dept Ecol Evolut, Museo Nacl Ciencias Nat, C Jose Gutierrez Abascal 2, Madrid 28006, Spain</t>
  </si>
  <si>
    <t>Consejo Superior de Investigaciones Cientificas (CSIC); CSIC - Centro Mediterraneo de Investigaciones Marinas y Ambientales (CMIMA); CSIC - Instituto de Ciencias del Mar (ICM); Leibniz Institut fur Tropospharenforschung (TROPOS); Leibniz Institut fur Tropospharenforschung (TROPOS); Consiglio Nazionale delle Ricerche (CNR); Istituto di Scienze dell'Atmosfera e del Clima (ISAC-CNR); University of Birmingham; UK Research &amp; Innovation (UKRI); Natural Environment Research Council (NERC); NERC National Centre for Atmospheric Science; University of Barcelona; Korea Polar Research Institute (KOPRI); Consejo Superior de Investigaciones Cientificas (CSIC); CSIC - Museo Nacional de Ciencias Naturales (MNCN)</t>
  </si>
  <si>
    <t>Dall'Osto, M (corresponding author), CSIC, Dept Marine Biol &amp; Oceanog, Inst Marine Sci, Pg Maritim Barceloneta 37-49, E-08003 Barcelona, Catalonia, Spain.</t>
  </si>
  <si>
    <t>dallosto@icm.csic.es</t>
  </si>
  <si>
    <t>amplification, ³ - Arctic/AAU-6640-2020; Cabrera-Brufau, Miguel/G-4391-2015; Zeppenfeld, Sebastian/JRW-2179-2023; Herrmann, Hartmut/C-2486-2009; Zeppenfeld, Sebastian/JVD-7795-2023; Paglione, Marco/J-9760-2012; Harrison, Roy Michael/A-2256-2008; Beddows, David/ABA-7223-2021; dallosto, manuel/G-3584-2016; Avila, Conxita/B-9466-2008</t>
  </si>
  <si>
    <t>Cabrera-Brufau, Miguel/0000-0002-0740-9306; Herrmann, Hartmut/0000-0001-7044-2101; Paglione, Marco/0000-0002-4423-2570; Harrison, Roy/0000-0002-2684-5226; Zeppenfeld, Sebastian/0000-0003-4622-3181; Beddows, David/0000-0001-9277-2099; dallosto, manuel/0000-0003-4203-894X; Avila, Conxita/0000-0002-5489-8376; Martin-Martin, Rafael P./0000-0002-6650-6771</t>
  </si>
  <si>
    <t>Spanish Ministry of Economy [CTM 2017-89117-R]; Ramon y Cajal fellowship [RYC-2012-11922]; 'Severo Ochoa Centre of Excellence' accreditation [CEX2019-000928-S]; UK Natural Environment Research Council; Deutsche Forschungsgemeinschaft (DFG, German Research Foundation) [268020496-TRR 172]</t>
  </si>
  <si>
    <t>Spanish Ministry of Economy(Spanish Government); Ramon y Cajal fellowship(Spanish Government); 'Severo Ochoa Centre of Excellence' accreditation; UK Natural Environment Research Council(UK Research &amp; Innovation (UKRI)Natural Environment Research Council (NERC)); Deutsche Forschungsgemeinschaft (DFG, German Research Foundation)(German Research Foundation (DFG))</t>
  </si>
  <si>
    <t>The study was further supported by the Spanish Ministry of Economy through project PI-ICE (no. CTM 2017-89117-R) and the Ramon y Cajal fellowship (no. RYC-2012-11922). This work acknowledges the 'Severo Ochoa Centre of Excellence' accreditation (CEX2019-000928-S). The National Centre for Atmospheric Science (NCAS) Birmingham group is funded by the UK Natural Environment Research Council. DOC was analyzed by Mara Abad (ICM-CSIC) and the POC was analyzed at the IIM-CSIC (Vigo). We gratefully acknowledge the funding by the Deutsche Forschungsgemeinschaft (DFG, German Research Foundation, Projektnummer 268020496-TRR 172) within the Transregional Collaborative Research Center ArctiC Amplification: Climate Relevant Atmospheric and SurfaCe Processes, and Feedback Mechanisms (AC)3 in subproject B04.</t>
  </si>
  <si>
    <t>JUL 20</t>
  </si>
  <si>
    <t>10.1016/j.scitotenv.2022.154772</t>
  </si>
  <si>
    <t>2R4AB</t>
  </si>
  <si>
    <t>WOS:000821053200005</t>
  </si>
  <si>
    <t>Cong, BL; Li, S; Liu, SH; Mi, WY; Liu, SF; Zhang, ZH; Xie, ZY</t>
  </si>
  <si>
    <t>Cong, Bailin; Li, Shuang; Liu, Shenghao; Mi, Wenying; Liu, Shengfa; Zhang, Zhaohui; Xie, Zhiyong</t>
  </si>
  <si>
    <t>Source and Distribution of Emerging and Legacy Persistent Organic Pollutants in the Basins of the Eastern Indian Ocean</t>
  </si>
  <si>
    <t>persistent organic pollutants (POPs); Eastern Indian Ocean (EIO); basins; pollutants sources; depositional flux (DF); mass inventory (MI)</t>
  </si>
  <si>
    <t>POLYBROMINATED DIPHENYL ETHERS; ORGANOPHOSPHORUS FLAME RETARDANTS; POLYCYCLIC AROMATIC-HYDROCARBONS; DECHLORANE PLUS; PHTHALATE-ESTERS; ACID-ESTERS; BISPHENOL-A; LAND-USE; SEDIMENTS; WATER</t>
  </si>
  <si>
    <t>Persistent organic pollutants (POPs) have received significant and ongoing attention. To establish favorable regulatory policies, it is vital to investigate the occurrence, source, and budgets of POPs worldwide. POPs including phthalic acid esters (PAEs), organophosphate esters (OPEs), brominated flame retardants (BFRs), and highly chlorinated flame retardants (HFRs) have not yet been examined in the Eastern Indian Ocean (EIO). In this study, the distribution of POPs has been investigated from surface sediments with the depth of 4369-5742 m in the Central Indian Ocean Basin (CIOB) and Wharton Basin (WB) of EIO. The average (+/- SD) concentrations of Sigma(11)PAEs, Sigma 11OPEs, Sigma(4) BFRs, and Sigma(5)HFRs were 1202.0 +/- 274.36 ng g(-1) dw, 15.3 +/- 7.23 ng g(-1) dw, 327.6 +/- 211.74 pg g(-1) dw, and 7.9 +/- 7.45 pg g(-1) dw, respectively. The high abundance of low-molecular-weight (LMW) PAEs, chlorinated OPEs, LMW BDEs, and anti-Dechlorane Plus indicated the pollution characteristics in the EIO. Correlation analysis demonstrated that LMW compounds may be derived from the high-molecular-weight compounds. The monsoon circulation, currents, and Antarctic Bottom Water may be the main drivers. POP accumulation rate, depositional flux, and mass inventory in the Indian Ocean were also estimated.</t>
  </si>
  <si>
    <t>[Cong, Bailin; Li, Shuang; Liu, Shenghao; Liu, Shengfa; Zhang, Zhaohui] Minist Nat Resources, Inst Oceanog 1, Qingdao 266061, Peoples R China; [Cong, Bailin] Fuzhou Univ, Sch Adv Mfg, Fuzhou 350108, Peoples R China; [Mi, Wenying] MINJIE Inst Environm Sci &amp; Hlth Res, D-21502 Geesthacht, Germany; [Xie, Zhiyong] Helmholtz Zentrum Hereon, Inst Coastal Environm Chem, D-21502 Geesthacht, Germany</t>
  </si>
  <si>
    <t>First Institute of Oceanography, Ministry of Natural Resources; Ministry of Natural Resources of the People's Republic of China; Fuzhou University; Helmholtz Association; Helmholtz-Zentrum Hereon</t>
  </si>
  <si>
    <t>Liu, SF; Zhang, ZH (corresponding author), Minist Nat Resources, Inst Oceanog 1, Qingdao 266061, Peoples R China.</t>
  </si>
  <si>
    <t>liushengfa@fio.org.cn; zhangzhaohui@fio.org.cn</t>
  </si>
  <si>
    <t>Liu, Shenghao/ISU-3076-2023; Li, Shuang/GQQ-1356-2022</t>
  </si>
  <si>
    <t>Liu, Shenghao/0000-0002-1449-3526; Li, Shuang/0000-0002-9751-6251; Xie, Zhiyong/0000-0001-8997-3930; Liu, Shengfa/0000-0002-2558-6701</t>
  </si>
  <si>
    <t>GEF-FAO Project: Demonstration of Estuarine Biodiversity Conservation, Restoration and Protected Area Networking in China [GCP/CPR/045/GFF]; Chinese National Natural Science Foundation [41006102, 42176089]; National Programme on Global Change and Air-Sea Interaction [GASI-04-HYDZ-02]</t>
  </si>
  <si>
    <t>GEF-FAO Project: Demonstration of Estuarine Biodiversity Conservation, Restoration and Protected Area Networking in China; Chinese National Natural Science Foundation(National Natural Science Foundation of China (NSFC)); National Programme on Global Change and Air-Sea Interaction</t>
  </si>
  <si>
    <t>This work was financially supported by GEF-FAO Project: Demonstration of Estuarine Biodiversity Conservation, Restoration and Protected Area Networking in China (GCP/CPR/045/GFF), Chinese National Natural Science Foundation (grant nos.: 41006102 and 42176089), and National Programme on Global Change and Air-Sea Interaction (GASI-04-HYDZ-02). We are very grateful to the captains, crew, and research teams for their assistance during the sampling campaigns.</t>
  </si>
  <si>
    <t>APR 5</t>
  </si>
  <si>
    <t>10.1021/acs.est.1c08743</t>
  </si>
  <si>
    <t>2E4OA</t>
  </si>
  <si>
    <t>WOS:000812206200001</t>
  </si>
  <si>
    <t>Wang, QH; Zhang, J; Liu, Y; Jia, Y; Jiao, YN; Xu, B; Chen, ZD</t>
  </si>
  <si>
    <t>Wang, Qing-Hua; Zhang, Jian; Liu, Yang; Jia, Yu; Jiao, Yuan-Nian; Xu, Bo; Chen, Zhi-Duan</t>
  </si>
  <si>
    <t>Diversity, phylogeny, and adaptation of bryophytes: insights from genomic and transcriptomic data</t>
  </si>
  <si>
    <t>Adaptation; genome; hornworts; liverworts; mosses; plant terrestrialization; transcriptome</t>
  </si>
  <si>
    <t>EARLY LAND PLANTS; PHYSCOMITRELLA-PATENS; ANTARCTIC MOSS; EVOLUTIONARY INSIGHTS; MARCHANTIA-POLYMORPHA; POHLIA-NUTANS; B RADIATION; KNOX GENES; DIVERSIFICATION; REVEALS</t>
  </si>
  <si>
    <t>We review recent advances in the knowledge of bryophyte diversity, phylogeny, and adaptation made using genomic and transcriptomic data, and particularly emphasize their adaptation to early land environments and modern ecosystems. Bryophytes including mosses, liverworts, and hornworts are among the earliest land plants, and occupy a crucial phylogenetic position to aid in the understanding of plant terrestrialization. Despite their small size and simple structure, bryophytes are the second largest group of extant land plants. They live ubiquitously in various habitats and are highly diversified, with adaptive strategies to modern ecosystems on Earth. More and more genomes and transcriptomes have been assembled to address fundamental questions in plant biology. Here, we review recent advances in bryophytes associated with diversity, phylogeny, and ecological adaptation. Phylogenomic studies have provided increasing supports for the monophyly of bryophytes, with hornworts sister to the Setaphyta clade including liverworts and mosses. Further comparative genomic analyses revealed that multiple whole-genome duplications might have contributed to the species richness and morphological diversity in mosses. We highlight that the biological changes through gene gain or neofunctionalization that primarily evolved in bryophytes have facilitated the adaptation to early land environments; among the strategies to adapt to modern ecosystems in bryophytes, desiccation tolerance is the most remarkable. More genomic information for bryophytes would shed light on key mechanisms for the ecological success of these 'dwarfs' in the plant kingdom.</t>
  </si>
  <si>
    <t>[Wang, Qing-Hua; Zhang, Jian; Jia, Yu; Jiao, Yuan-Nian; Xu, Bo; Chen, Zhi-Duan] Chinese Acad Sci, Inst Bot, State Key Lab Systemat &amp; Evolutionary Bot, Beijing 100093, Peoples R China; [Liu, Yang] Fairy Lake Bot Garden, Lab Southern Subtrop Plant Divers, Shenzhen 518004, Peoples R China; [Liu, Yang] Chinese Acad Sci, Shenzhen 518004, Peoples R China</t>
  </si>
  <si>
    <t>Chinese Academy of Sciences; Institute of Botany, CAS; Chinese Academy of Sciences</t>
  </si>
  <si>
    <t>Chen, ZD (corresponding author), Chinese Acad Sci, Inst Bot, State Key Lab Systemat &amp; Evolutionary Bot, Beijing 100093, Peoples R China.</t>
  </si>
  <si>
    <t>zhiduan@ibcas.ac.cn</t>
  </si>
  <si>
    <t>Xu, Bo/C-3471-2014; Wang, Qinghua/GVT-3252-2022; jia, yu/HHR-9047-2022</t>
  </si>
  <si>
    <t>Xu, Bo/0000-0001-7264-7127</t>
  </si>
  <si>
    <t>National Natural Science Foundation of China [NNSF 32070233, 31970214]; Open Research Foundation of State Key Laboratory of Systematic and Evolutionary Botany, Institute of Botany, Chinese Academy of Sciences [LSEB2021-2]</t>
  </si>
  <si>
    <t>National Natural Science Foundation of China(National Natural Science Foundation of China (NSFC)); Open Research Foundation of State Key Laboratory of Systematic and Evolutionary Botany, Institute of Botany, Chinese Academy of Sciences</t>
  </si>
  <si>
    <t>This work was supported by the National Natural Science Foundation of China (grant nos NNSF 32070233 and 31970214) and the Open Research Foundation of State Key Laboratory of Systematic and Evolutionary Botany, Institute of Botany, Chinese Academy of Sciences (grant no. LSEB2021-2).</t>
  </si>
  <si>
    <t>10.1093/jxb/erac127</t>
  </si>
  <si>
    <t>WOS:000811211600001</t>
  </si>
  <si>
    <t>Centurion, VB; Silva, JB; Duarte, AWF; Rosa, LH; Oliveira, VM</t>
  </si>
  <si>
    <t>Centurion, V. B.; Silva, J. B.; Duarte, A. W. F.; Rosa, L. H.; Oliveira, V. M.</t>
  </si>
  <si>
    <t>Comparing resistome profiles from anthropogenically impacted and non-impacted areas of two South Shetland Islands-Maritime Antarctica</t>
  </si>
  <si>
    <t>Antibiotic resistance genes; Biocide resistance genes; Heavy metal resistance genes; Anthropogenic impact; Deception island; Livingston island; Metagenomics</t>
  </si>
  <si>
    <t>DECEPTION-ISLAND; RESISTANCE GENES; HEAVY-METALS; ANTIBIOTICS; METAGENOMICS; ALIGNMENT</t>
  </si>
  <si>
    <t>Whalers Bay, in Deception Island, has one of the most anthropogenically impacted areas in Maritime Antarctica. However, considering the volcanic nature (high concentrations of heavy metals) of Deception Island's soils, this putative anthropogenic impact should be carefully investigated. In this context, the objective of this study was to compare resistome profiles of impacted and non-impacted areas in Deception Island (Whalers Bay, Crater Lake, and Fumarole Bay) and Livingston Island (Hannah Point) in order to investigate the microbiome tolerance/ resistance mechanisms selected as a function of environmental drivers. Metagenomics was used to search for genes conferring resistance/tolerance to antibiotics, biocides, and heavy metals. Whalers Bay has a greater diversity of antibiotic, biocide, and heavy metal resistance classes found in its microbiomes. However, Hannah Point, at Livingston Island, has a greater abundance of antibiotic and biocide resistance/tolerance genes. The microbiome of Deception Island's non-impacted areas (Crater Lake and Fumarole Bay) showed resistance/ tolerance genes almost entirely to heavy metals. Pb was found in higher concentrations in Whalers Bay soil in comparison to the other areas, indicating human contamination. The non-metric multidimensional scaling (NMDS) analysis revealed that Pb concentrations influenced resistome profiles in Whalers Bay soil. Despite the effect of Pb on the microbial communities of Whalers Bay, most heavy metal concentrations did not have a significant impact on resistome genes, suggesting that the volcanic soil heavy metal concentration of Deception Island has little biological influence.</t>
  </si>
  <si>
    <t>[Centurion, V. B.; Silva, J. B.; Oliveira, V. M.] State Univ Campinas UNICAMP, Res Ctr Chem Biol &amp; Agr CPQBA, Microbial Resources Div, BR-13081970 Paulinia, SP, Brazil; [Centurion, V. B.; Silva, J. B.] State Univ Campinas UNICAMP, Biol Inst, BR-13083862 Campinas, SP, Brazil; [Duarte, A. W. F.] Univ Fed Alagoas, Campus Arapiraca UFAL, BR-57309005 Arapiraca, AL, Brazil; [Rosa, L. H.] Fed Univ Minas Gerais UFMG, Inst Biol Sci, BR-31270901 Belo Horizonte, MG, Brazil</t>
  </si>
  <si>
    <t>Universidade Estadual de Campinas; Universidade Estadual de Campinas; Universidade Federal de Alagoas; Universidade Federal de Minas Gerais</t>
  </si>
  <si>
    <t>Centurion, VB (corresponding author), State Univ Campinas UNICAMP, Biol Inst, BR-13083862 Campinas, SP, Brazil.</t>
  </si>
  <si>
    <t>vborincenturion@gmail.com; jessybbio@gmail.com; alysson.duarte@arapiraca.ufal.br; lhrosa@icb.ufmg.br; vmaia@cpqba.unicamp.br</t>
  </si>
  <si>
    <t>Duarte, Alysson Wagner Fernandes/S-8062-2019; Oliveira, Valéria Maia/L-2422-2014; da Silva, Jessica/J-7536-2018</t>
  </si>
  <si>
    <t>Duarte, Alysson Wagner Fernandes/0000-0001-9626-7524; Oliveira, Valéria Maia/0000-0001-8817-4758; Centurion, Victor/0000-0002-5597-8554; da Silva, Jessica/0000-0002-5979-5851</t>
  </si>
  <si>
    <t>Sao Paulo Research Foundation-FAPESP; Proan-tar-Brazilian Antarctic Program</t>
  </si>
  <si>
    <t>Sao Paulo Research Foundation-FAPESP(Fundacao de Amparo a Pesquisa do Estado de Sao Paulo (FAPESP)); Proan-tar-Brazilian Antarctic Program</t>
  </si>
  <si>
    <t>The authors are grateful to the Sao Paulo Research Foundation-FAPESP (Processes no. 2016/05640-6 and 2017/03172-8) , the Proantar-Brazilian Antarctic Program and the Project MycoAntar-diversity and bioprospecting of Antarctic fungi.</t>
  </si>
  <si>
    <t>10.1016/j.envpol.2022.119219</t>
  </si>
  <si>
    <t>0Z8SI</t>
  </si>
  <si>
    <t>WOS:000791341100002</t>
  </si>
  <si>
    <t>Maldonado, A; de Porras, ME; Martel-Cea, A; Reyes, O; Nuevo-Delaunay, A; Mendez, C</t>
  </si>
  <si>
    <t>Maldonado, Antonio; de Porras, Maria Eugenia; Martel-Cea, Alejandra; Reyes, Omar; Nuevo-Delaunay, Amalia; Mendez, Cesar</t>
  </si>
  <si>
    <t>Holocene Environmental Dynamics of the Lago Cochrane/Pueyrredon Valley, Central West Patagonia (47°S)</t>
  </si>
  <si>
    <t>Holocene; pollen records; human-environment interaction; environmental dynamics; Central West Patagonia</t>
  </si>
  <si>
    <t>SOUTHERN ANNULAR MODE; CAL YR BP; DECIDUOUS NOTHOFAGUS FORESTS; CENTRAL CHILEAN PATAGONIA; LAST GLACIAL TERMINATION; ANTARCTIC COLD REVERSAL; POSTGLACIAL VEGETATION; FIRE REGIMES; CLIMATE CHANGES; POLLEN RECORD</t>
  </si>
  <si>
    <t>Deglaciation modeling of the Patagonian Ice Field since the Last Glacial Maximum has been a topic of intensive research in Central West Patagonia (44 degrees-49 degrees S). However, the chronology of deglaciation onset, acceleration, and the subsequent thinning and recession of the different ice lobes as well as the timing and extension of large proglacial systems are still a matter of discussion. The maximum eastward extension the Lago Cochrane/Pueyrredon ice lobe was around similar to 20,000-27,000 cal yrs BP; its associated proglacial lake drained toward the Pacific between 12,600 and 8,000 cal yrs BP. This study presents the first two pollen and charcoal records from the Lago Cochrane/Pueyrredon valley, spanning the last 11,650 cal yrs BP. The Laguna Maldonado record spans between 11,650 and 8,500 cal yrs BP, while the Laguna Anonima record the last 8,500 cal yrs BP, thereby overlapping chronologically. The lithological record of Laguna Maldonado shows that organic sedimentation began at the onset of the Holocene (11,650 cal yrs BP), once the site was free of glacio-lacustrine influence. Between 11,650 and 10,500 cal yrs BP, an open Nothofagus forest developed associated with high fire occurrence/frequency, followed by a transitional phase to a closer forest associated with a shift from low to high fire activity up to 9,400 cal yrs BP. Between 9,400 and 8,500 cal yrs BP, the Laguna Maldonado record suggests the development of an open forest or probably scattered patches of forest of variable size in a steppe matrix, probably related to geomorphological and paraglacial dynamics as well as climatic forcings, while the Laguna Anonima record indicates the development of a closed Nothofagus forest and high to low fire occurrence/frequency from 8,200 to 3,800 cal yrs BP. Since 3,800 cal yrs BP, a highly dynamic open forest or forest patches scattered in a grass/shrub-grass steppe matrix occurred around Laguna Anonima associated with high fire occurrence/frequency synchronous with an important increase in the presence of hunter-gatherers during the last 3,000 years. The results from the Lago Cochrane/Pueyrredon valley are integrated and discussed at the regional scale alongside other records from Central West Patagonia.</t>
  </si>
  <si>
    <t>[Maldonado, Antonio; Martel-Cea, Alejandra] Ctr Estudios Avanzados Zonas Aridas CEAZA, La Serena, Chile; [Maldonado, Antonio] Univ Catolica Norte, Dept Biol Marina, Coquimbo, Chile; [de Porras, Maria Eugenia] CCT CONICET Mendoza, Inst Argentino Nivol Glaciol &amp; Ciencias Ambiental, Mendoza, Argentina; [Martel-Cea, Alejandra] Univ Austral Chile, Fac Ciencias, Inst Ciencias Tierra, Valdivia, Chile; [Reyes, Omar; Nuevo-Delaunay, Amalia; Mendez, Cesar] Ctr Invest Ecosistemas Patagonia CIEP, Coyhaique, Chile; [Reyes, Omar] Univ Magallanes, Ctr Estudios Hombre Austral, Inst Patagonia, Punta, Chile</t>
  </si>
  <si>
    <t>Universidad Catolica del Norte; Consejo Nacional de Investigaciones Cientificas y Tecnicas (CONICET); Universidad Austral de Chile; Universidad de Magallanes</t>
  </si>
  <si>
    <t>Maldonado, A (corresponding author), Ctr Estudios Avanzados Zonas Aridas CEAZA, La Serena, Chile.;Maldonado, A (corresponding author), Univ Catolica Norte, Dept Biol Marina, Coquimbo, Chile.</t>
  </si>
  <si>
    <t>antonio.maldonado@ceaza.cl</t>
  </si>
  <si>
    <t>Maldonado, Antonio/D-7568-2013; Nuevo-Delaunay, Amalia/B-3325-2017</t>
  </si>
  <si>
    <t>Nuevo-Delaunay, Amalia/0000-0003-0501-4404; Maldonado, Antonio/0000-0002-1748-6639; Martel-Cea, Alejandra/0000-0001-8132-3765</t>
  </si>
  <si>
    <t>10.3389/feart.2022.833637</t>
  </si>
  <si>
    <t>1A6AH</t>
  </si>
  <si>
    <t>WOS:000791836800001</t>
  </si>
  <si>
    <t>Barbaro, E; Feltracco, M; Spagnesi, A; Dallo, F; Gabrieli, J; De Blasi, F; Zannoni, D; Cairns, WRL; Gambaro, A; Barbante, C</t>
  </si>
  <si>
    <t>Barbaro, Elena; Feltracco, Matteo; Spagnesi, Azzurra; Dallo, Federico; Gabrieli, Jacopo; De Blasi, Fabrizio; Zannoni, Daniele; Cairns, Warren R. L.; Gambaro, Andrea; Barbante, Carlo</t>
  </si>
  <si>
    <t>Fast Liquid Chromatography Coupled with Tandem MassSpectrometry for the Analysis of Vanillic and Syringic Acids in IceCores</t>
  </si>
  <si>
    <t>ANALYTICAL CHEMISTRY</t>
  </si>
  <si>
    <t>ARCTIC ICE CORE; ANTARCTIC ICE; MOLECULAR TRACERS; ORGANIC AEROSOLS; EMISSION FACTORS; HIGH-RESOLUTION; AROMATIC-ACIDS; FIRE HISTORY; PROXY RECORD; IDENTIFICATION</t>
  </si>
  <si>
    <t>The development of new analytical systems and theimprovement of the existing ones to obtain high-resolutionmeasurements of chemical markers in samples from ice cores, isone of the main challenges the paleoclimatic scientific community isfacing. Different chemical species can be used as markers fortracking emission sources or specific environmental processes.Although some markers, such as methane sulfonic acid (a proxy ofmarine productivity), are commonly used, there is a lack of data onother organic tracers in ice cores, making their continuous analysisanalytically challenging. Here, we present an innovative combina-tion of fast liquid chromatography coupled with tandem massspectrometry (FLC-MS/MS) to continuously determine organicmarkers in ice cores. After specific optimization, this approach wasapplied to the quantification of vanillic and syringic acids, two specific markers for biomass burning. Using the validated method,detection limits of 3.6 and 4.6 pg mL-1for vanillic and syringic acids, respectively, were achieved. Thanks to the coupling of FLC-MS/MS with the continuousflow analytical system, we obtained one measurement every 30 s, which corresponds to a samplingresolution of a sample every 1.5 cm with a melting rate of 3.0 cm min-1. To check the robustness of the method, we analyzed twoparallel sticks of an alpine ice core over more than 5 h. Vanillic acid was found with concentrations in the range of picograms permilliliter, suggesting the combustion of coniferous trees, which are found throughout the Italian Alps.</t>
  </si>
  <si>
    <t>[Barbaro, Elena; Feltracco, Matteo; Gabrieli, Jacopo; De Blasi, Fabrizio; Cairns, Warren R. L.; Gambaro, Andrea; Barbante, Carlo] Natl Res Council CNR ISP, Inst Polar Sci, I-15530172 Venice Mestre, VE, Italy; [Barbaro, Elena; Feltracco, Matteo; Spagnesi, Azzurra; Dallo, Federico; Gabrieli, Jacopo; De Blasi, Fabrizio; Zannoni, Daniele; Cairns, Warren R. L.; Gambaro, Andrea; Barbante, Carlo] CaFoscari Univ Venice, Dept Environm Sci Informat &amp; Stat, I-15530172 Venice Mestre, VE, Italy; [Dallo, Federico] Univ Calif Berkeley, Ctr Built Environm, Berkeley, CA 94720 USA; [Zannoni, Daniele] Univ Bergen, Geophys Inst, NO-5020 Bergen, Norway; [Zannoni, Daniele] Bjerknes Ctr Climate Res, NO-5020 Bergen, Norway</t>
  </si>
  <si>
    <t>Consiglio Nazionale delle Ricerche (CNR); Istituto di Scienze Polari (ISP-CNR); Universita Ca Foscari Venezia; University of California System; University of California Berkeley; University of Bergen; Bjerknes Centre for Climate Research</t>
  </si>
  <si>
    <t>Feltracco, M (corresponding author), Natl Res Council CNR ISP, Inst Polar Sci, I-15530172 Venice Mestre, VE, Italy.;Feltracco, M (corresponding author), CaFoscari Univ Venice, Dept Environm Sci Informat &amp; Stat, I-15530172 Venice Mestre, VE, Italy.</t>
  </si>
  <si>
    <t>matteo.feltracco@unive.it</t>
  </si>
  <si>
    <t>Zannoni, Daniele/S-9680-2019; Barbaro, Elena/AAX-8809-2020; Barbante, Carlo/B-3195-2011</t>
  </si>
  <si>
    <t>Zannoni, Daniele/0000-0003-0397-1542; Barbaro, Elena/0000-0003-2639-7475; Jacopo, Gabrieli/0009-0001-7005-7390; Spagnesi, Azzurra/0000-0001-8686-1052; Barbante, Carlo/0000-0003-4177-2288; Feltracco, Matteo/0000-0003-3907-4798; de Blasi, Fabrizio/0000-0002-3915-0124</t>
  </si>
  <si>
    <t>Italian Ministry of University and Research (MIUR); Italian Ministry of University and Research (MIUR) through the project ICE MEMORY-An International Salvage Program; European Union [815384]; Crafoord Foundation; H2020 Societal Challenges Programme [815384] Funding Source: H2020 Societal Challenges Programme</t>
  </si>
  <si>
    <t>Italian Ministry of University and Research (MIUR)(Ministry of Education, Universities and Research (MIUR)); Italian Ministry of University and Research (MIUR) through the project ICE MEMORY-An International Salvage Program; European Union(European Union (EU)); Crafoord Foundation; H2020 Societal Challenges Programme(Horizon 2020European Union (EU)H2020 Societal Challenges Programme)</t>
  </si>
  <si>
    <t>This research was funded by the Italian Ministry of University and Research (MIUR) within the framework of the project Innovative Analytical Methods to study biogenic and anthropogenic proxies in Ice Cores AMICO (PRIN 2017). This research received funds by the Italian Ministry of University and Research (MIUR) through the project ICE MEMORY-An International Salvage Program (FISR. C.N.R. 2017). This publication was generated in the frame of Beyond EPICA. The project has received funding from the European Union's Horizon 2020 research and innovation programme under grant agreement no. 815384 (Oldest Ice Core). It is supported by national partners and funding agencies in Belgium, Denmark, France, Germany, Italy, Norway, Sweden (through the Crafoord Foundation), and Switzerland, The Netherlands and the United Kingdom. Logistic support is mainly provided by ENEA and IPEV through the Concordia Station system. The opinions expressed and arguments employed herein do not necessarily reflect the official views of the European Union funding agency or other national funding bodies. This is Beyond EPICA publication number 26. The authors are grateful to Franco Abballe, Diego Visentin, and Debora D'Addona e Tiziana Ladisa (Thermo Fischer Scientific) for technical instrumental support and their help and cooperation during the activities.</t>
  </si>
  <si>
    <t>0003-2700</t>
  </si>
  <si>
    <t>1520-6882</t>
  </si>
  <si>
    <t>ANAL CHEM</t>
  </si>
  <si>
    <t>Anal. Chem.</t>
  </si>
  <si>
    <t>10.1021/acs.analchem.1c05412</t>
  </si>
  <si>
    <t>0S4OL</t>
  </si>
  <si>
    <t>WOS:000786254500016</t>
  </si>
  <si>
    <t>Znój, A; Grzesiak, J; Gawor, J; Gromadka, R; Chwedorzewska, KJ</t>
  </si>
  <si>
    <t>Znoj, Anna; Grzesiak, Jakub; Gawor, Jan; Gromadka, Robert; Chwedorzewska, Katarzyna J.</t>
  </si>
  <si>
    <t>Highly specialized bacterial communities within three distinct rhizocompartments of Antarctic hairgrass (Deschampsia antarctica Desv.)</t>
  </si>
  <si>
    <t>Antarctica; Bacterial community; Clavibacter sp; Microbiome; Plant growth promotion</t>
  </si>
  <si>
    <t>KING GEORGE ISLAND; VASCULAR PLANTS; SOIL; MICROORGANISMS; ENUMERATION; DIVERSITY; GROWTH; TEMPERATURE; ABUNDANCE; SEAWATER</t>
  </si>
  <si>
    <t>Antarctic hairgrass, Deschampsia antarctica Desv. (Poaceae), is one of the two flowering plants that have an established presence in Maritime Antarctica. It has adapted to varying edaphic and climatic conditions. D. antarctica's associations with soil-dwelling bacteria have long been suspected to add to its remarkable resilience. In this study, three compartments within D. antarctica root system and soil have been investigated as microbial habitats: the rhizosphere (root-adjacent soil particles), rhizoplane (root surface) and endosphere (root interior). For this purpose, a modification of existing methods of bacterial extraction from cryophilic plant rhizocompartments was devised with the temperature sensitivity of the source material in mind. Next-generation targeted 16S rRNA gene amplicon sequencing and a culture-based approach were employed to explore the bacterial community residing within those three rhizocompartments. Results showed that each of the compartments housed a distinct bacterial community not only in terms of phylogenetic diversity but also concerning plant-beneficial and -adaptive traits. Although most cultivable bacteria displayed plant-growth promoting abilities such as rock-phosphate solubilisation and phytohormone production (Arthrobacter spp.), some could be potential pathogens (Clavibacter sp.). This study highlights the need for amending the still scarce information on the microbiome of Antarctic flora but also gives tools and insight to explore it further.</t>
  </si>
  <si>
    <t>[Znoj, Anna; Grzesiak, Jakub] Polish Acad Sci, Inst Biochem &amp; Biophys, Dept Antarctic Biol, Pawinskiego 5A, PL-02106 Warsaw, Poland; [Znoj, Anna] Polish Acad Sci, Bot Garden, Ctr Biol Divers Conservat, Prawdziwka 2, PL-02973 Warsaw, Poland; [Gawor, Jan; Gromadka, Robert] Polish Acad Sci, Inst Biochem &amp; Biophys, Environm Lab DNA Sequencing &amp; Synth, Pawinskiego 5A, PL-02106 Warsaw, Poland; [Chwedorzewska, Katarzyna J.] Warsaw Univ Life Sci SGGW, Dept Bot, Nowoursynowska 159, PL-02776 Warsaw, Poland</t>
  </si>
  <si>
    <t>Polish Academy of Sciences; Institute of Biochemistry &amp; Biophysics - Polish Academy of Sciences; Polish Academy of Sciences; Polish Academy of Sciences; Institute of Biochemistry &amp; Biophysics - Polish Academy of Sciences; Warsaw University of Life Sciences</t>
  </si>
  <si>
    <t>Grzesiak, J (corresponding author), Polish Acad Sci, Inst Biochem &amp; Biophys, Dept Antarctic Biol, Pawinskiego 5A, PL-02106 Warsaw, Poland.</t>
  </si>
  <si>
    <t>jgrzesiak@ibb.waw.pl</t>
  </si>
  <si>
    <t>Gawor, Jan/ITV-1884-2023; Chwedorzewska, Katarzyna/M-9721-2019; Znój, Anna/AAX-3819-2021</t>
  </si>
  <si>
    <t>Gawor, Jan/0000-0003-3800-2557; Chwedorzewska, Katarzyna/0000-0001-6860-3666; Znój, Anna/0000-0002-8424-6707; Grzesiak, Jakub/0000-0001-5972-2356</t>
  </si>
  <si>
    <t>National Science Center, Poland [2016/21/N/NZ9/01536]</t>
  </si>
  <si>
    <t>National Science Center, Poland(National Science Centre, Poland)</t>
  </si>
  <si>
    <t>This work was supported by the National Science Center, Poland (Grant 2016/21/N/NZ9/01536).</t>
  </si>
  <si>
    <t>10.1007/s00300-022-03027-2</t>
  </si>
  <si>
    <t>WOS:000779474900001</t>
  </si>
  <si>
    <t>Tan, S; Pratt, LJ; Voet, G; Cusack, JM; Helfrich, KR; Alford, MH; Girton, JB; Carter, GS</t>
  </si>
  <si>
    <t>Tan, S.; Pratt, L. J.; Voet, G.; Cusack, J. M.; Helfrich, K. R.; Alford, M. H.; Girton, J. B.; Carter, G. S.</t>
  </si>
  <si>
    <t>Hydraulic control of flow in a multi-passage system connecting two basins</t>
  </si>
  <si>
    <t>JOURNAL OF FLUID MECHANICS</t>
  </si>
  <si>
    <t>hydraulic control; ocean circulation; shallow water flows</t>
  </si>
  <si>
    <t>ROTATING HYDRAULICS; VELOCITY-MEASUREMENTS; ABYSSAL TRANSPORT; SAMOAN PASSAGE; CHANNEL FLOW; ADJUSTMENT; WATER; TOPOGRAPHY; MODEL</t>
  </si>
  <si>
    <t>When a fluid stream in a conduit splits in order to pass around an obstruction, it is possible that one branch will be critically controlled while the other remains not so. This is apparently the situation in Pacific Ocean abyssal circulation, where most of the northward flow of Antarctic bottom water passes through the Samoan Passage, where it is hydraulically controlled, while the remainder is diverted around the Manihiki Plateau and is not controlled. These observations raise a number of questions concerning the dynamics necessary to support such a regime in the steady state, the nature of upstream influence and the usefulness of rotating hydraulic theory to predict the partitioning of volume transport between the two paths, which assumes the controlled branch is inviscid. Through the use of a theory for constant potential vorticity flow and accompanying numerical model, we show that a steady-state regime similar to what is observed is dynamically possible provided that sufficient bottom friction is present in the uncontrolled branch. In this case, the upstream influence that typically exists for rotating channel flow is transformed into influence into how the flow is partitioned. As a result, the partitioning of volume flux can still be reasonably well predicted with an inviscid theory that exploits the lack of upstream influence.</t>
  </si>
  <si>
    <t>[Tan, S.; Pratt, L. J.; Helfrich, K. R.] Woods Hole Oceanog Inst, Dept Phys Oceanog, Woods Hole, MA 02543 USA; [Tan, S.] Columbia Univ, Lamont Doherty Earth Observ, New York, NY 10027 USA; [Tan, S.] Chinese Acad Sci, Inst Oceanol, Key Lab Ocean Circulat &amp; Waves, Qingdao 266071, Shandong, Peoples R China; [Tan, S.] Univ Chinese Acad Sci, Beijing 100049, Peoples R China; [Voet, G.; Cusack, J. M.; Alford, M. H.] Univ Calif San Diego, Scripps Inst Oceanog, La Jolla, CA 92093 USA; [Cusack, J. M.] Rutgers State Univ, New Brunswick, NJ 08901 USA; [Girton, J. B.] Univ Washington, Appl Phys Lab, Seattle, WA 98105 USA; [Carter, G. S.] Univ Hawaii Manoa, Dept Oceanog, Honolulu, HI 96822 USA</t>
  </si>
  <si>
    <t>Woods Hole Oceanographic Institution; Columbia University; Chinese Academy of Sciences; Institute of Oceanology, CAS; Chinese Academy of Sciences; University of Chinese Academy of Sciences, CAS; University of California System; University of California San Diego; Scripps Institution of Oceanography; Rutgers University System; Rutgers University New Brunswick; University of Washington; University of Washington Seattle; University of Hawaii System; University of Hawaii Manoa</t>
  </si>
  <si>
    <t>Tan, S (corresponding author), Woods Hole Oceanog Inst, Dept Phys Oceanog, Woods Hole, MA 02543 USA.;Tan, S (corresponding author), Columbia Univ, Lamont Doherty Earth Observ, New York, NY 10027 USA.;Tan, S (corresponding author), Chinese Acad Sci, Inst Oceanol, Key Lab Ocean Circulat &amp; Waves, Qingdao 266071, Shandong, Peoples R China.;Tan, S (corresponding author), Univ Chinese Acad Sci, Beijing 100049, Peoples R China.</t>
  </si>
  <si>
    <t>shuwent@ldeo.columbia.edu</t>
  </si>
  <si>
    <t>Voet, Gunnar/GRO-4087-2022</t>
  </si>
  <si>
    <t>Voet, Gunnar/0000-0003-1975-186X; Cusack, Jesse/0000-0003-2065-4397; Tan, Shuwen/0000-0002-4598-3472</t>
  </si>
  <si>
    <t>National Science Foundation [OCE-1029268, OCE-1029483, OCE-1657264, OCE-1657795, OCE-1657870, OCE-1658027]</t>
  </si>
  <si>
    <t>This work was supported by the National Science Foundation under grants OCE-1029268, OCE-1029483, OCE-1657264, OCE-1657795, OCE-1657870 and OCE-1658027.</t>
  </si>
  <si>
    <t>0022-1120</t>
  </si>
  <si>
    <t>1469-7645</t>
  </si>
  <si>
    <t>J FLUID MECH</t>
  </si>
  <si>
    <t>J. Fluid Mech.</t>
  </si>
  <si>
    <t>A8</t>
  </si>
  <si>
    <t>10.1017/jfm.2022.212</t>
  </si>
  <si>
    <t>Mechanics; Physics, Fluids &amp; Plasmas</t>
  </si>
  <si>
    <t>Mechanics; Physics</t>
  </si>
  <si>
    <t>0G7QT</t>
  </si>
  <si>
    <t>WOS:000778235900001</t>
  </si>
  <si>
    <t>Roy, R; Kuttippurath, J; Lefèvre, F; Raj, S; Kumar, P</t>
  </si>
  <si>
    <t>Roy, R.; Kuttippurath, J.; Lefevre, F.; Raj, S.; Kumar, P.</t>
  </si>
  <si>
    <t>The sudden stratospheric warming and chemical ozone loss in the Antarctic winter 2019: comparison with the winters of 1988 and 2002</t>
  </si>
  <si>
    <t>THEORETICAL AND APPLIED CLIMATOLOGY</t>
  </si>
  <si>
    <t>SOUTHERN-HEMISPHERE STRATOSPHERE; POLAR VORTEX; INTERANNUAL VARIABILITY; HOLE; DEPLETION; SPLIT; CLIMATOLOGY; SIMULATIONS; TRANSPORT; IMPACT</t>
  </si>
  <si>
    <t>Sudden stratospheric warmings (SSWs) are associated with rapid rise in temperature in a short period of time in the polar vortex and reversal of the zonal winds in major warming conditions. Although SSWs are primarily driven by the planetary waves emanating from the troposphere, the exact reasons and factors responsible for the wave forcing are still to be uncovered. The severity and frequency of SSWs in the context of climate change are uncertain and warrant in-depth studies. Here, therefore, we characterize the most intense warming events in the southern polar region in the observed history for the past 41 years: the SSWs in 2019, 2002 and 1988. The 2019 minor warming began in response to the intense zonal wavenumber 1 forcing. The wave 1 amplitude was larger than that of 2002 and 1988, but wave 2 forcing was key for the major warming in 2002. The onset of warming took place in early (3-5) September and lasted until mid-(19-21) September in 2019. This minor warming was the longest as compared to that in the other years. The corresponding ozone loss was about 3.6 ppmv, the ozone hole area shrunk to 8 million km(2) during the period of peak warming, and the ozone loss amount was higher in 2019 than that in the other 2 years. The 2019 spring had a PSC area of 5 million km(2), and the vortex area was as small as 24 million km(2) in the peak warming period. A variability of similar nature was also identified in the springs of 1988 and 2002. Henceforth, this study gives new insights into the unique dynamical situations in the warmest years of the southern polar stratospheric region in the observed history.</t>
  </si>
  <si>
    <t>[Roy, R.; Kuttippurath, J.; Raj, S.; Kumar, P.] Indian Inst Technol Kharagpur, CORAL, Kharagpur 721302, W Bengal, India; [Roy, R.] Cochin Univ Sci &amp; Technol, Dept Phys Oceanog, Kochi, Kerala, India; [Lefevre, F.] Sorbonne Univ, CNRS, LATMOS IPSL, UVSQ, Paris, France</t>
  </si>
  <si>
    <t>Indian Institute of Technology System (IIT System); Indian Institute of Technology (IIT) - Kharagpur; Cochin University Science &amp; Technology; Universite Paris Cite; Centre National de la Recherche Scientifique (CNRS); Sorbonne Universite; Universite Paris Saclay</t>
  </si>
  <si>
    <t>Kuttippurath, J (corresponding author), Indian Inst Technol Kharagpur, CORAL, Kharagpur 721302, W Bengal, India.</t>
  </si>
  <si>
    <t>jayan@coral.iitkgp.ac.in</t>
  </si>
  <si>
    <t>Kuttippurath, Jayanarayanan/M-2878-2019; Roy, Raina/IZE-4926-2023</t>
  </si>
  <si>
    <t>Kuttippurath, Jayanarayanan/0000-0003-4073-8918;</t>
  </si>
  <si>
    <t>DPO, CUSAT, Kochi</t>
  </si>
  <si>
    <t>We thank the Ministry of Education (MoE) and Indian Institute of Technology Kharagpur (IIT KGP) for facilitating the study. We also thank all the data managers and the scientists who made available those data for this study. R.R acknowledges the support received from the DPO, CUSAT, Kochi during her study period.</t>
  </si>
  <si>
    <t>SPRINGER WIEN</t>
  </si>
  <si>
    <t>WIEN</t>
  </si>
  <si>
    <t>SACHSENPLATZ 4-6, PO BOX 89, A-1201 WIEN, AUSTRIA</t>
  </si>
  <si>
    <t>0177-798X</t>
  </si>
  <si>
    <t>1434-4483</t>
  </si>
  <si>
    <t>THEOR APPL CLIMATOL</t>
  </si>
  <si>
    <t>Theor. Appl. Climatol.</t>
  </si>
  <si>
    <t>10.1007/s00704-022-04031-6</t>
  </si>
  <si>
    <t>2H9XO</t>
  </si>
  <si>
    <t>WOS:000779032400001</t>
  </si>
  <si>
    <t>Verberne, R; Reddy, SM; Saxey, DW; Fougerouse, D; Rickard, WDA; Quadir, Z; Evans, NJ; Clark, C</t>
  </si>
  <si>
    <t>Verberne, Rick; Reddy, Steven M.; Saxey, David W.; Fougerouse, Denis; Rickard, William D. A.; Quadir, Zakaria; Evans, Noreen J.; Clark, Chris</t>
  </si>
  <si>
    <t>Dislocations in minerals: Fast-diffusion pathways or trace-element traps?</t>
  </si>
  <si>
    <t>twin boundaries; dislocations; atom probe tomography; diffusion</t>
  </si>
  <si>
    <t>CRYSTAL-PLASTIC DEFORMATION; GRAIN-BOUNDARY DIFFUSION; ATOMIC-STRUCTURE; TEMPERATURE METAMORPHISM; FORMATION MECHANISM; EAST ANTARCTICA; RUTILE TWINS; PB; GEOCHRONOLOGY; SEGREGATION</t>
  </si>
  <si>
    <t>Element mobility is a critical component in all geological processes and understanding the mechanisms responsible for element mobility in minerals is a fundamental requirement for many geochemical and geochronological applications. Volume diffusion of elements is a commonly assumed process. However, linear defects (dislocations) are an essential component of the high-temperature creep of minerals. These defects are commonly inferred to form fast-diffusion pathways along which trace elements can more rapidly migrate. In contrast, dislocations in minerals are also energetically favourable sites of trace element segregation, which counters the notion that they enhance bulk diffusion rates by a pipe diffusion mechanism. In this paper we characterize the trace-element composition of dislocations on twin boundaries in rutile by combining atom probe tomography with transmission electron microscopy. First, morphology and correlative microstructural data are used to demonstrate that the linear compositional features in the atom probe tomography dataset represent dislocations. Assessment of dislocation composition indicates that segregation is trace element specific. The data show that dislocations in rutile act as both, fast-diffusion pathway and trace-element traps which potentially leads to erroneous estimations of the composition. (C) 2022 Elsevier B.V. All rights reserved.</t>
  </si>
  <si>
    <t>[Verberne, Rick; Reddy, Steven M.; Saxey, David W.; Fougerouse, Denis; Rickard, William D. A.] Curtin Univ, John de Laeter Ctr, Adv Resource Characterisat Facil, Geosci Atom Probe, GPO Box U1987, Perth, WA 6845, Australia; [Verberne, Rick; Reddy, Steven M.; Saxey, David W.; Fougerouse, Denis; Evans, Noreen J.; Clark, Chris] Curtin Univ, Sch Earth &amp; Planetary Sci, GPO Box U1987, Perth, WA 6845, Australia; [Quadir, Zakaria] Curtin Univ, John de Laeter Ctr, Microscopy &amp; Microanal Facil, GPO Box U1987, Perth, WA 6845, Australia; [Evans, Noreen J.] Curtin Univ, John de Laeter Ctr, GeoHist Facil, GPO Box U1987, Perth, WA 6845, Australia</t>
  </si>
  <si>
    <t>Curtin University; Curtin University; Curtin University; Curtin University</t>
  </si>
  <si>
    <t>Verberne, R (corresponding author), Univ Copenhagen, Ctr Star &amp; Planet Format, Globe Inst, Oster Voldgade 5-7, DK-1350 Copenhagen, Denmark.</t>
  </si>
  <si>
    <t>rick.verberne@sund.ku.dk</t>
  </si>
  <si>
    <t>Fougerouse, Denis/AAV-4909-2021; Reddy, Steven/A-9149-2008; Rickard, William/E-9963-2013; Clark, Chris/B-6471-2008; Saxey, David/H-5782-2014</t>
  </si>
  <si>
    <t>Rickard, William/0000-0002-8118-730X; Clark, Chris/0000-0001-9982-7849; Saxey, David/0000-0001-7433-946X; Verberne, Rick/0000-0002-5529-1250; Evans, Noreen/0000-0002-7615-8328; Fougerouse, Denis/0000-0003-3346-1121; Quadir, Md Zakaria/0000-0003-1626-3748</t>
  </si>
  <si>
    <t>AuScope; Australian Government via the National Collaborative Research Infrastructure Strategy (NCRIS); Curtin University; CSIRO; Science and Industry Endowment Fund (SIEF) [SIEF RI13-01]; ARC [DP210102625, DE190101307]; UWA; Curtin Universitys Microscopy &amp; Microanalysis Facility; Curtin Universitys John de Laeter Centre</t>
  </si>
  <si>
    <t>AuScope; Australian Government via the National Collaborative Research Infrastructure Strategy (NCRIS); Curtin University; CSIRO(Commonwealth Scientific &amp; Industrial Research Organisation (CSIRO)); Science and Industry Endowment Fund (SIEF); ARC(Australian Research Council); UWA; Curtin Universitys Microscopy &amp; Microanalysis Facility; Curtin Universitys John de Laeter Centre</t>
  </si>
  <si>
    <t>We thank Professor Pat James for providing samples and field photos, which were collected during the 1979/80 Australian Na-tional Antarctic Research Expedition to Enderby Land. We would also like to thank Renelle Dubosq, Phillip Gopon and the anony-mous reviewers for their helpful insights and feedback. The work was conducted within the Geoscience Atom Probe Facility in the John de Laeter Centre, Curtin University. The authors gratefully ac-knowledge support of Curtin Universitys Microscopy &amp; Microanal-ysis Facility and the John de Laeter Centre, whose instrumentation has been supported by University, State and Commonwealth Gov-ernment funding. The GeoHistory Facility is supported by AuScope (auscope.org.au) and the Australian Government via the National Collaborative Research Infrastructure Strategy (NCRIS) . The devel-opment of the Geoscience Atom Probe Facility was supported by the Curtin University, UWA and CSIRO and the Science and Indus-try Endowment Fund (SIEF) through Grant SIEF RI13-01. SMR and DWS gratefully acknowledge ARC grant DP210102625. DF is supported by ARC DE190101307.</t>
  </si>
  <si>
    <t>APR 15</t>
  </si>
  <si>
    <t>10.1016/j.epsl.2022.117517</t>
  </si>
  <si>
    <t>2R2NK</t>
  </si>
  <si>
    <t>WOS:000820946400012</t>
  </si>
  <si>
    <t>Bianchi, E; Guozden, T; Kozulj, R</t>
  </si>
  <si>
    <t>Bianchi, Emilio; Guozden, Tomas; Kozulj, Roberto</t>
  </si>
  <si>
    <t>Assessing low frequency variations in solar and wind power and their climatic teleconnections</t>
  </si>
  <si>
    <t>RENEWABLE ENERGY</t>
  </si>
  <si>
    <t>Solar power; Wind power; Climate variability; Extreme events</t>
  </si>
  <si>
    <t>NINO-SOUTHERN-OSCILLATION; LOW-LEVEL JET; INTERANNUAL VARIABILITY; ELECTRICITY LOAD; SPEED; PRECIPITATION; REANALYSIS; HEMISPHERE; PATTERNS; IMPACTS</t>
  </si>
  <si>
    <t>Power grids are being increasingly exposed to climatic variability due to the addition of renewables, but low frequency climate variations are often poorly captured in the measuring campaigns. We analyzed the co-occurrence of low frequency variations in the wind and solar resources over Argentina, and discuss climatic mechanisms behind those variations. We found low complementarity between periods of high and low availability of wind and solar resources. We found a negative relationship between the wind resource and the Antarctic Oscillation. Regarding the solar resource, we found a negative relationship with an index of the El Nin~o phenomenon; we also found positive relationships with two oceanic indices of the Atlantic variability. The relationships with these Atlantic drivers seem to be associated to low frequency variations, while El Nin~o relates to inter annual variations. Composites of oceanic and atmo-spheric anomalies reveal that changes in cloudiness respond to variations in the flux of water vapor over South America which, in turn, seem to be part of the atmospheric features of El Nin~o; and are also coherent with previous studies linking precipitation variations over subtropical South America and Sea Surface Temperatures over the Atlantic. (c) 2022 Elsevier Ltd. All rights reserved.</t>
  </si>
  <si>
    <t>[Bianchi, Emilio; Guozden, Tomas; Kozulj, Roberto] Univ Nacl Rio Negro, Viedma, Argentina</t>
  </si>
  <si>
    <t>Bianchi, E (corresponding author), Univ Nacl Rio Negro, Viedma, Argentina.</t>
  </si>
  <si>
    <t>ebianchi@unrn.edu.ar</t>
  </si>
  <si>
    <t>Bianchi, Emilio/0000-0003-1300-2198</t>
  </si>
  <si>
    <t>0960-1481</t>
  </si>
  <si>
    <t>1879-0682</t>
  </si>
  <si>
    <t>RENEW ENERG</t>
  </si>
  <si>
    <t>Renew. Energy</t>
  </si>
  <si>
    <t>10.1016/j.renene.2022.03.080</t>
  </si>
  <si>
    <t>Green &amp; Sustainable Science &amp; Technology; Energy &amp; Fuels</t>
  </si>
  <si>
    <t>Science &amp; Technology - Other Topics; Energy &amp; Fuels</t>
  </si>
  <si>
    <t>1D0SR</t>
  </si>
  <si>
    <t>WOS:000793520500002</t>
  </si>
  <si>
    <t>Santa Cruz, F; Krüger, L; Cárdenas, CA</t>
  </si>
  <si>
    <t>Santa Cruz, Francisco; Kruger, Lucas; Cardenas, Cesar A.</t>
  </si>
  <si>
    <t>Spatial and temporal catch concentrations for Antarctic krill: Implications for fishing performance and precautionary management in the Southern Ocean</t>
  </si>
  <si>
    <t>OCEAN &amp; COASTAL MANAGEMENT</t>
  </si>
  <si>
    <t>Euphausia superba; Southern Ocean fisheries; Catch per unit effort; Fleet concentration; Local depletion</t>
  </si>
  <si>
    <t>EUPHAUSIA-SUPERBA; FISHERIES MANAGEMENT; DECISION-MAKING; LOCAL DEPLETION; PROTECTED AREAS; FOOD-WEB; ECOSYSTEM; CONSERVATION; DYNAMICS; BEHAVIOR</t>
  </si>
  <si>
    <t>The undergoing rapid climate changes recorded along the Western Antarctic Peninsula (WAP) in combination with the increasing seasonal catches reported by the krill fishery have raised concerns as to whether the management strategy established by the Commission for the Conservation of Antarctic Marine Living Resources (CCAMLR) is effectively avoiding impacts on the krill stock and related ecosystem.Despite the current fixed catch limit being spread across fishing areas to reduce spatial catches concentrations, our 38-year analysis revealed the highest historical spatial (ton/km2) and temporal (ton/day) fishing concentration levels across the WAP and South Orkney Islands. Higher seasonal catches in recent decades removed persistently within the same small fishing areas and during shorter fishing seasons are key factors influencing this situation.We used the catch per unit effort (CPUE) as a measure of fishing performance. CPUE was standardized using a GAMM model taking into account operational factors such as fleet composition, trawling methods, seasonality and daily catches, and we detected negative CPUE trends over time and across the different fishing areas. Our results suggest that the fishing performance have responded to the elevated spatio-temporal fishing concentration and changes in sea-ice. We discuss whether the negative CPUE trends are caused by fishing-induced depletion or driven by other factors such as krill flux, reduction and contraction of krill abundance and increased cetacean foraging (due recovery of whale populations). Finally, we also highlight the need to expand the survey's coverage (by acoustic or net-based methods) to the new, highly fished, and non-monitored areas such as Gerlache Strait, which is an important area for krill and dependent predators.</t>
  </si>
  <si>
    <t>[Santa Cruz, Francisco; Kruger, Lucas; Cardenas, Cesar A.] Inst Antartico Chileno, Dept Cientif, Plaza Munoz Gamero 1055, Punta Arenas, Chile; [Kruger, Lucas; Cardenas, Cesar A.] Millennium Inst Biodivers Antarctic &amp; Subantarct, Las Palmeras 3425, Santiago, Chile</t>
  </si>
  <si>
    <t>Santa Cruz, F (corresponding author), Inst Antartico Chileno, Dept Cientif, Plaza Munoz Gamero 1055, Punta Arenas, Chile.</t>
  </si>
  <si>
    <t>fsantacruz@inach.cl</t>
  </si>
  <si>
    <t>Cardenas, Cesar/ABF-1664-2020; Kruger, Lucas/O-8912-2015</t>
  </si>
  <si>
    <t>Santa Cruz, Francisco/0000-0002-7894-0153; Cardenas, Cesar/0000-0001-6662-6899; Kruger, Lucas/0000-0003-4637-5302</t>
  </si>
  <si>
    <t>Instituto Antartico Chileno [24 03 052]</t>
  </si>
  <si>
    <t>Instituto Antartico Chileno</t>
  </si>
  <si>
    <t>Funding for this study was provided by the Marine Protected Areas Program (Number 24 03 052) of the Instituto Antartico Chileno.</t>
  </si>
  <si>
    <t>0964-5691</t>
  </si>
  <si>
    <t>1873-524X</t>
  </si>
  <si>
    <t>OCEAN COAST MANAGE</t>
  </si>
  <si>
    <t>Ocean Coastal Manage.</t>
  </si>
  <si>
    <t>10.1016/j.ocecoaman.2022.106146</t>
  </si>
  <si>
    <t>Oceanography; Water Resources</t>
  </si>
  <si>
    <t>1C7GP</t>
  </si>
  <si>
    <t>WOS:000793283100004</t>
  </si>
  <si>
    <t>Anderson, KC; Ghosh, B; Chetty, T; Walker, SP; Symonds, JE; Nowak, BF</t>
  </si>
  <si>
    <t>Anderson, Kelli C.; Ghosh, Bikramjit; Chetty, Thaveshini; Walker, Seumas P.; Symonds, Jane E.; Nowak, Barbara F.</t>
  </si>
  <si>
    <t>Transcriptomic characterisation of a common skin lesion in farmed chinook salmon</t>
  </si>
  <si>
    <t>Spot lesion; Chinook salmon; Transcriptome; Skin; Mucin; Annexin; Cytokine</t>
  </si>
  <si>
    <t>AFFECTED ATLANTIC SALMON; RAINBOW-TROUT; GENE-EXPRESSION; FISH SKIN; FUNCTIONAL-ANALYSIS; BARRIER FUNCTIONS; IMMUNE-RESPONSES; MUCOSAL IMMUNITY; SALAR L.; GILLS</t>
  </si>
  <si>
    <t>Little is known about host responses of farmed Chinook salmon with skin lesions, despite the lesions being associated with increased water temperatures and elevated mortality rates. To address this shortfall, a transcriptomic approach was used to characterise the molecular landscape of spot lesions, the most commonly reported lesion type in New Zealand Chinook salmon, versus healthy appearing skin in fish with and without spot lesions. Many biological (gene ontology) pathways were enriched in lesion adjacent tissue, relative to control skin tissue, including proteolysis, fin regeneration, calcium ion binding, mitochondrial transport, actin cytoskeleton organisation, epithelium development, and tissue development. In terms of specific transcripts of interest, pro-inflammatory cytokines (interleukin 1 beta and tumour necrosis factor), annexin A1, mucin 2, and calreticulin were upregulated, while cathepsin H, mucin 5AC, and perforin 1 were downregulated in lesion tissue. In some instances, changes in gene expression were consistent between lesion and healthy appearing skin from the same fish relative to lesion free fish, suggesting that host responses weren't limited to the site of the lesion. Goblet cell density in skin histological sections was not different between skin sample types. Collectively, these results provide insights into the physiological changes associated with common spot lesions in farmed Chinook salmon.</t>
  </si>
  <si>
    <t>[Anderson, Kelli C.; Ghosh, Bikramjit; Chetty, Thaveshini; Nowak, Barbara F.] Univ Tasmania, Inst Marine &amp; Antarctic Studies, Newnham Campus,Private Bag 1370, Newnham, Tas 7248, Australia; [Walker, Seumas P.; Symonds, Jane E.] Cawthron Inst, 98 Halifax St East, Nelson 7010, New Zealand</t>
  </si>
  <si>
    <t>Anderson, KC; Nowak, BF (corresponding author), Univ Tasmania, Inst Marine &amp; Antarctic Studies, Newnham Campus,Private Bag 1370, Newnham, Tas 7248, Australia.</t>
  </si>
  <si>
    <t>kelli.anderson@utas.edu.au; b.nowak@utas.edu.au</t>
  </si>
  <si>
    <t>Nowak, Barbara/J-7261-2014; Ghosh, Bikramjit/P-4916-2016</t>
  </si>
  <si>
    <t>Anderson, Kelli/0000-0001-7749-4641; Ghosh, Bikramjit/0000-0002-5144-263X; Symonds, Jane/0000-0001-8307-423X</t>
  </si>
  <si>
    <t>New Zealand Ministry of Business, Innovation and Employment, under the Programme: Aquaculture Health [CAWX1707]</t>
  </si>
  <si>
    <t>New Zealand Ministry of Business, Innovation and Employment, under the Programme: Aquaculture Health(New Zealand Ministry of Business, Innovation and Employment (MBIE))</t>
  </si>
  <si>
    <t>Funding This work was funded by the New Zealand Ministry of Business, Innovation and Employment, under the Programme: Aquaculture Health to Maximise Productivity and Security (CAWX1707) .</t>
  </si>
  <si>
    <t>10.1016/j.fsi.2022.03.024</t>
  </si>
  <si>
    <t>1C3SK</t>
  </si>
  <si>
    <t>WOS:000793042900004</t>
  </si>
  <si>
    <t>Happel, L; Rondon, R; Font, A; Gonzalez-Aravena, M; Cardenas, CA</t>
  </si>
  <si>
    <t>Happel, Lea; Rondon, Rodolfo; Font, Alejandro; Gonzalez-Aravena, Marcelo; Cardenas, Cesar A.</t>
  </si>
  <si>
    <t>Stability of the Microbiome of the Sponge Mycale (Oxymycale) acerata in the Western Antarctic Peninsula</t>
  </si>
  <si>
    <t>porifera; cold-water sponges; Antarctica; sponge holobiont; core community; spatial gradients</t>
  </si>
  <si>
    <t>MARINE; TEMPERATURE; COMMUNITIES; SYMBIOSIS; BACTERIA</t>
  </si>
  <si>
    <t>The sponge microbiome, especially in Low Microbial Abundance (LMA) species, is expected to be influenced by the local environment; however, contrasting results exist with evidence showing that host specificity is also important, hence suggesting that the microbiome is influenced by host-specific and environmental factors. Despite sponges being important members of Southern Ocean benthic communities, their relationships with the microbial communities they host remain poorly studied. Here, we studied the spatial and temporal patterns of the microbiota associated with the ecologically important LMA sponge M. acerata at sites along similar to 400 km of the Western Antarctic Peninsula (WAP) to assess patterns in the core and variable microbial components of the symbiont communities of this sponge species. The analyses of 31 samples revealed that the microbiome of M. acerata is composed of 35 prokaryotic phyla (3 Archaea, 31 Bacteria, and one unaffiliated), being mainly dominated by Proteobacteria with Gammaproteobacteria as the most dominant class. The core community was composed of six prokaryotic OTUs, with gammaproteobacterial OTU (EC94 Family), showing a mean abundance over 65% of the total abundance. Despite some differences in rare OTUs, the core community did not show clear patterns in diversity and abundance associated with specific sites/environmental conditions, confirming a low variability in community structure of this species along the WAP. The analysis at small scale (Doumer Island, Palmer Archipelago) showed no differences in space and time in the microbiome M. acerata collected at sites around the island, sampled in three consecutive years (2016-2018). Our results highlight the existence of a low spatial and temporal variability in the microbiome of M. acerata, supporting previous suggestions based on limited studies on this and other Antarctic sponges.</t>
  </si>
  <si>
    <t>[Happel, Lea] Univ Ghent, IMBRSea Int Masters Program, Ghent, Belgium; [Happel, Lea] Helmholtz Ctr Polar &amp; Marine Res, Alfred Wegener Inst, Bremerhaven, Germany; [Rondon, Rodolfo; Font, Alejandro; Gonzalez-Aravena, Marcelo; Cardenas, Cesar A.] Inst Antart Chileno, Dept Cientif, Punta Arenas, Chile; [Cardenas, Cesar A.] Millennium Inst Biodivers Antarctic &amp; Subantarct E, Santiago, Chile</t>
  </si>
  <si>
    <t>Ghent University; Helmholtz Association; Alfred Wegener Institute, Helmholtz Centre for Polar &amp; Marine Research</t>
  </si>
  <si>
    <t>Gonzalez-Aravena, M; Cárdenas, CA (corresponding author), Inst Antart Chileno, Dept Cientif, Punta Arenas, Chile.;Cárdenas, CA (corresponding author), Millennium Inst Biodivers Antarctic &amp; Subantarct E, Santiago, Chile.</t>
  </si>
  <si>
    <t>mgonzalez@inach.cl; ccardenas@inach.cl</t>
  </si>
  <si>
    <t>Cardenas, Cesar/ABF-1664-2020</t>
  </si>
  <si>
    <t>Cardenas, Cesar/0000-0001-6662-6899; Rondon, Rodolfo/0000-0002-0292-7438</t>
  </si>
  <si>
    <t>Comision de Ciencia y Tecnologia de Chile [11150129]; INACH Marine Protected Areas programme - ANIDMillennium Science [Initiative-ICN2021-002]</t>
  </si>
  <si>
    <t>Comision de Ciencia y Tecnologia de Chile; INACH Marine Protected Areas programme - ANIDMillennium Science</t>
  </si>
  <si>
    <t>This work was supported by the Comision de Ciencia y Tecnologia de Chile (CONICYT/FONDECYT/INACH/INICIACION/#11150129) and the INACH Marine Protected Areas programme. This work was also funded by ANIDMillennium Science Initiative-ICN2021-002.</t>
  </si>
  <si>
    <t>APR 4</t>
  </si>
  <si>
    <t>10.3389/fmicb.2022.827863</t>
  </si>
  <si>
    <t>0Y6DE</t>
  </si>
  <si>
    <t>WOS:000790478800001</t>
  </si>
  <si>
    <t>Monge-Sanz, BM; Bozzo, A; Byrne, N; Chipperfield, MP; Diamantakis, M; Flemming, J; Gray, LJ; Hogan, RJ; Jones, L; Magnusson, L; Polichtchouk, I; Shepherd, TG; Wedi, N; Weisheimer, A</t>
  </si>
  <si>
    <t>Monge-Sanz, Beatriz M.; Bozzo, Alessio; Byrne, Nicholas; Chipperfield, Martyn P.; Diamantakis, Michail; Flemming, Johannes; Gray, Lesley J.; Hogan, Robin J.; Jones, Luke; Magnusson, Linus; Polichtchouk, Inna; Shepherd, Theodore G.; Wedi, Nils; Weisheimer, Antje</t>
  </si>
  <si>
    <t>A stratospheric prognostic ozone for seamless Earth system models: performance, impacts and future</t>
  </si>
  <si>
    <t>SOUTHERN-HEMISPHERE STRATOSPHERE; PHOTOCHEMISTRY PARAMETERIZATION; INTERIM REANALYSIS; VORTEX; COLD; CHEMISTRY; ANOMALIES; TRANSPORT; DEPLETION; SCHEME</t>
  </si>
  <si>
    <t>We have implemented a new stratospheric ozone model in the European Centre for Medium-Range Weather Forecasts (ECMWF) system and tested its performance for different timescales to assess the impact of stratospheric ozone on meteorological fields. We have used the new ozone model to provide prognostic ozone in medium-range and long-range (seasonal) experiments, showing the feasibility of this ozone scheme for a seamless numerical weather prediction (NWP) modelling approach. We find that the stratospheric ozone distribution provided by the new scheme in ECMWF forecast experiments is in very good agreement with observations, even for unusual meteorological conditions such as Arctic stratospheric sudden warmings (SSWs) and Antarctic polar vortex events like the vortex split of year 2002. To assess the impact it has on meteorological variables, we have performed experiments in which the prognostic ozone is interactive with radiation. The new scheme provides a realistic ozone field able to improve the description of the stratosphere in the ECMWF system, as we find clear reductions of biases in the stratospheric forecast temperature. The seasonality of the Southern Hemisphere polar vortex is also significantly improved when using the new ozone model. In medium-range simulations we also find improvements in high-latitude tropospheric winds during the SSW event considered in this study. In long-range simulations, the use of the new ozone model leads to an increase in the correlation of the winter North Atlantic Oscillation (NAO) index with respect to ERA-Interim and an increase in the signal-to-noise ratio over the North Atlantic sector. In our study we show that by improving the description of the stratospheric ozone in the ECMWF system, the stratosphere-troposphere coupling improves. This highlights the potential benefits of this new ozone model to exploit stratospheric sources of predictability and improve weather predictions over Europe on a range of timescales.</t>
  </si>
  <si>
    <t>[Monge-Sanz, Beatriz M.; Gray, Lesley J.; Weisheimer, Antje] Univ Oxford, Dept Phys, Oxford, England; [Monge-Sanz, Beatriz M.; Gray, Lesley J.; Weisheimer, Antje] Univ Oxford, Natl Ctr Atmospher Sci, Oxford, England; [Bozzo, Alessio] European Org Exploitat Meteorol Satellites, Darmstadt, Germany; [Byrne, Nicholas; Hogan, Robin J.; Shepherd, Theodore G.] Univ Reading, Dept Meteorol, Reading, Berks, England; [Chipperfield, Martyn P.] Univ Leeds, Sch Earth &amp; Environm, Leeds, W Yorkshire, England; [Chipperfield, Martyn P.] Univ Leeds, Natl Ctr Earth Observat, Leeds, W Yorkshire, England; [Bozzo, Alessio; Diamantakis, Michail; Flemming, Johannes; Hogan, Robin J.; Jones, Luke; Magnusson, Linus; Polichtchouk, Inna; Wedi, Nils; Weisheimer, Antje] European Ctr Medium Range Weather Forecasts, Reading, Berks, England</t>
  </si>
  <si>
    <t>University of Oxford; University of Oxford; UK Research &amp; Innovation (UKRI); Natural Environment Research Council (NERC); NERC National Centre for Atmospheric Science; European Organisation for the Exploitation of Meteorological Satellites; University of Reading; University of Leeds; University of Leeds; European Centre for Medium-Range Weather Forecasts (ECMWF)</t>
  </si>
  <si>
    <t>Monge-Sanz, BM (corresponding author), Univ Oxford, Dept Phys, Oxford, England.;Monge-Sanz, BM (corresponding author), Univ Oxford, Natl Ctr Atmospher Sci, Oxford, England.</t>
  </si>
  <si>
    <t>beatriz.monge-sanz@physics.ox.ac.uk</t>
  </si>
  <si>
    <t>Weisheimer, Antje/JXW-5824-2024; Chipperfield, Martyn/H-6359-2013; Jones, Luke/GWQ-5302-2022; Hogan, Robin J/M-6549-2016; Gray, Lesley J/D-3610-2009; Byrne, Nick/D-3255-2018</t>
  </si>
  <si>
    <t>Chipperfield, Martyn/0000-0002-6803-4149; Byrne, Nick/0000-0003-3401-9570; Bozzo, Alessio/0000-0002-8069-3809; Flemming, Johannes/0000-0003-4880-5329; Magnusson, Linus/0000-0003-4707-2231; Monge-Sanz, Beatriz/0000-0001-6067-8858</t>
  </si>
  <si>
    <t>SPECS FP7 EU project; UK Natural Environment Research Council (NERC) through the ACSIS project (North Atlantic Climate System Integrated Study); MACC-II project</t>
  </si>
  <si>
    <t>SPECS FP7 EU project; UK Natural Environment Research Council (NERC) through the ACSIS project (North Atlantic Climate System Integrated Study)(UK Research &amp; Innovation (UKRI)Natural Environment Research Council (NERC)); MACC-II project</t>
  </si>
  <si>
    <t>This study was partially funded by the MACC-II and SPECS FP7 EU projects. Beatriz M. Monge-Sanz and Lesley J. Gray also acknowledge funding from the UK Natural Environment Research Council (NERC) through the ACSIS project (North Atlantic Climate System Integrated Study) led by the National Centre for Atmospheric Science (NCAS). The first author is very grateful to Adrian Simmons, Agathe Untch adue to Franco Molteni for useful discussions during the preparation of this paper. We also thank Paul Burton, Gabor Radnoti and the ECMWF User Support team for their help with the IFS technical environment. We would also like to thank the editor and two anonymous reviewers for constructive comments that have contributed to enhance the quality of the paper.nitial guidance with the ECMWF system; special thanks are also</t>
  </si>
  <si>
    <t>10.5194/acp-22-4277-2022</t>
  </si>
  <si>
    <t>0K4GH</t>
  </si>
  <si>
    <t>gold, Green Submitted, Green Accepted</t>
  </si>
  <si>
    <t>WOS:000780748100001</t>
  </si>
  <si>
    <t>Schiettekatte, NMD; Brandl, SJ; Casey, JM; Graham, NAJ; Barneche, DR; Burkepile, DE; Allgeier, JE; Arias-Gonzaléz, JE; Edgar, GJ; Ferreira, CEL; Floeter, SR; Friedlander, AM; Green, AL; Kulbicki, M; Letourneur, Y; Luiz, OJ; Mercière, A; Morat, F; Munsterman, KS; Rezende, EL; Rodríguez-Zaragoza, FA; Stuart-Smith, RD; Vigliola, L; Villéger, S; Parravicini, V</t>
  </si>
  <si>
    <t>Schiettekatte, Nina M. D.; Brandl, Simon J.; Casey, Jordan M.; Graham, Nicholas A. J.; Barneche, Diego R.; Burkepile, Deron E.; Allgeier, Jacob E.; Arias-Gonzalez, Jesus E.; Edgar, Graham J.; Ferreira, Carlos E. L.; Floeter, Sergio R.; Friedlander, Alan M.; Green, Alison L.; Kulbicki, Michel; Letourneur, Yves; Luiz, Osmar J.; Merciere, Alexandre; Morat, Fabien; Munsterman, Katrina S.; Rezende, Enrico L.; Rodriguez-Zaragoza, Fabian A.; Stuart-Smith, Rick D.; Vigliola, Laurent; Villeger, Sebastien; Parravicini, Valeriano</t>
  </si>
  <si>
    <t>Biological trade-offs underpin coral reef ecosystem functioning</t>
  </si>
  <si>
    <t>FISH COMMUNITIES; METABOLIC THEORY</t>
  </si>
  <si>
    <t>Integrating bioenergetic models and global coral reef fish community surveys, the authors show that there are functional trade-offs, meaning that no community can maximize all functions, and that dominant species underpin local functions, but their identity varies geographically. Human impact increasingly alters global ecosystems, often reducing biodiversity and disrupting the provision of essential ecosystem services to humanity. Therefore, preserving ecosystem functioning is a critical challenge of the twenty-first century. Coral reefs are declining worldwide due to the pervasive effects of climate change and intensive fishing, and although research on coral reef ecosystem functioning has gained momentum, most studies rely on simplified proxies, such as fish biomass. This lack of quantitative assessments of multiple process-based ecosystem functions hinders local and regional conservation efforts. Here we combine global coral reef fish community surveys and bioenergetic models to quantify five key ecosystem functions mediated by coral reef fishes. We show that functions exhibit critical trade-offs driven by varying community structures, such that no community can maximize all functions. Furthermore, functions are locally dominated by few species, but the identity of dominant species substantially varies at the global scale. In fact, half of the 1,110 species in our dataset are functionally dominant in at least one location. Our results reinforce the need for a nuanced, locally tailored approach to coral reef conservation that considers multiple ecological functions beyond the effect of standing stock biomass.</t>
  </si>
  <si>
    <t>[Schiettekatte, Nina M. D.; Merciere, Alexandre; Morat, Fabien; Parravicini, Valeriano] PSL Univ Paris, EPHE UPVD CNRS, USR 3278 CRIOBE, Univ Perpignan, Perpignan, France; [Schiettekatte, Nina M. D.; Kulbicki, Michel; Letourneur, Yves; Merciere, Alexandre; Morat, Fabien; Vigliola, Laurent; Parravicini, Valeriano] Lab Excellence CORAIL, Perpignan, France; [Schiettekatte, Nina M. D.] Univ Hawaii Manoa, Hawaii Inst Marine Biol, Kaneohe, HI 96822 USA; [Brandl, Simon J.; Casey, Jordan M.] Univ Texas Austin, Marine Sci Inst, Port Aransas, TX USA; [Graham, Nicholas A. J.] Univ Lancaster, Lancaster Environm Ctr, Lancaster, England; [Barneche, Diego R.] Australian Inst Marine Sci, Crawley, WA, Australia; [Barneche, Diego R.] Univ Western Australia, Oceans Inst, Crawley, WA, Australia; [Burkepile, Deron E.] Univ Calif Santa Barbara, Dept Ecol Evolut &amp; Marine Biol, Santa Barbara, CA 93106 USA; [Burkepile, Deron E.] Univ Calif Santa Barbara, Marine Sci Inst, Santa Barbara, CA 93106 USA; [Allgeier, Jacob E.; Munsterman, Katrina S.] Univ Michigan, Dept Ecol &amp; Evolutionary Biol, Ann Arbor, MI 48109 USA; [Arias-Gonzalez, Jesus E.] CINVESTAV, Lab Ecol Ecosistemas Arrecifes Coralinos, Dept Recursos Mar, Unidad Merida, Merida, Yucatan, Mexico; [Edgar, Graham J.; Stuart-Smith, Rick D.] Univ Tasmania, Inst Marine &amp; Antarctic Studies, Hobart, Tas, Australia; [Ferreira, Carlos E. L.] Univ Fed Fluminense UFF, Dept Biol Marinha, Niteroi, RJ, Brazil; [Floeter, Sergio R.] Univ Fed Santa Catarina, Dept Ecol &amp; Zool, Marine Macroecol &amp; Biogeog Lab, CCB, Florianopolis, SC, Brazil; [Friedlander, Alan M.] Univ Hawaii, Dept Biol, Honolulu, HI 96822 USA; [Green, Alison L.] King Abdullah Univ Sci &amp; Technol, Red Sea Res Ctr, Thuwal, Saudi Arabia; [Kulbicki, Michel; Vigliola, Laurent] Inst Rech Dev, UR IRD CNRS IFREMER UNC ENTROPIE, Noumea, New Caledonia, France; [Letourneur, Yves] Univ Nouvelle Caledonie, UMR UR IRD CNRS IFREMER UNC ENTROPIE, Noumea, New Caledonia, France; [Luiz, Osmar J.] Charles Darwin Univ, Res Inst Environm &amp; Livelihoods, Darwin, NT, Australia; [Rezende, Enrico L.] Pontificia Univ Catolica Chile, Fac Ciencias Biol, Ctr Appl Ecol &amp; Sustainabil CAPES, Dept Ecol, Santiago, Chile; [Rodriguez-Zaragoza, Fabian A.] Univ Guadalajara, CUCBA, Dept 12 Ecol, Thaboratorio Ecosistemas Marinos &amp; Acuicultura LE, Zapopan, Mexico; [Villeger, Sebastien] Univ Montpellier, IFREMER, CNRS, MARBEC,IRD, Montpellier, France</t>
  </si>
  <si>
    <t>Universite PSL; Ecole Pratique des Hautes Etudes (EPHE); Universite Perpignan Via Domitia; University of Hawaii System; University of Hawaii Manoa; University of Texas System; University of Texas Austin; Lancaster University; Australian Institute of Marine Science; University of Western Australia; University of California System; University of California Santa Barbara; University of California System; University of California Santa Barbara; University of Michigan System; University of Michigan; CINVESTAV - Centro de Investigacion y de Estudios Avanzados del Instituto Politecnico Nacional; University of Tasmania; Universidade Federal Fluminense; Universidade Federal de Santa Catarina (UFSC); University of Hawaii System; King Abdullah University of Science &amp; Technology; Institut de Recherche pour le Developpement (IRD); Charles Darwin University; Pontificia Universidad Catolica de Chile; Universidad de Guadalajara; Centre National de la Recherche Scientifique (CNRS); Ifremer; Universite de Montpellier; Institut de Recherche pour le Developpement (IRD)</t>
  </si>
  <si>
    <t>Schiettekatte, NMD (corresponding author), PSL Univ Paris, EPHE UPVD CNRS, USR 3278 CRIOBE, Univ Perpignan, Perpignan, France.;Schiettekatte, NMD (corresponding author), Lab Excellence CORAIL, Perpignan, France.;Schiettekatte, NMD (corresponding author), Univ Hawaii Manoa, Hawaii Inst Marine Biol, Kaneohe, HI 96822 USA.</t>
  </si>
  <si>
    <t>nina.schiettekatte@gmail.com</t>
  </si>
  <si>
    <t>Burkepile, Deron E/F-2368-2013; Brandl, Simon/H-4150-2019; Edgar, Graham/AAY-3797-2020; Barneche, Diego R/A-3498-2014; Villéger, Sébastien/C-6272-2011; LETOURNEUR, Yves/B-4387-2012; Zaragoza, Fabian Alejandro Rodriguez/B-3477-2015; Floeter, Sergio R./B-1438-2012; Parravicini, Valeriano/A-8539-2011; Vigliola, Laurent/J-7107-2016; Ferreira, Carlos/JVD-6035-2023; Stuart-Smith, Rick/I-5214-2019; Rezende, Enrico L/B-8029-2012; Graham, Nicholas/C-8360-2014</t>
  </si>
  <si>
    <t>Brandl, Simon/0000-0002-6649-2496; Edgar, Graham/0000-0003-0833-9001; Barneche, Diego R/0000-0002-4568-2362; Villéger, Sébastien/0000-0002-2362-7178; Zaragoza, Fabian Alejandro Rodriguez/0000-0002-0066-4275; Floeter, Sergio R./0000-0002-3201-6504; Vigliola, Laurent/0000-0003-4715-7470; Ferreira, Carlos/0000-0002-4311-0491; Stuart-Smith, Rick/0000-0002-8874-0083; Rezende, Enrico L/0000-0002-6245-9605; Graham, Nicholas/0000-0002-0304-7467; Arias-Gonzalez, Jesus Ernesto/0000-0003-4601-710X; Parravicini, Valeriano/0000-0002-3408-1625; Schiettekatte, Nina/0000-0002-1925-3484; LETOURNEUR, Yves/0000-0003-3157-1976</t>
  </si>
  <si>
    <t>BNP Paribas Foundation (Reef Services Project); French National Agency for Scientific Research (ANR, REEFLUX Project) [ANR-17-CE32-0006]; Centre de Synthese et d'Analyse sur la Biodiversite of the Foundation pour la Recherche sur la Biodiversite; Office Francais de la Biodiversite; Institut Universitaire de France; Make Our Planet Great Again Postdoctoral Grant [mopga-pdf-0000000144]; Agence Nationale de la Recherche (ANR) [ANR-17-CE32-0006] Funding Source: Agence Nationale de la Recherche (ANR)</t>
  </si>
  <si>
    <t>BNP Paribas Foundation (Reef Services Project); French National Agency for Scientific Research (ANR, REEFLUX Project)(Agence Nationale de la Recherche (ANR)); Centre de Synthese et d'Analyse sur la Biodiversite of the Foundation pour la Recherche sur la Biodiversite; Office Francais de la Biodiversite; Institut Universitaire de France; Make Our Planet Great Again Postdoctoral Grant; Agence Nationale de la Recherche (ANR)(Agence Nationale de la Recherche (ANR))</t>
  </si>
  <si>
    <t>We thank the staff at CRIOBE, Moorea for field support. We also thank J. Carlot, S. Degregori, B. French, T. Roncin, Y. Lacube, C. Gache, G. Martineau, K. Bissell, B. Espiau, C. Quigley, K. Landfield and T. Norin for their help in the field, G. de Sinety and J. Wicquart for their contribution to otolith analysis, and S. Schiettekatte for proofreading the manuscript. This research was funded by the BNP Paribas Foundation (Reef Services Project) and the French National Agency for Scientific Research (ANR, REEFLUX Project, ANR-17-CE32-0006). This research is the product of the SCORE-REEF group funded by the Centre de Synthese et d'Analyse sur la Biodiversite of the Foundation pour la Recherche sur la Biodiversite and the Office Francais de la Biodiversite. V.P. was supported by the Institut Universitaire de France, and J.M.C. was supported by a Make Our Planet Great Again Postdoctoral Grant (mopga-pdf-0000000144).</t>
  </si>
  <si>
    <t>10.1038/s41559-022-01710-5</t>
  </si>
  <si>
    <t>WOS:000778049900001</t>
  </si>
  <si>
    <t>Foulds, A; Allen, G; Shaw, JT; Bateson, P; Barker, PA; Huang, L; Pitt, JR; Lee, JD; Wilde, SE; Dominutti, P; Purvis, RM; Lowry, D; France, JL; Fisher, RE; Fiehn, A; Pühl, M; Bauguitte, SJB; Conley, SA; Smith, ML; Lachlan-Cope, T; Pisso, I; Schwietzke, S</t>
  </si>
  <si>
    <t>Foulds, Amy; Allen, Grant; Shaw, Jacob T.; Bateson, Prudence; Barker, Patrick A.; Huang, Langwen; Pitt, Joseph R.; Lee, James D.; Wilde, Shona E.; Dominutti, Pamela; Purvis, Ruth M.; Lowry, David; France, James L.; Fisher, Rebecca E.; Fiehn, Alina; Puehl, Magdalena; Bauguitte, Stephane J. B.; Conley, Stephen A.; Smith, Mackenzie L.; Lachlan-Cope, Tom; Pisso, Ignacio; Schwietzke, Stefan</t>
  </si>
  <si>
    <t>Quantification and assessment of methane emissions from offshore oil and gas facilities on the Norwegian continental shelf</t>
  </si>
  <si>
    <t>AIRBORNE MEASUREMENTS; AIRCRAFT MEASUREMENTS; CO EMISSIONS; FLOW-RATE; CH4; IDENTIFICATION; PLATFORMS; FRAMEWORK; LONDON; FLUXES</t>
  </si>
  <si>
    <t>The oil and gas (O&amp;G) sector is a significant source of methane (CH4) emissions. Quantifying these emissions remains challenging, with many studies highlighting discrepancies between measurements and inventory-based estimates. In this study, we present CH4 emission fluxes from 21 offshore O&amp;G facilities collected in 10 O&amp;G fields over two regions of the Norwegian continental shelf in 2019 Emissions of CH4 derived from measurements during 13 aircraft surveys were found to range from 2.6 to 1200 t yr(-1) (with a mean of 211 t yr(-1) across all 21 facilities). Comparing this with aggregated operator-reported facility emissions for 2019, we found excellent agreement (within 1 sigma uncertainty), with mean aircraft-measured fluxes only 16 % lower than those reported by operators. We also compared aircraft-derived fluxes with facility fluxes extracted from a global gridded fossil fuel CH4 emission inventory compiled for 2016. We found that the measured emissions were 42 % larger than the inventory for the area covered by this study, for the 21 facilities surveyed (in aggregate). We interpret this large discrepancy not to reflect a systematic error in the operator-reported emissions, which agree with measurements, but rather the representativity of the global inventory due to the methodology used to construct it and the fact that the inventory was compiled for 2016 (and thus not representative of emissions in 2019). This highlights the need for timely and up-to-date inventories for use in research and policy. The variable nature of CH4 emissions from individual facilities requires knowledge of facility operational status during measurements for data to be useful in prioritising targeted emission mitigation solutions. Future surveys of individual facilities would benefit from knowledge of facility operational status over time. Field-specific aggregated emissions (and uncertainty statistics), as presented here for the Norwegian Sea, can be meaningfully estimated from intensive aircraft surveys. However, field-specific estimates cannot be reliably extrapolated to other production fields without their own tailored surveys, which would need to capture a range of facility designs, oil and gas production volumes, and facility ages. For year-on-year comparison to annually updated inventories and regulatory emission reporting, analogous annual surveys would be needed for meaningful top-down validation. In summary, this study demonstrates the importance and accuracy of detailed, facility-level emission accounting and reporting by operators and the use of airborne measurement approaches to validate bottom-up accounting.</t>
  </si>
  <si>
    <t>[Foulds, Amy; Allen, Grant; Shaw, Jacob T.; Bateson, Prudence; Barker, Patrick A.; Huang, Langwen; Pitt, Joseph R.] Univ Manchester, Dept Earth &amp; Environm Sci, Oxford Rd, Manchester M13 9PL, Lancs, England; [Lee, James D.; Wilde, Shona E.; Dominutti, Pamela; Purvis, Ruth M.] Univ York, Dept Chem, Wolfson Atmospher Chem Labs, York YO10 5DD, N Yorkshire, England; [Lowry, David; France, James L.; Fisher, Rebecca E.] Royal Holloway Univ London, Dept Earth Sci, Egham TW20 0EX, Surrey, England; [Fiehn, Alina; Puehl, Magdalena] Deutsch Zentrum Luft &amp; Raumfahrt, Inst Phys Atmosphare, Oberpfaffenhofen, Germany; [Bauguitte, Stephane J. B.] Natl Ctr Atmospher Sci, FAAM Airborne Lab, Bldg 146,Coll Rd, Cranfield MK43 0AL, Beds, England; [Conley, Stephen A.; Smith, Mackenzie L.] Sci Aviat Inc, 3335 Airport Rd Suite B, Boulder, CO 80301 USA; [Lachlan-Cope, Tom] NERC, British Antarctic Survey, Cambridge CB3 0ET, England; [Pisso, Ignacio] Norwegian Inst Air Res NILU, Kjeller, Norway; [Schwietzke, Stefan] Environm Def Fund, Berlin, Germany; [Pitt, Joseph R.] Univ Bristol, Sch Chem, Bristol BS8 1TS, Avon, England; [Dominutti, Pamela] Univ Clermont Auvergne, Lab Meteorol Phys, F-63000 Clermont Ferrand, France</t>
  </si>
  <si>
    <t>University of Manchester; University of York - UK; University of London; Royal Holloway University London; Helmholtz Association; German Aerospace Centre (DLR); UK Research &amp; Innovation (UKRI); Natural Environment Research Council (NERC); NERC British Antarctic Survey; NILU; Environmental Defense Fund; University of Bristol; Universite Clermont Auvergne (UCA)</t>
  </si>
  <si>
    <t>Allen, G (corresponding author), Univ Manchester, Dept Earth &amp; Environm Sci, Oxford Rd, Manchester M13 9PL, Lancs, England.</t>
  </si>
  <si>
    <t>grant.allen@manchester.ac.uk</t>
  </si>
  <si>
    <t>Allen, Grant/A-7737-2013; lee, sooyoon/JEP-0415-2023; Dominutti, Pamela/ITT-9395-2023; France, James L/L-9719-2015; Pitt, Joseph/GWM-5007-2022; Lowry, David/JCE-0619-2023; Dominutti, Pamela/N-2765-2019; Lowry, David/GXG-1235-2022; Pisso, Ignacio/B-1357-2017</t>
  </si>
  <si>
    <t>Allen, Grant/0000-0002-7070-3620; Dominutti, Pamela/0000-0002-9876-6383; Pitt, Joseph/0000-0002-8660-5136; Dominutti, Pamela/0000-0002-9876-6383; Shaw, Jacob/0000-0003-3558-3894; Huang, Langwen/0000-0002-9204-0346; Wilde, Shona Elizabeth/0000-0002-0429-4347; LOWRY, DAVID/0000-0002-8535-0346; Lee, James D/0000-0001-5397-2872; Fisher, Rebecca/0000-0002-9262-5467; Pisso, Ignacio/0000-0002-0056-7897</t>
  </si>
  <si>
    <t>Natural Environment Research Council [NE/N015835/1, NE/N016211/1]; Climate and Clean Air Coalition [DTIE19-020]; NERC [NE/N016211/1, NE/N015835/1, NE/T014849/1] Funding Source: UKRI</t>
  </si>
  <si>
    <t>Natural Environment Research Council(UK Research &amp; Innovation (UKRI)Natural Environment Research Council (NERC)); Climate and Clean Air Coalition; NERC(UK Research &amp; Innovation (UKRI)Natural Environment Research Council (NERC))</t>
  </si>
  <si>
    <t>This research has been supported by the Natural Environment Research Council (grant nos. NE/N015835/1 and NE/N016211/1) and the Climate and Clean Air Coalition (grant no. DTIE19-020).</t>
  </si>
  <si>
    <t>10.5194/acp-22-4303-2022</t>
  </si>
  <si>
    <t>0F8ME</t>
  </si>
  <si>
    <t>WOS:000777608100001</t>
  </si>
  <si>
    <t>Pertierra, LR; Convey, P; Martinez, PA; Tejedo, P; Benayas, J; Olalla-Tárraga, MA</t>
  </si>
  <si>
    <t>Pertierra, Luis R.; Convey, Peter; Ariel Martinez, Pablo; Tejedo, Pablo; Benayas, Javier; Angel Olalla-Tarraga, Miguel</t>
  </si>
  <si>
    <t>Can classic biological invasion hypotheses be applied to reported cases of non-native terrestrial species in the Maritime Antarctic?</t>
  </si>
  <si>
    <t>biological traits; introduction histories; invasion hypotheses; invasion science; polar regions</t>
  </si>
  <si>
    <t>ERETMOPTERA-MURPHYI; PROPAGULE PRESSURE; POA-ANNUA; ESTABLISHMENT SUCCESS; CURRENT KNOWLEDGE; ANNUAL BLUEGRASS; PLANT INVASIONS; CIERVA POINT; DIPTERA; INVERTEBRATE</t>
  </si>
  <si>
    <t>Understanding the success factors underlying each step in the process of biological invasion provides a robust foundation upon which to develop appropriate biosecurity measures. Insights into the processes occurring can be gained through clarifying the circumstances applying to non-native species that have arrived, established and, in some cases, successfully spread in terrestrial Antarctica. To date, examples include a small number of vascular plants and a greater diversity of invertebrates (including Diptera, Collembola, Acari and Oligochaeta), which share features of pre-adaptation to the environmental stresses experienced in Antarctica. In this synthesis, we examine multiple classic invasion science hypotheses that are widely considered to have relevance in invasion ecology and assess their utility in understanding the different invasion histories so far documented in the continent. All of these existing hypotheses appear relevant to some degree in explaining invasion processes in Antarctica. They are also relevant in understanding failed invasions and identifying barriers to invasion. However, the limited number of cases currently available constrains the possibility of establishing patterns and processes. To conclude, we discuss several new and emerging confirmatory methods as relevant tools to test and compare these hypotheses given the availability of appropriate sample sizes in the future.</t>
  </si>
  <si>
    <t>[Pertierra, Luis R.; Angel Olalla-Tarraga, Miguel] Univ Rey Juan Carlos, BIOMA Lab, C Tulipan S-N, Mostoles 28933, Spain; [Convey, Peter] British Antarctic Survey, NERC, Madingley Rd, Cambridge CB3 0ET, England; [Convey, Peter] Univ Johannesburg, Dept Zool, ZA-2006 Auckland Pk, South Africa; [Ariel Martinez, Pablo] Univ Fed Sergipe, Av Marechal Rondon S-N, BR-49100000 Sao Cristovao, SE, Brazil; [Tejedo, Pablo; Benayas, Javier] Univ Autonoma Madrid, C Darwin 2, Madrid 28049, Spain</t>
  </si>
  <si>
    <t>Universidad Rey Juan Carlos; UK Research &amp; Innovation (UKRI); Natural Environment Research Council (NERC); NERC British Antarctic Survey; University of Johannesburg; Universidade Federal de Sergipe; Autonomous University of Madrid</t>
  </si>
  <si>
    <t>Pertierra, LR (corresponding author), Univ Rey Juan Carlos, BIOMA Lab, C Tulipan S-N, Mostoles 28933, Spain.</t>
  </si>
  <si>
    <t>luis.pertierra@gmail.com</t>
  </si>
  <si>
    <t>Martinez, Pablo Ariel/R-9374-2017; Convey, Peter/AAV-5728-2020; Olalla-Tárraga, Miguel Ángel/ABE-7880-2020; Pertierra, Luis R./K-3727-2017; Tejedo, Pablo/A-7163-2010; Benayas Del Alamo, Fco. Javier/E-5663-2017</t>
  </si>
  <si>
    <t>Martinez, Pablo Ariel/0000-0002-5583-3179; Convey, Peter/0000-0001-8497-9903; Olalla-Tárraga, Miguel Ángel/0000-0001-5346-4528; Pertierra, Luis R./0000-0002-2232-428X; Tejedo, Pablo/0000-0002-1865-0445; Benayas Del Alamo, Fco. Javier/0000-0002-5906-9569</t>
  </si>
  <si>
    <t>Antarctic Science Bursary; Spanish ANTECO project [CGL2017-89820-P]; NERC</t>
  </si>
  <si>
    <t>Antarctic Science Bursary; Spanish ANTECO project; NERC(UK Research &amp; Innovation (UKRI)Natural Environment Research Council (NERC))</t>
  </si>
  <si>
    <t>This research was made possible thanks to an Antarctic Science Bursary (2017) granted to LP to conduct a research visit with PAM in the Federal University of Sergipe (UFS, Brazil). LRP, PT, JB and MAO-T are funded by the Spanish ANTECO project (CGL2017-89820-P) to MAO-T. PC is supported by NERC core funding to the British Antarctic Survey 'Biodiversity, Evolution and Adaptation' Team.</t>
  </si>
  <si>
    <t>PII S0954102022000037</t>
  </si>
  <si>
    <t>10.1017/S0954102022000037</t>
  </si>
  <si>
    <t>WOS:000777855300001</t>
  </si>
  <si>
    <t>Proemse, BC; Koolhof, I; White, R; Barmuta, LA; Coughanowr, C</t>
  </si>
  <si>
    <t>Proemse, Bernadette C.; Koolhof, Iain; White, Richard; Barmuta, Leon A.; Coughanowr, Christine</t>
  </si>
  <si>
    <t>Nutrient sources and loads in the River Derwent catchment, Tasmania</t>
  </si>
  <si>
    <t>AUSTRALASIAN JOURNAL OF ENVIRONMENTAL MANAGEMENT</t>
  </si>
  <si>
    <t>Nitrogen; phosphorus; land use; sources; loads</t>
  </si>
  <si>
    <t>GREAT-BARRIER-REEF; WATER-QUALITY; NITROGEN; RESPONSES; PATHWAYS; EXPORTS</t>
  </si>
  <si>
    <t>The greater River Derwent catchment is one of the largest river basins in Tasmania, Australia, and is the main supply of drinking water to the state's capital, Hobart. Recently, summer-time occurrence of blue-green and filamentous algal blooms, combined with taste and odour problems at the drinking water intake, have raised concerns regarding the river's water quality. In order to develop nutrient management strategies, it is crucial to understand nutrient sources and loads. This article therefore determines nutrient production loads using point source effluent data combined with estimates for diffuse sources using land-use data. Overall, we found that aquaculture is the main point source of total nitrogen (TN) and total phosphorus (TP) compared to sewage treatment plants, while agriculture is the main diffuse source of TP and forestry the main diffuse source of TN in the catchment overall. These estimates are compared to river mass loads derived from a two-year monitoring program, revealing some discrepancies between estimated and measured loads for some of the sub-catchments. Our findings identify priority areas for improved nutrient management and highlight the need for more frequent and continuous water quality monitoring to help reduce uncertainties for estimating nutrient loads in the River Derwent catchment.</t>
  </si>
  <si>
    <t>[Proemse, Bernadette C.] Derwent Estuary Program, Hobart, Tas, Australia; [Proemse, Bernadette C.] Univ Tasmania, Inst Marine &amp; Antarctic Studies, Hobart, Tas, Australia; [Koolhof, Iain; White, Richard; Barmuta, Leon A.] Univ Tasmania, Sch Nat Sci, Hobart, Tas, Australia; [Coughanowr, Christine] Tasmanian Independent Sci Council, Hobart, Tas, Australia</t>
  </si>
  <si>
    <t>Proemse, BC (corresponding author), Derwent Estuary Program, Hobart, Tas, Australia.;Proemse, BC (corresponding author), Univ Tasmania, Inst Marine &amp; Antarctic Studies, Hobart, Tas, Australia.</t>
  </si>
  <si>
    <t>bproemse@derwentestuary.org.au</t>
  </si>
  <si>
    <t>Barmuta, Leon/J-2413-2013</t>
  </si>
  <si>
    <t>Barmuta, Leon/0000-0002-8946-3727; Koolhof, Iain/0000-0002-9923-7416</t>
  </si>
  <si>
    <t>We thank the Environmental Protection Authority (EPA) Tasmania for the provision of fish hatchery data the EPA collected in 2017, and TasWater for data on STP and WTP effluent concentrations. We thank Jason Whitehead for his efforts in conducting the two-year monitoring program in the Derwent catchment, Akira Weller-Wong for QGIS support, and Daniel Ray for help with data management. This work was supported by the University of Tasmania 2017 seed funding in the area of Data, Knowledge, Decisions, granted to B.C.P.</t>
  </si>
  <si>
    <t>1448-6563</t>
  </si>
  <si>
    <t>2159-5356</t>
  </si>
  <si>
    <t>AUSTRALAS J ENV MAN</t>
  </si>
  <si>
    <t>Australas. J. Environ. Manag.</t>
  </si>
  <si>
    <t>APR 3</t>
  </si>
  <si>
    <t>10.1080/14486563.2022.2077847</t>
  </si>
  <si>
    <t>Environmental Studies</t>
  </si>
  <si>
    <t>2X4AF</t>
  </si>
  <si>
    <t>WOS:000808482300001</t>
  </si>
  <si>
    <t>Ren, ZJ; Chen, HF; Zhang, SZ</t>
  </si>
  <si>
    <t>Ren, Zhaojie; Chen, Hongfeng; Zhang, Suzhou</t>
  </si>
  <si>
    <t>The complete plastid genome of an Antarctic moss Chorisodontium aciphyllum (Hook. f. &amp; Wilson) Broth (Dicranaceae, Dicranales)</t>
  </si>
  <si>
    <t>Chorisodontium aciphyllum; mosses; plastome</t>
  </si>
  <si>
    <t>IMPROVEMENT</t>
  </si>
  <si>
    <t>Plastid genomes are useful markers in resolving plant phylogenetic relationships for various taxonomic groups. Here, we sequenced and de novo assembled the complete plastid genome sequence of an Antarctic moss Chorisodontium aciphyllum (Hook. f. &amp; Wilson) Broth using genome skimming data. The newly generated plastid genome is conserved in structure and gene content compared with that of other Bryopsida. Plastid phylogenetic analysis of mosses recovered a robust phylogeny in which Chorisodontium aciphyllum clustered with Fissidens nobilis from the Dicranales. The plastid genome sequence of C. aciphyllum will aid future evolution and diversification studies of land plants.</t>
  </si>
  <si>
    <t>[Ren, Zhaojie] Shandong Museum, Nat Dept, Jinan, Peoples R China; [Chen, Hongfeng] Chinese Acad Sci, South China Bot Garden, Guangzhou, Peoples R China; [Zhang, Suzhou] Shenzhen &amp; Chinese Acad Sci, Fairylake Bot Garden, Shenzhen, Peoples R China</t>
  </si>
  <si>
    <t>Chinese Academy of Sciences; South China Botanical Garden, CAS</t>
  </si>
  <si>
    <t>Zhang, SZ (corresponding author), Shenzhen &amp; Chinese Acad Sci, Fairylake Bot Garden, Shenzhen, Peoples R China.</t>
  </si>
  <si>
    <t>zhangsuzhou@szbg.ac.cn</t>
  </si>
  <si>
    <t>Strategic Priority Research Program of Chinese Academy of Sciences [XDA13020603]</t>
  </si>
  <si>
    <t>Strategic Priority Research Program of Chinese Academy of Sciences(Chinese Academy of Sciences)</t>
  </si>
  <si>
    <t>This project is funded by The Strategic Priority Research Program of Chinese Academy of Sciences [XDA13020603 to H.F.C].</t>
  </si>
  <si>
    <t>10.1080/23802359.2021.1909435</t>
  </si>
  <si>
    <t>0S8UT</t>
  </si>
  <si>
    <t>WOS:000786546600001</t>
  </si>
  <si>
    <t>Russell, A; Taylor, MD; Barnes, TC; Johnson, DD; Gillanders, BM</t>
  </si>
  <si>
    <t>Russell, Angela; Taylor, Matthew D.; Barnes, Thomas C.; Johnson, Daniel D.; Gillanders, Bronwyn M.</t>
  </si>
  <si>
    <t>Habitat transitions by a large coastal sciaenid across life history stages, resolved using otolith chemistry</t>
  </si>
  <si>
    <t>MARINE ENVIRONMENTAL RESEARCH</t>
  </si>
  <si>
    <t>Life history; Mulloway; Otolith chemistry; Barium; Strontium; Elemental profiles; Sciaenidae</t>
  </si>
  <si>
    <t>MULLOWAY ARGYROSOMUS-JAPONICUS; PARTIAL MIGRATION; FISH OTOLITHS; FRESH-WATER; EAST-COAST; YELLOWTAIL KINGFISH; MARINE NURSERIES; SOUTH-EASTERN; ESTUARINE; JUVENILE</t>
  </si>
  <si>
    <t>Many coastal species move between estuarine and coastal environments throughout their life. Migration patterns develop as a result of ecology and evolution and must be understood to effectively manage harvested stocks. This study examined movements across estuarine and coastal marine habitats in adult Mulloway (Argyrosomus japonicus); a commercially, indigenous and recreationally harvested sciaenid of south-eastern Australia. Chemical profiles across the otolith (ear bone) were used to examine transitions between estuary and marine habitats over life history. Patterns in otolith Ba:Ca concentrations indicated that the majority of fish migrated between estuary and marine habitats, but a small proportion of fish appeared to remain in either the estuary or the marine habitat. Such movements may potentially be driven by a range of biological and environmental factors. This approach allows questions about the life history and habitat use of Mulloway to be addressed, which will aid management and provide a platform for future research on Mulloway, other sciaenid's and coastal migratory species.</t>
  </si>
  <si>
    <t>[Russell, Angela; Gillanders, Bronwyn M.] Univ Adelaide, Sch Biol Sci, Southern Seas Ecol Labs, Adelaide, SA 5005, Australia; [Russell, Angela; Taylor, Matthew D.; Barnes, Thomas C.; Johnson, Daniel D.] Port Stephens Fisheries Inst, New South Wales Dept Primary Ind, Locked Bag 1, Nelson Bay, NSW 2315, Australia; [Barnes, Thomas C.] Univ Tasmania, Inst Marine &amp; Antarctic Studies, Hobart, Tas, Australia</t>
  </si>
  <si>
    <t>University of Adelaide; NSW Department of Primary Industries; University of Tasmania</t>
  </si>
  <si>
    <t>Russell, A (corresponding author), Univ Adelaide, Sch Biol Sci, Southern Seas Ecol Labs, Adelaide, SA 5005, Australia.</t>
  </si>
  <si>
    <t>angela.russell@dpi.nsw.gov.au</t>
  </si>
  <si>
    <t>Bell, Matthew/IQR-9709-2023; Johnson, Daniel D/N-9305-2016; Taylor, Matthew David/IRZ-9539-2023</t>
  </si>
  <si>
    <t>Taylor, Matthew David/0000-0002-1519-9521; Barnes, Thomas C./0000-0003-1493-1407; Russell, Angela/0000-0002-8628-5961</t>
  </si>
  <si>
    <t>Fisheries Research Development Corporation (FRDC) on behalf of the Australian Government [2016/020]; Australian Government Research Training Program Scholarship at the University of Adelaide</t>
  </si>
  <si>
    <t>Fisheries Research Development Corporation (FRDC) on behalf of the Australian Government; Australian Government Research Training Program Scholarship at the University of Adelaide</t>
  </si>
  <si>
    <t>The authors wish to acknowledge the fishers (commercial, recreational, and Fisher's Co-operatives) who contributed samples to the project. We thank Microscopy Australia and Adelaide Microscopy (AM), with a special thanks to S. Gilbert and B. Wade at the LA-ICP-MS unit (AM) for technical support. Many thanks go to A. Gould, J. Hughes, C. Stanley and A. Pidd, and the NSW Recreational Anglers Program. This program was supported by the Fisheries Research Development Corporation (FRDC) on behalf of the Australian Government (project 2016/020) and financial support was provided to A.L.R through an Australian Government Research Training Program Scholarship at the University of Adelaide. Research was permitted under The University of Adelaide's Animal Ethics Approval (Ref: S-2018-014), The NSW Department of Primary Industries -Fisheries Animal Care and Ethics Approval (ACEC 07/03) and Section 37 Scientific Collection Permit, in accordance with the Fisheries Management Act 1994.</t>
  </si>
  <si>
    <t>0141-1136</t>
  </si>
  <si>
    <t>1879-0291</t>
  </si>
  <si>
    <t>MAR ENVIRON RES</t>
  </si>
  <si>
    <t>Mar. Environ. Res.</t>
  </si>
  <si>
    <t>10.1016/j.marenvres.2022.105614</t>
  </si>
  <si>
    <t>Environmental Sciences; Marine &amp; Freshwater Biology; Toxicology</t>
  </si>
  <si>
    <t>Environmental Sciences &amp; Ecology; Marine &amp; Freshwater Biology; Toxicology</t>
  </si>
  <si>
    <t>1F4LK</t>
  </si>
  <si>
    <t>WOS:000795140000010</t>
  </si>
  <si>
    <t>Queiros, JP; Stevens, DW; Pinkerton, MH; Rosa, R; Duarte, B; Baeta, A; Ramos, JA; Xavier, JC</t>
  </si>
  <si>
    <t>Queiros, Jose P.; Stevens, Darren W.; Pinkerton, Matthew H.; Rosa, Rui; Duarte, Bernardo; Baeta, Alexandra; Ramos, Jaime A.; Xavier, Jose C.</t>
  </si>
  <si>
    <t>Feeding and trophic ecology of Antarctic toothfish Dissostichus mawsoni in the Amundsen and Dumont D'Urville Seas (Antarctica)</t>
  </si>
  <si>
    <t>HYDROBIOLOGIA</t>
  </si>
  <si>
    <t>Diet; Food web; Nototheniidae; Stable isotopic analysis; Southern ocean</t>
  </si>
  <si>
    <t>STABLE-ISOTOPE RATIOS; ROSS SEA; FOOD-WEB; PLEURAGRAMMA-ANTARCTICUM; GLACIALIS CEPHALOPODA; PATAGONIAN TOOTHFISH; STOMACH CONTENTS; FATTY-ACID; DIET; FISH</t>
  </si>
  <si>
    <t>Fisheries ecosystem-based management is an important tool for sustainable harvesting of fisheries worldwide. Knowledge of trophic interactions is crucial since changes in trophic balances can induce severe changes in the structure of marine communities. While advocated for deep-sea fisheries, a lack of studies in the benthopelagic area persist. The Antarctic toothfish, Dissostichus mawsoni, is a top predator inhabiting the Southern Ocean deep-sea and a high-value species in a fishery managed by CCAMLR (Commission for the Conservation of Antarctic Marine Living Resources). Previous studies suggested a geographical variability in its diet, but never studying it in the same year. We analysed stomach contents and stable isotopes of delta N-15 and delta C-13 in the muscle of D. mawsoni captured in three fishing areas from the Amundsen and Dumont D'Urville Seas, during the 2016/17 fishing season. Although significant spatial differences were found, five taxa were found in all sites, Antimora rostrata, Macrourus spp., Muraenolepis spp., Moroteuthopsis longimana and Psychroteuthis glacialis. High diversity of prey confirms D. mawsoni as a generalist feeder. Values of delta N-15 showed similar trophic position across areas, in contrast to the differences found in delta C-13 values. GLM showed that delta N-15 and delta C-13 values varied with otolith length, latitude and the opposite isotope, i.e. delta C-13 and delta N-15 respectively. Implications for D. mawsoni fisheries management are discussed considering different predation release scenarios.</t>
  </si>
  <si>
    <t>[Queiros, Jose P.; Baeta, Alexandra; Ramos, Jaime A.; Xavier, Jose C.] Univ Coimbra, MARE Marine &amp; Environm Sci Ctr, Dept Life Sci, P-3000456 Coimbra, Portugal; [Stevens, Darren W.; Pinkerton, Matthew H.] NIWA Natl Inst Water &amp; Atmospher Res, 301 Evans Bay Parade, Wellington 6021, New Zealand; [Rosa, Rui] Univ Lisbon, Fac Sci, MARE Marine &amp; Environm Sci Ctr, Lab Maritimo Guia, Lisbon, Portugal; [Duarte, Bernardo] Univ Lisbon, MARE Marine &amp; Environm Sci Ctr, Fac Ciencias, P-1749016 Lisbon, Portugal; [Duarte, Bernardo] Univ Lisbon, Dept Biol Vegetal, Fac Ciencias, P-1749016 Lisbon, Portugal; [Xavier, Jose C.] NERC, BAS British Antarctic Survey, Madingley Rd, Cambridge CB3 0ET, England</t>
  </si>
  <si>
    <t>Universidade de Coimbra; National Institute of Water &amp; Atmospheric Research (NIWA) - New Zealand; Universidade de Lisboa; Universidade de Lisboa; Universidade de Lisboa; UK Research &amp; Innovation (UKRI); Natural Environment Research Council (NERC); NERC British Antarctic Survey</t>
  </si>
  <si>
    <t>Queiros, JP (corresponding author), Univ Coimbra, MARE Marine &amp; Environm Sci Ctr, Dept Life Sci, P-3000456 Coimbra, Portugal.</t>
  </si>
  <si>
    <t>jqueiros@student.uc.pt</t>
  </si>
  <si>
    <t>Queirós, José P./K-4158-2019; Baeta, Alexandra/Q-6704-2018; Duarte, Bernardo/H-2001-2011; Xavier, José/KFB-6739-2024; Ramos, Jaime A./B-6616-2018; Rosa, Rui/A-4580-2009</t>
  </si>
  <si>
    <t>Queirós, José P./0000-0003-2763-2529; Duarte, Bernardo/0000-0003-1914-7435; Ramos, Jaime A./0000-0002-9533-987X; Rosa, Rui/0000-0003-2801-5178; /0000-0002-9621-6660</t>
  </si>
  <si>
    <t>NEP Japan; Ross-RAMP (MBIE contract) [C01X1710]; FCT [Foundation for Science and Technology] [UIDB/04292/2020]; FCT/MCTES through national funds (PIDDAC); Portuguese Polar Program (PROPOLAR); FCT PhD Scholarship - FSE [SFRH/BD/144320/2019]; [CEECIND/00511/2017]; New Zealand Ministry of Business, Innovation &amp; Employment (MBIE) [C01X1710] Funding Source: New Zealand Ministry of Business, Innovation &amp; Employment (MBIE)</t>
  </si>
  <si>
    <t>NEP Japan; Ross-RAMP (MBIE contract)(New Zealand Ministry of Business, Innovation and Employment (MBIE)); FCT [Foundation for Science and Technology](Fundacao para a Ciencia e a Tecnologia (FCT)); FCT/MCTES through national funds (PIDDAC)(Fundacao para a Ciencia e a Tecnologia (FCT)); Portuguese Polar Program (PROPOLAR); FCT PhD Scholarship - FSE; ; New Zealand Ministry of Business, Innovation &amp; Employment (MBIE)(New Zealand Ministry of Business, Innovation and Employment (MBIE))</t>
  </si>
  <si>
    <t>This project was financially supported by NEP Japan and in New Zealand by Ross-RAMP (MBIE contract C01X1710). Scientific Committee on Antarctic Research (SCAR) associated programs, expert, and action groups, namely SCAR AnT-ERA, SCAR EGBAMM and ICED. Strategic program of MARE (Marine and Environmental Sciences Centre), financed by FCT [Foundation for Science and Technology (UIDB/04292/2020)]. JPQ was supported by FCT/MCTES through national funds (PIDDAC) and Portuguese Polar Program (PROPOLAR), and by FCT PhD Scholarship co-financed by FSE (SFRH/BD/144320/2019). BD was supported by an investigation contract (CEECIND/00511/2017).</t>
  </si>
  <si>
    <t>0018-8158</t>
  </si>
  <si>
    <t>1573-5117</t>
  </si>
  <si>
    <t>Hydrobiologia</t>
  </si>
  <si>
    <t>10.1007/s10750-022-04871-3</t>
  </si>
  <si>
    <t>0Z9QU</t>
  </si>
  <si>
    <t>WOS:000777380600001</t>
  </si>
  <si>
    <t>Buchanan, E</t>
  </si>
  <si>
    <t>Buchanan, Elizabeth</t>
  </si>
  <si>
    <t>Antarctica in the gray zone</t>
  </si>
  <si>
    <t>AUSTRALIAN JOURNAL OF INTERNATIONAL AFFAIRS</t>
  </si>
  <si>
    <t>Gray zone; Grey zone; Antarctica; Antarctic; Australian Antarctic Territory; Antarctic Treaty System; Strategic Competition</t>
  </si>
  <si>
    <t>CHINA</t>
  </si>
  <si>
    <t>All appears quiet on Australia's southern front - Antarctica. The continent remains a beacon of cooperation, home to a continued system of international governance and scientific engagement, lauded as a political win from the depths of the Cold War. Beneath the surface, however, this article argues that strategic competition is now building. In Antarctica, this competition takes the form of gray zone activities. This article argues that the proliferation of gray zone challenges could jeopardize the future of the Antarctic Treaty System (ATS). This article analyses gray zone activity in Antarctica and highlights the growing complexity Australia faces, as Canberra pursues the dual objectives of protecting Australia's territorial claim to the Australian Antarctic Territory (AAT) and bolstering the ATS.</t>
  </si>
  <si>
    <t>[Buchanan, Elizabeth] Deakin Univ, Sch Humanities &amp; Social Sci, Canberra, ACT, Australia</t>
  </si>
  <si>
    <t>Deakin University</t>
  </si>
  <si>
    <t>Buchanan, E (corresponding author), Deakin Univ, Sch Humanities &amp; Social Sci, Canberra, ACT, Australia.</t>
  </si>
  <si>
    <t>elizabeth.buchanan@deakin.edu.au</t>
  </si>
  <si>
    <t>1035-7718</t>
  </si>
  <si>
    <t>1465-332X</t>
  </si>
  <si>
    <t>AUST J INT AFF</t>
  </si>
  <si>
    <t>Aust. J. Int. Aff.</t>
  </si>
  <si>
    <t>10.1080/10357718.2022.2057917</t>
  </si>
  <si>
    <t>International Relations</t>
  </si>
  <si>
    <t>1P6YT</t>
  </si>
  <si>
    <t>WOS:000777164800001</t>
  </si>
  <si>
    <t>Buchanan, E; Flamm, P</t>
  </si>
  <si>
    <t>Buchanan, Elizabeth; Flamm, Patrick</t>
  </si>
  <si>
    <t>Antarctic Treaty System at 60: fit for the future?</t>
  </si>
  <si>
    <t>[Buchanan, Elizabeth] Deakin Univ, SHSS, Australian War Coll, Canberra, ACT, Australia; [Flamm, Patrick] Victoria Univ Wellington, SHPPIR, Wellington, New Zealand</t>
  </si>
  <si>
    <t>Deakin University; Victoria University Wellington</t>
  </si>
  <si>
    <t>Buchanan, E (corresponding author), Deakin Univ, SHSS, Australian War Coll, Canberra, ACT, Australia.</t>
  </si>
  <si>
    <t>Flamm, Patrick/0000-0003-4471-688X</t>
  </si>
  <si>
    <t>10.1080/10357718.2022.2057919</t>
  </si>
  <si>
    <t>WOS:000777090900001</t>
  </si>
  <si>
    <t>Norbury, LJ; Shirakashi, S; Power, C; Nowak, BF; Bott, NJ</t>
  </si>
  <si>
    <t>Norbury, Luke J.; Shirakashi, Sho; Power, Cecilia; Nowak, Barbara F.; Bott, Nathan J.</t>
  </si>
  <si>
    <t>Praziquantel use in aquaculture - Current status and emerging issues</t>
  </si>
  <si>
    <t>INTERNATIONAL JOURNAL FOR PARASITOLOGY-DRUGS AND DRUG RESISTANCE</t>
  </si>
  <si>
    <t>Praziquantel; Aquaculture; Parasite</t>
  </si>
  <si>
    <t>ROCKFISH SEBASTES-SCHLEGELI; ORALLY-ADMINISTERED PRAZIQUANTEL; EUBOTHRIUM SP CESTODA; BENEDENIA-SERIOLAE MONOGENEA; SOUTHERN BLUEFIN TUNA; SALMON SALMO-SALAR; BATH TREATMENTS; MICROCOTYLE-SEBASTIS; SCHISTOSOMA-MANSONI; ZEUXAPTA-SERIOLAE</t>
  </si>
  <si>
    <t>Parasitic diseases are major constraints in fish mariculture. The anthelmintic praziquantel (PZQ) can effectively treat a range of flatworm parasites in a variety of fish species and has potential for broader application than its current use in the global aquaculture industry. In this review we report on PZQ's current use in the aquaculture industry and discuss its efficacy against various flatworm parasites of fish. Routes of PZQ administration are evaluated, along with issues related to palatability, pharmacokinetics and toxicity in fish, while PZQ's effects on non-target species, environmental impacts, and the development of drug-resistance are discussed.</t>
  </si>
  <si>
    <t>[Norbury, Luke J.; Power, Cecilia; Nowak, Barbara F.; Bott, Nathan J.] RMIT Univ, STEM Coll, Sch Sci, Bundoora, Vic 3083, Australia; [Shirakashi, Sho] Kindai Univ, Aquaculture Res Inst, Wakayama 6492211, Japan; [Nowak, Barbara F.] Univ Tasmania, Inst Marine &amp; Antarctic Studies, Launceston, Tas 7250, Australia</t>
  </si>
  <si>
    <t>Royal Melbourne Institute of Technology (RMIT); University of Tasmania</t>
  </si>
  <si>
    <t>Bott, NJ (corresponding author), RMIT Univ, STEM Coll, Sch Sci, Bundoora, Vic 3083, Australia.</t>
  </si>
  <si>
    <t>nathan.bott@rmit.edu.au</t>
  </si>
  <si>
    <t>Nowak, Barbara/J-7261-2014; Norbury, Luke J/I-3322-2015; Bott, Nathan J/A-3816-2009</t>
  </si>
  <si>
    <t>Norbury, Luke J/0000-0002-2887-2797; Bott, Nathan/0000-0003-4049-9945; Power, Cecilia/0000-0002-3279-033X; Shirakashi, Sho/0000-0001-9526-5906</t>
  </si>
  <si>
    <t>Australian Government through the Fisheries Research and Development Corporation [FRDC2018-170]</t>
  </si>
  <si>
    <t>Australian Government through the Fisheries Research and Development Corporation(Fisheries R&amp;D Corp)</t>
  </si>
  <si>
    <t>This review was made possible by funding to NJB by the Australian Government through the Fisheries Research and Development Corporation (FRDC2018-170).</t>
  </si>
  <si>
    <t>2211-3207</t>
  </si>
  <si>
    <t>INT J PARASITOL-DRUG</t>
  </si>
  <si>
    <t>Int. J. Parasitol.-Drugs Drug Resist.</t>
  </si>
  <si>
    <t>10.1016/j.ijpddr.2022.02.001</t>
  </si>
  <si>
    <t>Parasitology; Pharmacology &amp; Pharmacy</t>
  </si>
  <si>
    <t>9A2ZE</t>
  </si>
  <si>
    <t>WOS:000933930300001</t>
  </si>
  <si>
    <t>Trotter, JA; McCulloch, MT; D'Olivo, JP; Scott, P; Tisnérat-Laborde, N; Taviani, M; Montagna, P</t>
  </si>
  <si>
    <t>Trotter, Julie A.; McCulloch, Malcolm T.; D'Olivo, Juan Pablo; Scott, Pete; Tisnerat-Laborde, Nadine; Taviani, Marco; Montagna, Paolo</t>
  </si>
  <si>
    <t>Deep-water coral records of glacial and recent ocean-atmosphere dynamics from the Perth Canyon in the southeast Indian Ocean</t>
  </si>
  <si>
    <t>QUATERNARY SCIENCE ADVANCES</t>
  </si>
  <si>
    <t>Deep-water coral; Indian Ocean; Nd isotopes; Ocean ventilation; Last Glacial Maximum; Perth Canyon</t>
  </si>
  <si>
    <t>NEODYMIUM ISOTOPIC COMPOSITION; ANTARCTIC INTERMEDIATE WATER; NORTH-ATLANTIC; CIRCULATION; SEA; RADIOCARBON; VENTILATION; VARIABILITY; SEAWATER; ND</t>
  </si>
  <si>
    <t>We present radiocarbon and neodymium isotope records from accurately dated (U-series) live and fossil (&lt;2 ka, 17.5 to 29.6 ka BP) deep-water corals, collected between 675 and 1788 m from the Perth Canyon, offshore southwest Australia. These records provide the first insights into recent and last glacial intermediate-deep water circulation and ventilation histories from the poorly represented southeast Indian Ocean. Ocean ventilation fluctuated significantly during the last glacial period, being highly ventilated during early Marine Isotope Stage 2 and the early deglaciation, yet less ventilated and more stratified during the Last Glacial Maximum. Furthermore, the Perth Canyon corals recorded a major and rapid (similar to 300 years) perturbation at 25 ka, indicating that mid-depth waters were exposed to poorly ventilated, unradiogenic Nd deeper waters. We link this to similar, age equivalent changes at geographically disparate sites from the southeast Atlantic to the Southern Ocean south of Tasmania, together with fluctuations in Antarctic sea-ice, oceanic fronts, and Atlantic Meridional Overturning Circulation (AMOC). This widespread Southern Ocean event indicates a transient breach in upper and lower ocean cell boundaries of the MOC, providing further evidence for the non-steady state, zonal dynamics of the glacial Southern Ocean.</t>
  </si>
  <si>
    <t>[Trotter, Julie A.; McCulloch, Malcolm T.; D'Olivo, Juan Pablo; Scott, Pete] Univ Western Australia, Oceans Grad Sch, 35 Stirling Highway, Perth, WA 6009, Australia; [Trotter, Julie A.; McCulloch, Malcolm T.; D'Olivo, Juan Pablo; Scott, Pete] Univ Western Australia, UWA Oceans Inst, 35 Stirling Highway, Perth, WA 6009, Australia; [Tisnerat-Laborde, Nadine] LSCE IPSL, Lab Sci Climat &amp; Environm, Av Terrasse, F-91198 Gif Sur Yvette, France; [Taviani, Marco] CNR, Ist Sci Marine ISMAR, Via Gobetti 101, Bologna, Italy; [Taviani, Marco] Stn Zool Anton Dohrn, I-80121 Naples, Italy; [Montagna, Paolo] CNR, Ist Sci Polari ISP, Via Gobetti 101, Bologna, Italy</t>
  </si>
  <si>
    <t>University of Western Australia; University of Western Australia; CEA; Centre National de la Recherche Scientifique (CNRS); Universite Paris Saclay; Consiglio Nazionale delle Ricerche (CNR); Istituto di Scienze Marine (ISMAR-CNR); Stazione Zoologica Anton Dohrn di Napoli; Consiglio Nazionale delle Ricerche (CNR); Istituto di Scienze Polari (ISP-CNR)</t>
  </si>
  <si>
    <t>Trotter, JA (corresponding author), Univ Western Australia, Oceans Grad Sch, 35 Stirling Highway, Perth, WA 6009, Australia.;Trotter, JA (corresponding author), Univ Western Australia, UWA Oceans Inst, 35 Stirling Highway, Perth, WA 6009, Australia.</t>
  </si>
  <si>
    <t>julie.trotter@uwa.edu.au</t>
  </si>
  <si>
    <t>D Olivo Cordero, Juan Pablo Pablo/H-9105-2014; Trotter, Julie/H-5981-2014; Scott, Peter/N-4355-2017; McCulloch, Malcolm Thomas/C-3651-2009</t>
  </si>
  <si>
    <t>Trotter, Julie/0000-0002-0505-488X; Scott, Peter/0000-0002-1352-5901; McCulloch, Malcolm Thomas/0000-0003-1538-1558</t>
  </si>
  <si>
    <t>Australian Research Council [FT160100259, FL120100049, CE140100020]; Italian National Programme of Antarctic Research [PNRA 2013/AZ2.06]; Australian Research Council [FL120100049, FT160100259] Funding Source: Australian Research Council</t>
  </si>
  <si>
    <t>Australian Research Council(Australian Research Council); Italian National Programme of Antarctic Research; Australian Research Council(Australian Research Council)</t>
  </si>
  <si>
    <t>The authors thank the Schmidt Ocean Institute for providing the RV Falkor and crew, as well as the deep-sea ROV and pilots from Neptune Marine Services, which enabled us to collect the samples for this study. The Australian Research Council is acknowledged for fellowship funding to JAT (FT160100259) and MM (FL120100049 and CE140100020). Paolo Montagna gratefully acknowledge the support provided by the Italian National Programme of Antarctic Research (PNRA 2013/AZ2.06 Geosmart Project). We also thank Helen Bostock and an anonymous reviewer for their comments that improved the manuscript. This research was conducted in the Perth Canyon Marine Park under permit number AU-COM2014-252, issued by the Director of Parks Australia. The views expressed in this publication do not necessarily represent the views of the Director of Parks Australia or the Australian Government. This is ISMAR-CNR scientific contribution n. 2063.</t>
  </si>
  <si>
    <t>2666-0334</t>
  </si>
  <si>
    <t>QUAT SCI ADV</t>
  </si>
  <si>
    <t>Quat. Sci. Adv.</t>
  </si>
  <si>
    <t>10.1016/j.qsa.2022.100052</t>
  </si>
  <si>
    <t>7H9TL</t>
  </si>
  <si>
    <t>WOS:000903538900004</t>
  </si>
  <si>
    <t>Woodward, J; Hein, AS; Winter, K; Westoby, MJ; Marrero, SM; Dunning, SA; Lim, M; Rivera, A; Sugden, DE</t>
  </si>
  <si>
    <t>Woodward, John; Hein, Andrew S.; Winter, Kate; Westoby, Matthew J.; Marrero, Shasta M.; Dunning, Stuart A.; Lim, Michael; Rivera, Andres; Sugden, David E.</t>
  </si>
  <si>
    <t>Blue-ice moraines formation in the Heritage Range, West Antarctica: Implications for ice sheet history and climate reconstruction</t>
  </si>
  <si>
    <t>Blue ice moraine; Geophysical surveys; Cosmogenic nuclide dating; West Antarctic ice sheet; Ice sheet history</t>
  </si>
  <si>
    <t>WEDDELL SEA EMBAYMENT; ELLSWORTH MOUNTAINS; PATRIOT HILLS; TRANSANTARCTIC MOUNTAINS; GEOLOGIC CONSTRAINTS; HORSESHOE VALLEY; LATE PLEISTOCENE; STABLE-ISOTOPES; UNION GLACIER; HALF-LIFE</t>
  </si>
  <si>
    <t>Blue ice is found in areas of Antarctica where katabatic winds, focussed by steep surface slopes or by topography around nunataks, cause enhanced surface ablation. This process draws up deeper, older ice to the ice sheet surface, often bringing with it englacial sediment. Prevailing theories for dynamically stable moraine surfaces in East Antarctica suggest that: (i) it is this material, once concentrated, that forms blue-ice moraines (BIM), (ii) that the moraine formation can be dated using cosmogenic isotope approaches, and that, (iii) since we expect an increase in exposure age moving away from the ice margin towards bedrock, dating across the moraine can be used to constrain ice-sheet history. To test this lateral accretion model for BIM formation we visited Patriot, Marble and Independence Hills in the southern Heritage Range, West Antarctica. Detailed field surveys of surface form, sediment and moraine dynamics were combined with geophysical surveys of the englacial structure of the moraines and cosmogenic nuclide analysis of surface clasts. Results suggest sediment is supplied mainly by basal entrainment, supplemented by debris-covered valley glaciers transferring material onto the ice sheet surface, direct deposition from rock-fall and slope processes from nunataks. We find that once sediment coalesces in BIM, significant reworking occurs through differential ablation, slope and periglacial processes. We bring these processes together in a conceptual model, concluding that many BIM in West Antarctica are dynamic and, whilst they persist through glacial cycles, they do not always neatly record ice sheet retreat patterns since linear distance from the ice margin does not always relate to increased clast exposure age. Understanding the dynamic processes involved in moraine formation is critical to the effective interpretation of the typically large scatter of cosmogenic nuclide exposure ages, opening a deep window into the million-year history of the West Antarctic Ice Sheet.</t>
  </si>
  <si>
    <t>[Woodward, John; Winter, Kate; Westoby, Matthew J.] Northumbria Univ, Dept Geog &amp; Environm Sci, Engn &amp; Environm, Newcastle Upon Tyne, Tyne &amp; Wear, England; [Hein, Andrew S.; Marrero, Shasta M.; Sugden, David E.] Univ Edinburgh, Sch Geosci, Edinburgh, Midlothian, Scotland; [Marrero, Shasta M.] Cardiff Univ, Sch Earth &amp; Ocean Sci, Cardiff, Wales; [Dunning, Stuart A.] Newcastle Univ, Sch Geog Polit &amp; Sociol, Newcastle Upon Tyne, Tyne &amp; Wear, England; [Lim, Michael] Northumbria Univ, Dept Mech &amp; Construct Engn, Engn &amp; Environm, Newcastle Upon Tyne, Tyne &amp; Wear, England; [Rivera, Andres] Univ Chile, Dept Geog, Santiago, Chile</t>
  </si>
  <si>
    <t>Northumbria University; University of Edinburgh; Cardiff University; Newcastle University - UK; Northumbria University; Universidad de Chile</t>
  </si>
  <si>
    <t>Woodward, J (corresponding author), Northumbria Univ, Dept Geog &amp; Environm Sci, Engn &amp; Environm, Newcastle Upon Tyne, Tyne &amp; Wear, England.</t>
  </si>
  <si>
    <t>john.woodward@northumbria.ac.uk</t>
  </si>
  <si>
    <t>Woodward, John/I-1046-2013; Westoby, Matthew/JNE-9260-2023; Hein, Andrew/JWO-3756-2024; Dunning, Stuart/A-1820-2010; Westoby, Matthew/D-3880-2016</t>
  </si>
  <si>
    <t>Dunning, Stuart/0000-0002-2310-7367; Westoby, Matthew/0000-0002-2070-5580; Marrero, Shasta/0000-0003-2917-0292; Lim, Michael/0000-0002-6507-6773; Woodward, John/0000-0002-4980-4080; Winter, Kate/0000-0003-2389-8637</t>
  </si>
  <si>
    <t>UK Natural Environment Research Council [NE/I025840/1, NE/I027576/1, NE/I024194/1, NE/I025263/1]; NERC [NE/I027576/1, NE/I024194/1, NE/I025263/1, NE/I025840/1] Funding Source: UKRI</t>
  </si>
  <si>
    <t>UK Natural Environment Research Council(UK Research &amp; Innovation (UKRI)Natural Environment Research Council (NERC)); NERC(UK Research &amp; Innovation (UKRI)Natural Environment Research Council (NERC))</t>
  </si>
  <si>
    <t>The research was funded by the UK Natural Environment Research Council grant numbers NE/I025840/1, NE/I027576/1, NE/I024194/1 and NE/I025263/1. We thank the British Antarctic Survey for logistical support and Scott Webster, Malcolm Airey and Phil Stevens for field support. Reed Scherer kindly checked till samples for marine diatoms.</t>
  </si>
  <si>
    <t>10.1016/j.qsa.2022.100051</t>
  </si>
  <si>
    <t>WOS:000903538900003</t>
  </si>
  <si>
    <t>Inoue, J; Sato, K</t>
  </si>
  <si>
    <t>Inoue, Jun; Sato, Kazutoshi</t>
  </si>
  <si>
    <t>Toward sustainable meteorological profiling in polar regions: Case studies using an inexpensive UAS on measuring lower boundary layers with quality of radiosondes</t>
  </si>
  <si>
    <t>Polar meteorology; UAS; Boundary layer; Sustainable observing network; Observations for forecasting</t>
  </si>
  <si>
    <t>UNMANNED AIRCRAFT; SYSTEM; AEROSONDES; FORECASTS; VALLEY; IMPACT</t>
  </si>
  <si>
    <t>This study assessed the possibility of producing profiles of atmospheric parameters, including aerosol number concentration, using observations obtained by a conventional low-cost small rotary-wing Unmanned Aircraft Systems (UAS). A radiation shield for the meteorological sensor was developed to reduce the effects from heat exhaust from both the rotors and the body of the UAS and from solar radiation. Field experiments in northern Japan during winter confirmed that the continuous UAS-derived meteorological data obtained in the lower boundary layer were of quality equivalent to that of radiosonde observations in a cold environment (&lt; -20 degrees C), that is, better than other meteorological rotary-wing UASs. The continuous profiling of aerosols also demonstrated the capability for monitoring air quality below a very strong inversion layer during winter. Quality-controlled UAS meteorological profiles would be a potential observation data source for skillful numerical weather prediction, particularly in data-sparse regions such as the Arctic and Antarctic, contributing to the sustainable polar observing network.</t>
  </si>
  <si>
    <t>[Inoue, Jun; Sato, Kazutoshi] Natl Inst Polar Res, 10-3 Midori Cho, Tachikawa, Tokyo 1908518, Japan; [Inoue, Jun; Sato, Kazutoshi] Grad Univ Adv Studies, SOKENDAI, 10-3 Midori Cho, Tachikawa, Tokyo 1908518, Japan; [Sato, Kazutoshi] Kitami Inst Technol, 165 Koen Cho, Kitami, Hokkaido 0908507, Japan</t>
  </si>
  <si>
    <t>Research Organization of Information &amp; Systems (ROIS); National Institute of Polar Research (NIPR) - Japan; Graduate University for Advanced Studies - Japan; Kitami Institute of Technology</t>
  </si>
  <si>
    <t>Inoue, J (corresponding author), Natl Inst Polar Res, 10-3 Midori Cho, Tachikawa, Tokyo 1908518, Japan.</t>
  </si>
  <si>
    <t>inoue.jun@nipr.ac.jp</t>
  </si>
  <si>
    <t>Sato, Kazutoshi/0000-0003-0216-8942</t>
  </si>
  <si>
    <t>Arctic Challenge for Sustainability II [JPMXD1420318865]; JSPS KAKENHI [JP18H03745, JP18KK0292]; Grant for Joint Research Program of the Japan Arctic Research Network Center [FS02]</t>
  </si>
  <si>
    <t>Arctic Challenge for Sustainability II; JSPS KAKENHI(Ministry of Education, Culture, Sports, Science and Technology, Japan (MEXT)Japan Society for the Promotion of ScienceGrants-in-Aid for Scientific Research (KAKENHI)); Grant for Joint Research Program of the Japan Arctic Research Network Center</t>
  </si>
  <si>
    <t>Operations of PF2 and MM670 were conducted by Type-S Co., Ltd. and the Japan Meteorological Corporation, respectively. Radiosonde observations were also conducted by Type-S Co., Ltd. All UAS flight plans were approved by the East Japan Aviation Bureau and Kushiro Airport. Mr. Hajime Hamada provided logistical support for the UAS operations at Rikubetsu, Hokkaido. Dr. Naohiko Hirasawa provided surface meteorological data for Rikubetsu. This research is supported by the Arctic Challenge for Sustainability II (grant number: JPMXD1420318865), JSPS KAKENHI (grant numbers: JP18H03745 and JP18KK0292), and the Grant for Joint Research Program of the Japan Arctic Research Network Center (grant number: FS02). We thank James Buxton MSc of Edanz (https://jp.edanz.com/ac) for editing a draft of this manuscript. The authors also thank the editor and two anonymous reviewers for their valuable comments to improve the manuscript. The STL file of the radiation shield for 3-d printing is available at https://ads.nipr.ac.jp/dataset/A20210917-001.</t>
  </si>
  <si>
    <t>APR 1</t>
  </si>
  <si>
    <t>10.1016/j.envres.2021.112468</t>
  </si>
  <si>
    <t>6F4SS</t>
  </si>
  <si>
    <t>WOS:000884053300005</t>
  </si>
  <si>
    <t>Vazaeva, NV; Chkhetiani, OG; Durneva, EA</t>
  </si>
  <si>
    <t>Vazaeva, N. V.; Chkhetiani, O. G.; Durneva, E. A.</t>
  </si>
  <si>
    <t>Criteria to Identify Polar Lows</t>
  </si>
  <si>
    <t>polar lows; identification criteria; numerical simulation; helicity; kinematic vorticity number</t>
  </si>
  <si>
    <t>HELICITY; CYCLONES; CLIMATOLOGY; ENERGY; VORTICITY; VELOCITY; MODEL; SEA</t>
  </si>
  <si>
    <t>The cases of polar lows (PLs) over the Norwegian and Barents seas in 2013, in the vicinity of Severnaya Zemlya in 2015, and in the near-edge zone of the Laptev Sea in 2021 were analyzed using the reanalysis and the WRF-ARW model simulations. A combination of criteria was selected that are sufficient for identifying PLs and analyzing their size and intensity in a convenient and understandable form. These criteria are the estimates of helicity as an integral characteristic related to integral vortex formations and a kinematic vorticity number. Such criteria can be used to simplify the time-consuming procedure for collecting primary data on PL cases for machine learning.</t>
  </si>
  <si>
    <t>[Vazaeva, N. V.; Chkhetiani, O. G.; Durneva, E. A.] Russian Acad Sci, Obukhov Inst Atmospher Phys, Pyzhevskii Per 3, Moscow 119017, Russia; [Vazaeva, N. V.] Bauman Moscow State Tech Univ, Vtoraya Baumanskaya Ul 5 Str 1, Moscow 105005, Russia; [Durneva, E. A.] Arctic &amp; Antarctic Res Inst, Ul Beringa 38, St Petersburg 199397, Russia</t>
  </si>
  <si>
    <t>Russian Academy of Sciences; Obukhov Institute of Atmospheric Physics of Russian Academy of Sciences; Bauman Moscow State Technical University; Arctic &amp; Antarctic Research Institute</t>
  </si>
  <si>
    <t>Vazaeva, NV (corresponding author), Russian Acad Sci, Obukhov Inst Atmospher Phys, Pyzhevskii Per 3, Moscow 119017, Russia.;Vazaeva, NV (corresponding author), Bauman Moscow State Tech Univ, Vtoraya Baumanskaya Ul 5 Str 1, Moscow 105005, Russia.</t>
  </si>
  <si>
    <t>vazaevanv@ifaran.ru</t>
  </si>
  <si>
    <t>Russian Science Foundation [19-17-00248]; Ministry of Science and Higher Education of the Russian Federation (Obukhov Institute of Atmospheric Physics of the Russian Academy of Sciences) [075-15-2021-577]</t>
  </si>
  <si>
    <t>Russian Science Foundation(Russian Science Foundation (RSF)); Ministry of Science and Higher Education of the Russian Federation (Obukhov Institute of Atmospheric Physics of the Russian Academy of Sciences)</t>
  </si>
  <si>
    <t>The research was supported by the Russian Science Foundation (grant 19-17-00248) and Ministry of Science and Higher Education of the Russian Federation (agreement 075-15-2021-577 with the Obukhov Institute of Atmospheric Physics of the Russian Academy of Sciences).</t>
  </si>
  <si>
    <t>10.3103/S1068373922040021</t>
  </si>
  <si>
    <t>3F5MA</t>
  </si>
  <si>
    <t>WOS:000830712000002</t>
  </si>
  <si>
    <t>Lukianova, RY; Alekseev, GV; Serikov, MV</t>
  </si>
  <si>
    <t>Lukianova, R. Yu; Alekseev, G., V; Serikov, M., V</t>
  </si>
  <si>
    <t>Variability of Total Precipitable Water over the North Atlantic and North Pacific According to Satellite Microwave Sounding</t>
  </si>
  <si>
    <t>total precipitable water; microwave sounding; heat and moisture transport; North Atlantic and North Pacific; trends</t>
  </si>
  <si>
    <t>AMPLIFICATION</t>
  </si>
  <si>
    <t>Latitudinal and interannual variability of tropospheric total precipitable water (TPW) over the North Atlantic and North Pacific is investigated using a collection of monthly digital maps based on microwave sounding onboard the DMSP satellites in 1988-2020. It is shown that in the Pacific region the TPW was growing linearly, and its increase during the period under consideration reached 1.5 mm. In the atmosphere over the North Atlantic until the early 2000s, the amount of water vapor was also increasing quite rapidly, with a total increase of about 2.5 mm. However, in the subsequent decades, the trend slowed down, reaching a certain plateau. In the Atlantic sector, eight winters were found in interannual variability, which were characterized by a significantly weak transfer of atmospheric heat and moisture from low to high latitudes. They all correspond to the years of the solar activity decline phase.</t>
  </si>
  <si>
    <t>[Lukianova, R. Yu] Russian Acad Sci, Space Res Inst, Ul Profsoyuznaya 84-32, Moscow 117997, Russia; [Lukianova, R. Yu; Alekseev, G., V] Arctic &amp; Antarctic Res Inst, Ul Beringa 38, St Petersburg 199397, Russia; [Serikov, M., V] St Petersburg State Univ, Inst Earth Sci, Univ Skaya Nab 7-9, St Petersburg 199034, Russia</t>
  </si>
  <si>
    <t>Russian Academy of Sciences; Space Research Institute of the Russian Academy of Sciences; Arctic &amp; Antarctic Research Institute; Saint Petersburg State University</t>
  </si>
  <si>
    <t>Lukianova, RY (corresponding author), Russian Acad Sci, Space Res Inst, Ul Profsoyuznaya 84-32, Moscow 117997, Russia.;Lukianova, RY (corresponding author), Arctic &amp; Antarctic Res Inst, Ul Beringa 38, St Petersburg 199397, Russia.</t>
  </si>
  <si>
    <t>renata@aari.ru</t>
  </si>
  <si>
    <t>Lukianova, Renata/K-3293-2012</t>
  </si>
  <si>
    <t>Lukianova, Renata/0000-0003-2343-9174</t>
  </si>
  <si>
    <t>10.3103/S1068373922040045</t>
  </si>
  <si>
    <t>WOS:000830712000004</t>
  </si>
  <si>
    <t>Yang, WX; Dou, YK; Lang, SN; Zhao, B; Wang, YC; Zuo, GY</t>
  </si>
  <si>
    <t>Yang Wangxiao; Yinke, Dou; Shinan, Lang; Bo, Zhao; Yuchen, Wang; Guangyu, Zuo</t>
  </si>
  <si>
    <t>Antarctic Ice Sheet Density Inversion Algorithm Based on Improved Layer Stripping Method</t>
  </si>
  <si>
    <t>JOURNAL OF ELECTRONICS &amp; INFORMATION TECHNOLOGY</t>
  </si>
  <si>
    <t>Frequency Modulated Continuous Wave (FMCW) radar; Medium parameter inversion; Layer stripping inversion method; Optimization algorithm</t>
  </si>
  <si>
    <t>FIRN; RADAR; MEDIA</t>
  </si>
  <si>
    <t>The density-depth relationship of the Antarctic ice sheet is one of the key parameter when building the high-precision surface mass balance model. An ice sheet density and permittivity inversion method is proposed based on Frequency Modulated Continuous Wave (FMCW) radar. The density profile is preliminarily inverted firstly by the layer stripping inversion method. Then the density model is established by the shallow inversion density and the ice sheet densification empirical equation. Finally, the optimal model parameters are found through the optimization algorithm to calibration the density. Experimental results based on theoretical ice sheet models and measured radar data verify the effectiveness of the new method.</t>
  </si>
  <si>
    <t>[Yang Wangxiao; Yinke, Dou; Yuchen, Wang; Guangyu, Zuo] Taiyuan Univ Technol, Coll Elect &amp; Power Engn, Taiyuan 030024, Peoples R China; [Shinan, Lang] Beijing Univ Technol, Fac Informat Technol, Beijing 100124, Peoples R China; [Bo, Zhao] Chinese Acad Sci, Aerosp Informat Res Inst, Beijing 100190, Peoples R China</t>
  </si>
  <si>
    <t>Taiyuan University of Technology; Beijing University of Technology; Chinese Academy of Sciences; Aerospace Information Research Institute, CAS</t>
  </si>
  <si>
    <t>Dou, YK (corresponding author), Taiyuan Univ Technol, Coll Elect &amp; Power Engn, Taiyuan 030024, Peoples R China.</t>
  </si>
  <si>
    <t>douyk8888cn@126.com</t>
  </si>
  <si>
    <t>bo, zhao/JRY-8300-2023</t>
  </si>
  <si>
    <t>National Natural Science Foundation of China [41776199]</t>
  </si>
  <si>
    <t>Foundation Item: The National Natural Science Foundation of China (41776199)</t>
  </si>
  <si>
    <t>CHINESE ACAD SCIENCES, INST ELECTRONICS</t>
  </si>
  <si>
    <t>PO BOX 2702, BEIJING, 100190, PEOPLES R CHINA</t>
  </si>
  <si>
    <t>1009-5896</t>
  </si>
  <si>
    <t>J ELECTRON INF TECHN</t>
  </si>
  <si>
    <t>J. Electron. Inf. Technol.</t>
  </si>
  <si>
    <t>10.11999/JEIT210410</t>
  </si>
  <si>
    <t>Engineering, Electrical &amp; Electronic</t>
  </si>
  <si>
    <t>2B5FB</t>
  </si>
  <si>
    <t>WOS:000810212800007</t>
  </si>
  <si>
    <t>Wahiduzzaman, M; Ali, MA; Cheung, K; Luo, JJ; Shaolei, T; Bhaskaran, PK; Yuan, CX; Bilal, M; Qiu, ZF; Almazroui, M</t>
  </si>
  <si>
    <t>Wahiduzzaman, Md; Ali, Md Arfan; Cheung, Kevin; Luo, Jing-Jia; Shaolei, Tang; Bhaskaran, Prasad K.; Yuan, Chaoxia; Bilal, Muhammad; Qiu, Zhongfeng; Almazroui, Mansour</t>
  </si>
  <si>
    <t>Impacts of Aerosols and Climate Modes on Tropical Cyclone Frequency over the North Indian Ocean: A Statistical Link Approach</t>
  </si>
  <si>
    <t>Atmosphere-ocean interaction; Aerosols; Climate variability; Regression analysis; Statistical techniques; Statistical forecasting</t>
  </si>
  <si>
    <t>EL-NINO; SOUTHERN-OSCILLATION; SEASONAL PREDICTION; OPTICAL-PROPERTIES; MONSOON RAINFALL; BAY; CYCLOGENESIS; PACIFIC; MODULATION; LANDFALL</t>
  </si>
  <si>
    <t>North Indian Ocean (NIO) tropical cyclone activity is strongly influenced by aerosols and climate modes. In this study, we evaluated the impact of aerosols and climate modes on modulating tropical cyclone (TC) frequency over the NIO. A statistical generalized additive model based on Poisson regression was developed to assess their relative impacts. Aerosol optical depth for different compounds simulated by the Goddard Chemistry Aerosol Radiation and Transport model, sunspot number (SN) as solar variability, and eight climate modes}Atlantic meridional mode (AMM), El Nino-Southern Oscillation (ENSO), North Atlantic Oscillation (NAO), Indian Ocean dipole (IOD), Pacific decadal oscillation (PDO), Pacific-North American teleconnection pattern (PNA), Arctic Oscillation (AO), and Antarctic Oscillation (AAO), all based on reanalysis datasets, were analyzed for the 40-yr period 1980-2019. A strong linkage was found between TC activity and the AMM, IOD, and ENSO over the NIO. In addition, black carbon, organic carbon, sea salt, and sulfate aerosols have a significant impact on the cyclone frequency. Among these factors, black carbon, organic carbon, sea salt, and AMM account for the most variance of TCs, and among the other climate modes, IOD contributes more than ENSO. This is the first attempt to have identified this ranked set of aerosols and climate indices according to their relative ability to impact NIO TCs. Possible linkages between the thermodynamic and dynamic effects of aerosols on the Indian monsoon environment and its modifications to the large-scale environmental parameters relevant to TC development, namely, sea surface temperature, vertical wind shear, relative vorticity, and relative humidity during different phases of the climate modes are discussed.</t>
  </si>
  <si>
    <t>[Wahiduzzaman, Md; Luo, Jing-Jia; Shaolei, Tang; Yuan, Chaoxia] Nanjing Univ Informat Sci &amp; Technol, Inst Climate &amp; Applicat Res CICFEM KLME ILCEC, Nanjing, Peoples R China; [Ali, Md Arfan; Bilal, Muhammad; Qiu, Zhongfeng] Nanjing Univ Informat Sci &amp; Technol, Sch Marine Sci, Nanjing, Peoples R China; [Cheung, Kevin] NSW Dept Planning Ind &amp; Environm, Dept Climate Res, Sydney, NSW, Australia; [Bhaskaran, Prasad K.] Indian Inst Technol Kharagpur, Dept Ocean Engn &amp; Naval Architecture, Kharagpur, W Bengal, India; [Almazroui, Mansour] King Abdulaziz Univ, Ctr Excellence Climate Change Res, Dept Meteorol, Jeddah, Saudi Arabia; [Almazroui, Mansour] Univ East Anglia, Sch Environm Sci, Climate Res Unit, Norwich, Norfolk, England</t>
  </si>
  <si>
    <t>Nanjing University of Information Science &amp; Technology; Nanjing University of Information Science &amp; Technology; Indian Institute of Technology System (IIT System); Indian Institute of Technology (IIT) - Kharagpur; King Abdulaziz University; University of East Anglia</t>
  </si>
  <si>
    <t>Wahiduzzaman, M (corresponding author), Nanjing Univ Informat Sci &amp; Technol, Inst Climate &amp; Applicat Res CICFEM KLME ILCEC, Nanjing, Peoples R China.</t>
  </si>
  <si>
    <t>wahid.zaman@nuist.edu.cn</t>
  </si>
  <si>
    <t>Bhaskaran, Prasad/GLV-1506-2022; Luo, Jing-Jia/T-9612-2019; Ali, Nanjing/X-8046-2019; Bilal, Muhammad/L-1546-2014</t>
  </si>
  <si>
    <t>Luo, Jing-Jia/0000-0003-2181-0638; Ali, Nanjing/0000-0001-9002-3625; Bilal, Muhammad/0000-0003-1022-3999</t>
  </si>
  <si>
    <t>National Natural Science Foundation of China [42088101, 42030605]; China Postdoctoral Special Funding; Arfan Ali by China Scholarship Council, China; Department of Science and Technology under the Climate Change Programme (CCP), Government of India [DST/CCP/CoE/79/2017(G)]</t>
  </si>
  <si>
    <t>National Natural Science Foundation of China(National Natural Science Foundation of China (NSFC)); China Postdoctoral Special Funding; Arfan Ali by China Scholarship Council, China; Department of Science and Technology under the Climate Change Programme (CCP), Government of India</t>
  </si>
  <si>
    <t>This work is supported by National Natural Science Foundation of China (Grant 42088101 and 42030605). M.W was supported by a China Postdoctoral Special Funding and Start-Up Funding. Md. Arfan Ali by China Scholarship Council, China. PK Bhaskaran was supported by the Department of Science and Technology under the Climate Change Programme (CCP), Government of India [Reference Number DST/CCP/CoE/79/2017(G)] through a sponsored project.</t>
  </si>
  <si>
    <t>10.1175/JCLI-D-21-0228.1</t>
  </si>
  <si>
    <t>1Z0KZ</t>
  </si>
  <si>
    <t>WOS:000808524500014</t>
  </si>
  <si>
    <t>Vasconcellos, FC; Mattos-Gava, MLL; Sansigolo, CA</t>
  </si>
  <si>
    <t>Vasconcellos, Fernanda Cerqueira; Mattos-Gava, Maria Livia Lins; Sansigolo, Clovis Angeli</t>
  </si>
  <si>
    <t>Statistical analysis of the relationship between Quasi-Biennial Oscillation and Southern Annular Mode</t>
  </si>
  <si>
    <t>ATMOSFERA</t>
  </si>
  <si>
    <t>Teleconnection patterns; wavelets; wave propagation</t>
  </si>
  <si>
    <t>ANTARCTIC OSCILLATION; ARCTIC OSCILLATION; WAVELET TRANSFORM; QBO SIGNALS; PART I; CIRCULATION; IMPACTS; PRECIPITATION; PROPAGATION; VARIABILITY</t>
  </si>
  <si>
    <t>The Southern Annular Mode (SAM) is an extratropical pattern that influences the climate of all Southern Hemi-sphere. However, the variability of this mode is an active area of research. The influence of lower frequency modes on SAM is a path to better knowledge about this pattern. The relationship between Quasi-Biennial Oscillation (QBO) and SAM???s counterpart in the Northern Hemisphere (Northern Annular Mode) has been addressed by previous work. Still, few studies focus on the association between QBO and SAM. The goal of this work was to evaluate the possible QBO-SAM relationship through statistical analyses. This association was investigated by comparing QBO and SAM indices, the latter on different levels of the troposphere and stratosphere, for the 1981-2010 period. The wavelet analysis showed that the SAM indices for troposphere and stratosphere presented variability in many scales, including a two-year band. Cross-wavelets techniques between QBO and SAM ratified that this relation has a complex interaction. There was a significant common high power around the two-year band, with lags varying over the analyzed period, including no lag. Further analysis without lag confirmed previous studies, indicating that the negative (positive) SAM phase is more frequent for easterly (westerly) QBO. However, this was not valid for all months. Some additional analysis suggested that the upward wave propagation to the stratosphere for each QBO phase changes the stratospheric jet and, consequently, the SAM phase.</t>
  </si>
  <si>
    <t>[Vasconcellos, Fernanda Cerqueira] Fed Univ Rio De Janeiro UFRJ, Geosci Inst, Dept Meteorol, BR-21941916 Rio De Janeiro, RJ, Brazil; [Mattos-Gava, Maria Livia Lins; Sansigolo, Clovis Angeli] Natl Inst Space Res INPE, Sao Jose Dos Campos, SP, Brazil</t>
  </si>
  <si>
    <t>Instituto Nacional de Pesquisas Espaciais (INPE)</t>
  </si>
  <si>
    <t>Vasconcellos, FC (corresponding author), Fed Univ Rio De Janeiro UFRJ, Geosci Inst, Dept Meteorol, BR-21941916 Rio De Janeiro, RJ, Brazil.</t>
  </si>
  <si>
    <t>fernandavasco-ncellos@igeo.ufrj.br</t>
  </si>
  <si>
    <t>Vasconcellos, Fernanda/AAB-9015-2021</t>
  </si>
  <si>
    <t>Vasconcellos, Fernanda/0000-0002-5931-1503</t>
  </si>
  <si>
    <t>Universal Project [420731/2018-0]; Institutional Scientific Initiation Scholarship Program of National Institute of Space Research (PIBIC/INPE) - National Council for Scientific and Technological Development (CNPq)</t>
  </si>
  <si>
    <t>Universal Project; Institutional Scientific Initiation Scholarship Program of National Institute of Space Research (PIBIC/INPE) - National Council for Scientific and Technological Development (CNPq)(Conselho Nacional de Desenvolvimento Cientifico e Tecnologico (CNPQ))</t>
  </si>
  <si>
    <t>This work has been supported by Universal Project (420731/2018-0) and by Institutional Scientific Initiation Scholarship Program of National Institute of Space Research (PIBIC/INPE) , both funding by National Council for Scientific and Technological Development (CNPq) .</t>
  </si>
  <si>
    <t>CENTRO CIENCIAS ATMOSFERA UNAM</t>
  </si>
  <si>
    <t>MEXICO CITY</t>
  </si>
  <si>
    <t>CIRCUITO EXTERIOR, MEXICO CITY CU 04510, MEXICO</t>
  </si>
  <si>
    <t>0187-6236</t>
  </si>
  <si>
    <t>2395-8812</t>
  </si>
  <si>
    <t>Atmosfera</t>
  </si>
  <si>
    <t>10.20937/ATM.52910</t>
  </si>
  <si>
    <t>1Q9QA</t>
  </si>
  <si>
    <t>WOS:000803013800002</t>
  </si>
  <si>
    <t>Cyriac, A; Phillips, HE; Bindoff, NL; Feng, M</t>
  </si>
  <si>
    <t>Cyriac, Ajitha; Phillips, Helen E.; Bindoff, Nathaniel L.; Feng, Ming</t>
  </si>
  <si>
    <t>Characteristics of Wind-Generated Near-Inertial Waves in the Southeast Indian Ocean</t>
  </si>
  <si>
    <t>Currents; Diapycnal mixing; Eddies; Internal waves</t>
  </si>
  <si>
    <t>INTERNAL GRAVITY-WAVES; LEEUWIN CURRENT; ENERGY PROPAGATION; MIXED-LAYER; SURFACE; VARIABILITY; DYNAMICS; CURRENTS; TIDES; IMPACTS</t>
  </si>
  <si>
    <t>This study presents the characteristics and spatiotemporal structure of near-inertial waves and their interaction with Leeuwin Current eddies in the eastern south Indian Ocean as observed by Electromagnetic Autonomous Profiling Explorer (EM-APEX) floats. The floats sampled the upper ocean during July-October 2013 with a frequency of eight profiles per day down to 1200 m. Near-inertial waves (NIWs) are found to be the dominant signal in the frequency spectra. Complex demodulation is used to estimate the amplitude and phase of the NIWs from the velocity profiles. The NIW energy propagated from the base of the mixed layer downward into the ocean interior, following beam characteristics of linear wave theory. We visually identified a total of 15 near-inertial internal wave packets from the wave amplitudes and phases with a mean vertical wavelength of 89 +/- 63 m, a mean horizontal wavelength of 69 +/- 85 km, a mean horizontal group velocity of 3 +/- 2 cm s(-1), and a mean vertical group velocity of 9 +/- 7 m day(-1). A strong near-inertial packet with a kinetic energy of 20-30 J m(-3) found propagating below 700 m suggests that the NIWs can contribute to deep ocean mixing. A blue shift of 10%-15% in the energy spectrum of the NIWs is observed in the upper 1200 m as the floats move toward the equator. The impacts of mesoscale eddies on the characteristics and propagation of the observed NIWs are also investigated. The elevated near-inertial shear variance in anticyclonic eddies suggests trapping of NIWs near the surface. Cyclonic eddies, in contrast, were associated with weak near-inertial shear variance in the upper 400 m.</t>
  </si>
  <si>
    <t>[Cyriac, Ajitha; Phillips, Helen E.; Bindoff, Nathaniel L.] Univ Tasmania, Inst Marine &amp; Antarctic Studies, Hobart, Tas, Australia; [Cyriac, Ajitha] ARC Ctr Excellence Climate Syst Sci, Hobart, Tas, Australia; [Phillips, Helen E.; Bindoff, Nathaniel L.] ARC Ctr Excellence Climate Extremes, Hobart, Tas, Australia; [Phillips, Helen E.; Bindoff, Nathaniel L.] Univ Tasmania, Australian Antarctic Program Partnership, Hobart, Tas, Australia; [Bindoff, Nathaniel L.] CSIRO Oceans &amp; Atmosphere, Hobart, Tas, Australia; [Feng, Ming] CSIRO Oceans &amp; Atmosphere, IOMRC, Crawley, WA, Australia; [Feng, Ming] Ctr Southern Hemisphere Oceans Res, Hobart, Tas, Australia</t>
  </si>
  <si>
    <t>University of Tasmania; ARC Centre of Excellence for Climate System Science; University of Tasmania; Commonwealth Scientific &amp; Industrial Research Organisation (CSIRO); Commonwealth Scientific &amp; Industrial Research Organisation (CSIRO)</t>
  </si>
  <si>
    <t>Cyriac, A (corresponding author), Univ Tasmania, Inst Marine &amp; Antarctic Studies, Hobart, Tas, Australia.;Cyriac, A (corresponding author), ARC Ctr Excellence Climate Syst Sci, Hobart, Tas, Australia.</t>
  </si>
  <si>
    <t>ajitha.cyriac@utas.edu.au</t>
  </si>
  <si>
    <t>Phillips, Helen/I-3761-2013; Feng, Ming/F-5411-2010</t>
  </si>
  <si>
    <t>Phillips, Helen/0000-0002-2941-7577; Feng, Ming/0000-0002-2855-7092; Cyriac, Ajitha/0000-0001-6149-740X</t>
  </si>
  <si>
    <t>Quantitative Marine Science (QMS) program; University of Tasmania; CSIRO; ARC Discovery project [DP130102088]; Australias Marine National Facility; Earth Systems and Climate Change, and Climate Systems Hubs of the Australian Governments National Environmental Science Programme; Qingdao National Laboratory for Marine Science and Technology (QNLM)</t>
  </si>
  <si>
    <t>Quantitative Marine Science (QMS) program; University of Tasmania; CSIRO(Commonwealth Scientific &amp; Industrial Research Organisation (CSIRO)); ARC Discovery project(Australian Research Council); Australias Marine National Facility; Earth Systems and Climate Change, and Climate Systems Hubs of the Australian Governments National Environmental Science Programme; Qingdao National Laboratory for Marine Science and Technology (QNLM)</t>
  </si>
  <si>
    <t>AA.C. acknowledges the support from Quantitative Marine Science (QMS) program, a joint program between University of Tasmania and CSIRO. The observations were funded through grants from ARC Discovery project (DP130102088) and Australia's Marine National Facility. H.P. and N.B. acknowledge support from the Earth Systems and Climate Change, and Climate Systems Hubs of the Australian Government's National Environmental Science Programme. M.F. acknowledges the support from CSHOR, a joint initiative between the Qingdao National Laboratory for Marine Science and Technology (QNLM), CSIRO, University of New South Wales, and University of Tasmania. The authors are grateful for improvements to the manuscript resulting from the thorough and insightful feedback of two anonymous reviewers. The primary data used in this study were collected from five EM-APEX floats. These data are being prepared to be lodged and publicly available at the data repository of Institute for Marine and Antarctic Studies, University of Tasmania. Further details about the data quality control and processing are described in Cyriac et al. (2021). The other datasets are openly available at locations cited in section 2.</t>
  </si>
  <si>
    <t>10.1175/JPO-D-21-0046.1</t>
  </si>
  <si>
    <t>1J5DU</t>
  </si>
  <si>
    <t>WOS:000797940200002</t>
  </si>
  <si>
    <t>Kong, HL; Jansen, MF</t>
  </si>
  <si>
    <t>Kong, Hailu; Jansen, Malte F.</t>
  </si>
  <si>
    <t>Time-Dependent Response of the Overturning Circulation and Pycnocline Depth to Southern Ocean Surface Wind Stress Changes</t>
  </si>
  <si>
    <t>Eddies; Meridional overturning circulation; Stationary waves; Upwelling; downwelling; General circulation models; Idealized models</t>
  </si>
  <si>
    <t>ANTARCTIC CIRCUMPOLAR CURRENT; EDDY PARAMETERIZATION; MODEL; EDDIES; IMPACT</t>
  </si>
  <si>
    <t>Changes in the Southern Ocean (SO) surface wind stress influence both the meridional overturning circulation (MOC) and stratification not only in the SO but in the global oceans, which can take multiple millennia to fully equilibrate. We use a hierarchy of models to investigate the time-dependent response of the MOC and low-latitude pycnocline depth (which quantifies the stratification) to SO wind stress changes: a two-layer analytical theory, a multicolumn model (PyMOC), and an idealized general circulation model (GCM). We find that in both the GCM and PyMOC, the MOC has a multidecadal adjustment time scale while the pycnocline depth has a multicentennial time scale. The two-layer theory instead predicts the MOC and pycnocline depth to adjust on the same, multidecadal time scale. We argue that this discrepancy arises because the pycnocline depth depends on the bulk stratification, while the MOC amplitude is sensitive mostly to isopycnals within the overturning cell. We can reconcile the discrepancy by interpreting the pycnocline depth in the theory as the depth of a specific isopycnal near the maximum of the MOC. We also find that SO stationary eddies respond very quickly to a sudden wind stress change, compensating for most of the change in the Ekman-driven MOC. This effect is missing in the theory, where the eddy-induced MOC only follows the adjustment of the pycnocline depth. Our results emphasize the importance of depth dependence in the oceans' transient response to changes in surface boundary conditions, and the distinct role played by stationary eddies in the SO. Significance StatementOur work resolves the question of why previous theories predict the ocean density structure to adjust to a change in the winds over the Southern Ocean within centuries, while climate models indicate that this adjustment takes thousands of years. The question is important because it is related to our understanding of how the ocean responds to potential climate change scenarios. Our results emphasize the importance of depth dependence in the density response (i.e., the upper ocean adjusts faster than the deep ocean), suggesting that future theoretical advancement should be made with careful considerations of the ocean's vertical structure. Our results also highlight the role of stationary meanders in the Southern Ocean's Antarctic Circumpolar Current, whose influence has not been included in the existing theories.</t>
  </si>
  <si>
    <t>[Kong, Hailu; Jansen, Malte F.] Univ Chicago, Dept Geophys Sci, Chicago, IL 60637 USA</t>
  </si>
  <si>
    <t>University of Chicago</t>
  </si>
  <si>
    <t>Kong, HL (corresponding author), Univ Chicago, Dept Geophys Sci, Chicago, IL 60637 USA.</t>
  </si>
  <si>
    <t>hlkong.uchicago@gmail.com</t>
  </si>
  <si>
    <t>Jansen, Malte/ABB-4451-2020</t>
  </si>
  <si>
    <t>Jansen, Malte/0000-0003-3894-1124; Kong, Hailu/0000-0001-7636-735X</t>
  </si>
  <si>
    <t>University of Chicago Research Computing Center; National Science Foundation (NSF) [OCE-1912163]; [OCE-1846821]</t>
  </si>
  <si>
    <t>University of Chicago Research Computing Center; National Science Foundation (NSF)(National Science Foundation (NSF)National Research Foundation of Korea);</t>
  </si>
  <si>
    <t>We thank two anonymous reviewers for helping to improve the manuscript. Computational resources for this project were generously provided by the University of Chicago Research Computing Center. We acknowledge support from the National Science Foundation (NSF) through Awards OCE-1846821 and OCE-1912163.</t>
  </si>
  <si>
    <t>10.1175/JPO-D-21-0214.1</t>
  </si>
  <si>
    <t>WOS:000797940200013</t>
  </si>
  <si>
    <t>Vlasov, DI; Fedorenko, AK; Kryuchkov, EI; Cheremnykh, OK; Zhuk, IT</t>
  </si>
  <si>
    <t>Vlasov, D. I.; Fedorenko, A. K.; Kryuchkov, E. I.; Cheremnykh, O. K.; Zhuk, I. T.</t>
  </si>
  <si>
    <t>Seasonal Features of the Spatial Distribution of Atmospheric Gravity Waves in the Earth's Polar Thermosphere</t>
  </si>
  <si>
    <t>atmospheric gravity wave; polar thermosphere; satellite measurement</t>
  </si>
  <si>
    <t>MAGNETOSPHERE; IONOSPHERE; REGIONS; MODES; CAP</t>
  </si>
  <si>
    <t>The features of the spatial distribution of atmospheric gravity waves (AGW) in the polar thermosphere of the Earth are investigated. The research is based on data from direct satellite measurements of the parameters of the neutral atmosphere. According to satellite data, the amplitudes of AGWs that are systematically observed in the polar regions of both hemispheres are usually several times higher than the amplitudes of these waves in the middle and low latitudes. At the same time, the polar AGWs of large amplitudes are recorded against the background of high-speed spatially inhomogeneous wind flows, which indicates their possible amplification caused by interaction with the wind. Based on the analysis of measurement data on the Dynamics Explorer 2 satellite, the relationship between the spatial distribution of the atmospheric gravitational waves and the auroral oval has been revealed. On a large volume of experimental data, seasonal patterns of the distribution of the wave field over the Antarctic and the Arctic have been established. A comparative analysis of the features of the AGWs in the polar thermosphere of both hemispheres for the conditions of the polar day and polar night has been carried out. Some differences in the distribution of the AGWs were noted depending on the Kp-index. It has been suggested that the observed seasonal features of the AGW distribution and its dependence on the level of geomagnetic activity are associated with the restructuring of the polar wind circulation when the conditions of solar illumination and geomagnetic conditions change.</t>
  </si>
  <si>
    <t>[Vlasov, D. I.; Fedorenko, A. K.; Kryuchkov, E. I.; Cheremnykh, O. K.; Zhuk, I. T.] Natl Acad Sci Ukraine, Space Res Inst, UA-03187 Kiev, Ukraine; [Vlasov, D. I.; Fedorenko, A. K.; Kryuchkov, E. I.; Cheremnykh, O. K.; Zhuk, I. T.] State Space Agcy Ukraine, UA-03187 Kiev, Ukraine</t>
  </si>
  <si>
    <t>Vlasov, DI (corresponding author), Natl Acad Sci Ukraine, Space Res Inst, UA-03187 Kiev, Ukraine.;Vlasov, DI (corresponding author), State Space Agcy Ukraine, UA-03187 Kiev, Ukraine.</t>
  </si>
  <si>
    <t>dima.i.vlasov@gmail.com</t>
  </si>
  <si>
    <t>National Research Foundation of Ukraine [2020.02/0015]</t>
  </si>
  <si>
    <t>National Research Foundation of Ukraine</t>
  </si>
  <si>
    <t>The work was supported by the National Research Foundation of Ukraine, project 2020.02/0015 Theoretical and Experimental Studies of Global Disturbances of Natural and Technogenic Origin in the Earth-Atmosphere-Ionosphere System.</t>
  </si>
  <si>
    <t>10.3103/S0884591322020076</t>
  </si>
  <si>
    <t>1I8WG</t>
  </si>
  <si>
    <t>WOS:000797507100002</t>
  </si>
  <si>
    <t>Romanova, ND; Mosharov, SA; Vorobieva, OV; Bardyukova, EV; Artemiev, VA</t>
  </si>
  <si>
    <t>Romanova, N. D.; Mosharov, S. A.; Vorobieva, O. V.; Bardyukova, E., V; Artemiev, V. A.</t>
  </si>
  <si>
    <t>Quantitative and Production Characteristics of Phytoplankton in the Northern Part of the Weddell Sea in Summer</t>
  </si>
  <si>
    <t>OCEANOLOGY</t>
  </si>
  <si>
    <t>primary production; Weddell Sea; Antarctic phytoplankton</t>
  </si>
  <si>
    <t>AUSTRAL SUMMER; SOUTHERN-OCEAN; IRON; GROWTH; SECTOR</t>
  </si>
  <si>
    <t>The spatial distribution of the main parameters of primary productivity is described for the northern part of the Weddell Sea in the Antarctic summer of 2020. The integral concentration of chlorophyll a in the photic layer varied from 23.1 to 85.8 mg/m(2). The peak of chlorophyll concentration was usually confined to the upper 0-15-m layer. The integral daily phytoplankton production varied from 26.7 to 654.6 mgC m(-2) d(-1) (257.5 +/- 66.6 mgC m(-2) d(-1) on average), decreasing along the northern boundary of the Weddell Sea eastwards. The least productive areas were located over the continental slope of the Antarctic Peninsula. The highest primary production was observed in a narrow temperature range (-0.2 to -0.7 degrees C). A decrease in the integral primary production in surface waters was also observed along with a decrease in water salinity of the upper layer. In the areas characterized by high and moderate productivity, decreasing the thickness of the upper mixed water layer did not promote more active growth of phytoplankton as described for other regions of the Southern Ocean.</t>
  </si>
  <si>
    <t>[Romanova, N. D.; Mosharov, S. A.; Bardyukova, E., V; Artemiev, V. A.] Russian Acad Sci, Shirshov Inst Oceanol, Moscow, Russia; [Mosharov, S. A.] Bauman Moscow State Tech Univ, Moscow, Russia; [Vorobieva, O. V.] Russian Fed Res Inst Fisheries &amp; Oceanog, Moscow, Russia; [Vorobieva, O. V.] Moscow MV Lomonosov State Univ, Moscow, Russia</t>
  </si>
  <si>
    <t>Russian Academy of Sciences; Shirshov Institute of Oceanology; Bauman Moscow State Technical University; Research lnstitute of Fisheries &amp; Oceanography; Lomonosov Moscow State University</t>
  </si>
  <si>
    <t>Romanova, ND (corresponding author), Russian Acad Sci, Shirshov Inst Oceanol, Moscow, Russia.</t>
  </si>
  <si>
    <t>NdRomanova@gmail.com</t>
  </si>
  <si>
    <t>Mosharov, Sergey A/O-2565-2013; Воробьева, Ольга/J-9194-2016</t>
  </si>
  <si>
    <t>vorob'eva, ol'ga/0000-0003-4265-892X</t>
  </si>
  <si>
    <t>[0128-2019-0008]</t>
  </si>
  <si>
    <t>The work was carried out within State Assignment no. 0128-2019-0008.</t>
  </si>
  <si>
    <t>0001-4370</t>
  </si>
  <si>
    <t>1531-8508</t>
  </si>
  <si>
    <t>OCEANOLOGY+</t>
  </si>
  <si>
    <t>Oceanology</t>
  </si>
  <si>
    <t>10.1134/S000143702202014X</t>
  </si>
  <si>
    <t>1F4NW</t>
  </si>
  <si>
    <t>WOS:000795146400006</t>
  </si>
  <si>
    <t>Bashirova, LD; Kuleshova, LA; Krechik, VA; Kapustina, MV; Glazkova, T; Urazmuratova, ZF; Dvoeglazova, NV; Muratova, AA; Kazakova, DM; Rikhman, MA; Krivoshlyk, PN; Bocherikova, IY; Ezhov, VE; Rodrigues, S; Kondrashov, AA</t>
  </si>
  <si>
    <t>Bashirova, L. D.; Kuleshova, L. A.; Krechik, V. A.; Kapustina, M., V; Glazkova, T.; Urazmuratova, Z. F.; Dvoeglazova, N., V; Muratova, A. A.; Kazakova, D. M.; Rikhman, M. A.; Krivoshlyk, P. N.; Bocherikova, I. Yu; Ezhov, V. E.; Rodrigues, S.; Kondrashov, A. A.</t>
  </si>
  <si>
    <t>Complex Oceanological Research during the 59th Cruise of the Research Vessel Akademik Ioffe in the Eastern North Atlantic (September-October 2021)</t>
  </si>
  <si>
    <t>Atlantic Ocean; modified Antarctic Bottom Water; abyssal channels; bottom current velocity</t>
  </si>
  <si>
    <t>During the 59th cruise of the P/V Akademik Ioffe (September-October 2021), geophysical, sedimentological, hydrological, hydrochemical, and biological studies were carried out in the eastern North Atlantic. Here we present preliminary results of the complex oceanological research.</t>
  </si>
  <si>
    <t>[Bashirova, L. D.; Kuleshova, L. A.; Krechik, V. A.; Kapustina, M., V; Urazmuratova, Z. F.; Dvoeglazova, N., V; Muratova, A. A.; Kazakova, D. M.; Rikhman, M. A.; Krivoshlyk, P. N.; Bocherikova, I. Yu; Ezhov, V. E.; Kondrashov, A. A.] Russian Acad Sci, Shirshov Inst Oceanol, Moscow, Russia; [Bashirova, L. D.; Krechik, V. A.; Urazmuratova, Z. F.; Dvoeglazova, N., V; Muratova, A. A.; Kazakova, D. M.; Krivoshlyk, P. N.; Bocherikova, I. Yu] Immanuel Kant Baltic Fed Univ, Kaliningrad, Russia; [Glazkova, T.; Rodrigues, S.] Royal Holloway Univ London, Egham, Surrey, England; [Rikhman, M. A.] St Petersburg State Univ, St Petersburg, Russia</t>
  </si>
  <si>
    <t>Russian Academy of Sciences; Shirshov Institute of Oceanology; Immanuel Kant Baltic Federal University; University of London; Royal Holloway University London; Saint Petersburg State University</t>
  </si>
  <si>
    <t>Bashirova, LD (corresponding author), Russian Acad Sci, Shirshov Inst Oceanol, Moscow, Russia.;Bashirova, LD (corresponding author), Immanuel Kant Baltic Fed Univ, Kaliningrad, Russia.</t>
  </si>
  <si>
    <t>bas_leila@mail.ru</t>
  </si>
  <si>
    <t>Rodrigues, Sara/ABG-5049-2021; Rodrigues, Sara/KCY-5884-2024; Rodrigues, Sara/IWD-9868-2023; Krechik, Viktor/J-9941-2016; Bashirova, Leyla/L-1546-2016; Dvoeglazova, Nadezda/AAW-8442-2021</t>
  </si>
  <si>
    <t>Rodrigues, Sara/0000-0002-4806-8480; Rodrigues, Sara/0000-0002-4806-8480; Krechik, Viktor/0000-0001-6440-060X; Kuleshova, Liubov/0000-0002-8511-225X; Bashirova, Leyla/0000-0003-3083-0649; Dvoeglazova, Nadezda/0000-0002-3864-8086</t>
  </si>
  <si>
    <t>IO RAS [FMWE-2021-0012]; Russian Science Foundation [19-17-00246]; Russian Foundation for Basic Research [20-08-00246]; Russian Science Foundation [19-17-00246] Funding Source: Russian Science Foundation</t>
  </si>
  <si>
    <t>IO RAS; Russian Science Foundation(Russian Science Foundation (RSF)); Russian Foundation for Basic Research(Russian Foundation for Basic Research (RFBR)Spanish Government); Russian Science Foundation(Russian Science Foundation (RSF))</t>
  </si>
  <si>
    <t>The expedition in the southeastern part of the Iberian Basin and hydrochemical studies was financed by the IO RAS state assignment no. FMWE-2021-0012; hydrophysical survey in the Discovery Gap was performed within the framework of the Project of the Russian Science Foundation no. 19-17-00246; hydrophysical survey in the Western Gap was performed within the framework of the project of the Russian Foundation for Basic Research no. 20-08-00246.</t>
  </si>
  <si>
    <t>10.1134/S0001437022020023</t>
  </si>
  <si>
    <t>WOS:000795146400016</t>
  </si>
  <si>
    <t>Jennings, A; Reilly, B; Andrews, J; Hogan, K; Walczak, M; Jakobsson, M; Stoner, J; Mix, A; Nicholls, KW; O'Regan, M; Prins, MA; Troelstra, SR</t>
  </si>
  <si>
    <t>Jennings, Anne; Reilly, Brendan; Andrews, John; Hogan, Kelly; Walczak, Maureen; Jakobsson, Martin; Stoner, Joseph; Mix, Alan; Nicholls, Keith W.; O'Regan, Matt; Prins, Maarten A.; Troelstra, Simon R.</t>
  </si>
  <si>
    <t>Modern and early Holocene ice shelf sediment facies from Petermann Fjord and northern Nares Strait, northwest Greenland</t>
  </si>
  <si>
    <t>Arctic ice shelves; Greenland Ice sheet; Ice streams; Glaciomarine sedimentation; Foraminifera; Sediment provenance; Physical properties; Ice rafted detritus; Timing of opening of nares strait</t>
  </si>
  <si>
    <t>FORAMINIFERAL ASSEMBLAGES; BENTHIC FORAMINIFERA; GLACIER DYNAMICS; INNUITIAN ICE; SHEET; SEA; QUATERNARY; GLETSCHER; BENEATH; HISTORY</t>
  </si>
  <si>
    <t>Based on sediment cores and geophysical data collected from Petermann Fjord and northern Nares Strait, NW Greenland, an Arctic ice shelf sediment facies is presented that distinguishes sub and pro ice shelf environments. Sediment cores were collected from sites beneath the present day Petermann Ice Tongue (PIT) and in deglacial sediments of northern Nares Strait with a focus on understanding the glacial and oceanographic history over the last 11,000 cal yr BP. The modern sub ice shelf sediment facies in Petermann Fjord is laminated and devoid of coarse clasts (IRD) due to strong basal melting that releases debris (debris filtering) from the basal ice at the grounding zone driven by buoyant subglacial meltwater and entrained Atlantic Water. Laminated sediments in the deep basin proximal to the gounding zone comprise layers of fine mud formed by suspension settling from turbid meltwater plumes (plumites) interrupted by normally graded very fine sand to medium silt layers with sharp basal contacts and rip-up clasts of mud, interpreted as turbidites. An inner fjord sill limits distribution of sediment gravity flows from the grounding zone to the deep inner fjord basin, such that sites on the inner sill and beyond the ice tongue largely only comprise plumites. Bioturbation and foraminiferal abundances increase with distance from the grounding zone. The benthic foraminiferal species, Elphidium clavatum is absent beneath the ice tongue, but dominant in the turbid meltwater influenced environment beyond the ice tongue. The very sparse IRD in sediments beneath the PIT and in the fjord beyond the PIT derives mainly from englacial debris in the ice tongue, side valley glaciers, rock falls from the steep fjord walls and sea ice. We use the modern ice shelf sediment facies characteristics to infer the past presence of ice shelves in northern Nares Strait using analyses of sediment cores from several cruises (OD1507, HLY03, 2001LSSL, RYDER19). On bathymetric highs, bioturbated mud with dispersed IRD overlies a 10-15 m thick, distinctly laminated silt and clay unit with rare coarse clasts and sparse foraminifera which forms a sediment drape of nearly uniform thickness. We interpret these laminated sediments to represent glaciomarine deposition by meltwater plumes emanating from ice streams that terminated in floating ice shelves. IRD layers, shifts in sediment composition (qXRD, MS and XRF) and faunal assemblage changes in the laminated unit document periods of ice-shelf instability sometimes, but not always, coupled with grounding zone retreat. Our deglacial reconstruction, including ice shelves, begins similar to 10.7 cal ka BP, with confluent ice streams grounded in Hall Basin fronted by the Robeson Channel ice shelf. Ice shelf breakup and grounding zone retreat to relatively stable grounding zones at Kennedy Channel and the mouth of Petermann Fjord was accomplished by 9.4 cal ka BP when the Hall Basin ice shelf was established. This ice shelf broke up and reformed once prior to the final break up at 8.5 to 8.4 cal ka BP marking ice stream collapse, separation of Greenland and Innuitian ice sheets, and the opening of Nares Strait for Arctic-Atlantic throughflow. The Petermann ice shelf remained in Hall Basin until the Petermann Glacier retreated from the fjord mouth similar to 7.1 cal ka BP. The resilience of these northern ice streams to strong early Holocene insolation and subsurface Atlantic Water advection is attributed to their northern aspect, buttressing by narrow passages, and high ice flux from the Greenland Ice Sheet (GIS). (C) 2022 Elsevier Ltd. All rights reserved.</t>
  </si>
  <si>
    <t>[Jennings, Anne; Andrews, John] Univ Colorado, INSTAAR, Boulder, CO 80309 USA; [Reilly, Brendan] Univ Calif San Diego, Scripps Inst Oceanog, La Jolla, CA 92093 USA; [Reilly, Brendan] Univ Colorado, Dept Geol Sci, Boulder, CO 80309 USA; [Hogan, Kelly; Nicholls, Keith W.] British Antarctic Survey, High Cross,Madingley Rd, Cambridge CB3 0ET, England; [Walczak, Maureen; Stoner, Joseph; Mix, Alan] Oregon State Univ, CEOAS, 104 CEOAS Admin Bldg, Corvallis, OR 97331 USA; [Jakobsson, Martin; O'Regan, Matt] Stockholm Univ, Dept Geol Sci, S-10691 Stockholm, Sweden; [Jakobsson, Martin; O'Regan, Matt] Bolin Ctr Climate Res, Stockholm, Sweden; [Prins, Maarten A.; Troelstra, Simon R.] Vrjje Univ, Dept Earth Sci, Amsterdam, Netherlands</t>
  </si>
  <si>
    <t>University of Colorado System; University of Colorado Boulder; University of California System; University of California San Diego; Scripps Institution of Oceanography; University of Colorado System; University of Colorado Boulder; UK Research &amp; Innovation (UKRI); Natural Environment Research Council (NERC); NERC British Antarctic Survey; Oregon State University; Stockholm University</t>
  </si>
  <si>
    <t>Jennings, A (corresponding author), Univ Colorado, INSTAAR, Boulder, CO 80309 USA.</t>
  </si>
  <si>
    <t>anne.jennings@colorado.edu</t>
  </si>
  <si>
    <t>O'Regan, Matt/P-6277-2019</t>
  </si>
  <si>
    <t>O'Regan, Matt/0000-0002-6046-1488; Reilly, Brendan/0000-0003-3666-4338; Jakobsson, Martin/0000-0002-9033-3559</t>
  </si>
  <si>
    <t>National Science Foundation [PLR-ANS 1417784, PLR-ANS-1418053]; Swedish Research Council (VR) [2016-04021, 2016-05092]; Natural Environment Research Council, UK [NSF OCE 1259292, 1558697, 2001LSSL-11PC]; Vinnova [2016-05092] Funding Source: Vinnova; Swedish Research Council [2016-04021, 2016-05092] Funding Source: Swedish Research Council</t>
  </si>
  <si>
    <t>National Science Foundation(National Science Foundation (NSF)); Swedish Research Council (VR)(Swedish Research Council); Natural Environment Research Council, UK(UK Research &amp; Innovation (UKRI)Natural Environment Research Council (NERC)); Vinnova(Vinnova); Swedish Research Council(Swedish Research Council)</t>
  </si>
  <si>
    <t>Funding for this research was supplied by National Science Foundation grants PLR-ANS 1417784 to Jennings and Andrews and by PLR-ANS-1418053 to Mix, Reilly, Stoner and Walczak. Jakobsson and O'Regan were funded by the Swedish Research Council (VR) grants 2016-04021 and 2016-05092. Nichols and Hogan were supported by the British Antarctic Survey 'Polar Science for Planet Earth' programme funded by Natural Environment Research Council, UK. We thank the captain and crew of IB Oden for expertly undertaking the Petermann 2015 Expedition. We thank the Oregon State University Marine and Geology Repository (NSF OCE 1259292, 1558697) for curating these materials and especially Maziet Cheseby for facilitating curation and acquisition of MSCL data while at sea and afterwards. Thanks to Dr. Alexander Normandreau, National Resources Canada for imaging 2001LSSL-11PC and to Kate Jarrett and Dr. Peta Mudie for providing the samples, core descriptions and MS data from 2001LSSL-11PC. We thank Sam Albert for help with XRF scanning. We thank Brett Oliver, Blythe Befus and Ethan Bailey for their work on the foraminiferal analyses.</t>
  </si>
  <si>
    <t>10.1016/j.quascirev.2022.107460</t>
  </si>
  <si>
    <t>1H0JE</t>
  </si>
  <si>
    <t>WOS:000796231200004</t>
  </si>
  <si>
    <t>Renault, D; Whinam, J</t>
  </si>
  <si>
    <t>Renault, David; Whinam, Jennie</t>
  </si>
  <si>
    <t>Obituary - Dr Yves Frenot (1958-2022)</t>
  </si>
  <si>
    <t>[Renault, David] Univ Rennes, Rennes, France; [Whinam, Jennie] Univ Tasmania, Hobart, Tas, Australia</t>
  </si>
  <si>
    <t>Universite de Rennes; University of Tasmania</t>
  </si>
  <si>
    <t>Renault, D (corresponding author), Univ Rennes, Rennes, France.</t>
  </si>
  <si>
    <t>PII S0954102022000189</t>
  </si>
  <si>
    <t>10.1017/S0954102022000189</t>
  </si>
  <si>
    <t>WOS:000796591900003</t>
  </si>
  <si>
    <t>Rodrigo, C; Cifuentes, E; Fernandez, R; Andrade, J; Rebolledo, L; Munoz, D; Munoz, P</t>
  </si>
  <si>
    <t>Rodrigo, Cristian; Cifuentes, Erick; Fernandez, Rodrigo; Andrade, Jose; Rebolledo, Lorena; Munoz, Diego; Munoz, Praxedes</t>
  </si>
  <si>
    <t>Submarine Geomorphology and Glacimarine Sedimentary Processes Associated to Deglaciation in Europa Fjord, Chilean Patagonia</t>
  </si>
  <si>
    <t>acoustic data; seafloor; submarine landforms; sediments; tidewater glacier; fjord; climate change; Patagonia</t>
  </si>
  <si>
    <t>SOUTHERN PATAGONIA; PRODUCTIVITY CHANGES; ANTARCTIC PENINSULA; SURFACE SEDIMENTS; OUTLET GLACIERS; ORGANIC-MATTER; RETREAT; SEA; GREENLAND; ICEFIELD</t>
  </si>
  <si>
    <t>In a period of high rates of glacier retreat, increasing meltwater discharge from tidewater glaciers can influence marine fjord ecosystems due to increase sediment delivery and accumulation rates in the proglacial environment. Glacier variations and associated changes in glacimarine processes are recorded in the sedimentary record and submarine geomorphology of fjords. In October-November 2017, CIMAR23 Cruise surveyed several fjords adjacent to the Southern Patagonian Icefield (SPI). In this study, we show detailed results of the multibeam bathymetry, backscatter and sub-bottom seismic profiles, and sediment core samples from Europa Fjord, located west of the central SPI area, to improve the analysis of the fjord glacial and sedimentary evolution and to connect its behavior with the other fjords in the region. For the cores Pb-210 chronology, magnetic susceptibility, organic carbon, total nitrogen, and stable isotopes (delta C-13(org), delta N-15) were performed. The seafloor geomorphology showed that the most prominent submarine landforms are transverse morainal ridges, which indicate past stillstand glacier positions; these features formed during the deglaciation of the fjord (latest Pleistocene), and some, perhaps more recently during short episodic advance/retreat events. In the central and mouth fjord areas, erosional features such as lineations are found on the rocky bottom and interpreted as formed by past grounded glaciers. Several submarine moraines are generally well preserved, but some parts are crumbled by slope failures and erosion. Most of the seismic sections are interpreted as the expected subglacial-ice proximal-ice distal succession of facies, characteristic of single retreat environments. The sedimentary record includes bioturbed muds with muddy laminations and variable amounts of coarse sediments interpreted as ice rafted debris, suggesting a proglacial environment, punctuated by calving. From the beginning of the twentieth century there is a tendency to an increase in the terrigenous organic material content, including an abrupt increase during the 80-90s, and a decline in the last decade. This behavior is indicating possibly a general increase of surface terrestrial runoff and, for the last decade, an increase of glacial meltwater input which would be caused by an accelerated deglaciation.</t>
  </si>
  <si>
    <t>[Rodrigo, Cristian; Andrade, Jose] Univ Andres Bello, Fac Ingn, Geol, Vina del Mar, Chile; [Cifuentes, Erick] Univ Concepcion, Fac Quim, Dept Ciencias Tierra, Concepcion, Chile; [Fernandez, Rodrigo] Univ Chile, Fac Ciencias Fis &amp; Matemat, Dept Geol, Santiago, Chile; [Rebolledo, Lorena] Inst Antart Chileno, Dept Cientif, Punta Arenas, Chile; [Rebolledo, Lorena] Ctr Invest Dinam Ecosistemas Marinos Altas Latitud, Punta Arenas, Chile; [Munoz, Diego] Dept Hidrog, Serv Hidrog &amp; Oceanog Armada, Valparaiso, Chile; [Munoz, Praxedes] Univ Catolica Norte, Dept Biol Marina, Coquimbo, Chile; [Munoz, Praxedes] Ctr Estudios Avanzados Zonas Aridas CEAZA, La Serena, Chile</t>
  </si>
  <si>
    <t>Universidad Andres Bello; Universidad de Concepcion; Universidad de Chile; Universidad Catolica del Norte</t>
  </si>
  <si>
    <t>Rodrigo, C (corresponding author), Univ Andres Bello, Fac Ingn, Geol, Vina del Mar, Chile.</t>
  </si>
  <si>
    <t>cristian.rodrigo@unab.cl</t>
  </si>
  <si>
    <t>Muñoz, Praxedes/P-5259-2016; Fernandez, Rodrigo/GRF-1350-2022; Rebolledo, Lorena/AAP-5867-2020</t>
  </si>
  <si>
    <t>Muñoz, Praxedes/0000-0002-0402-681X; Rebolledo, Lorena/0000-0003-0266-361X; Fernandez, Rodrigo/0000-0003-4226-6010</t>
  </si>
  <si>
    <t>CONA [C23 F17-07]</t>
  </si>
  <si>
    <t>CONA</t>
  </si>
  <si>
    <t>This research was funded by CONA grant no. C23 F17-07 of the CIMAR CONA-SHOA Research Program.</t>
  </si>
  <si>
    <t>10.3389/fmars.2022.612021</t>
  </si>
  <si>
    <t>0W6SV</t>
  </si>
  <si>
    <t>WOS:000789155900001</t>
  </si>
  <si>
    <t>Verhoeven, MA; Loonstra, AHJ; Pringle, T; Kaspersma, W; Whiffin, M; McBride, AD; Sjoerdsma, P; Roodhart, C; Burgess, MD; Piersma, T; Smart, J</t>
  </si>
  <si>
    <t>Verhoeven, Mo A.; Loonstra, A. H. Jelle; Pringle, Thomas; Kaspersma, Wiebe; Whiffin, Mark; McBride, Alice D.; Sjoerdsma, Pieter; Roodhart, Celine; Burgess, Malcolm D.; Piersma, Theunis; Smart, Jennifer</t>
  </si>
  <si>
    <t>Do ditch-side electric fences improve the breeding productivity of ground-nesting waders?</t>
  </si>
  <si>
    <t>ECOLOGICAL SOLUTIONS AND EVIDENCE</t>
  </si>
  <si>
    <t>brood survival; chick survival; nest survival; predation; predator management</t>
  </si>
  <si>
    <t>LAPWING VANELLUS-VANELLUS; GODWIT LIMOSA-LIMOSA; AGRICULTURAL INTENSIFICATION; PREDATOR-EXCLUSION; SITE-FIDELITY; SUCCESS; REMOVAL; CHICKS; POPULATION; MANAGEMENT</t>
  </si>
  <si>
    <t>Insufficient reproduction as a consequence of predation on eggs and chicks is a major determinant of population decline in ground-nesting birds, including waders. For many populations, there is an urgent need to maintain breeding populations at key sites, and conservation practitioners need to find viable management solutions to reduce predation. One tool available to the practitioner is fences that exclude key predators from areas containing breeding birds. Temporary electric fencing is an increasingly popular predator exclusion intervention, but such fences have costs associated with purchase and the time needed to erect and maintain them. Their effectiveness and optimal application are also frequently questioned. We evaluate the use of temporary ditch-side four-strand electric fences in lowland grasslands in two countries, The Netherlands and England, in areas containing high densities of breeding waders. In both countries and in all years, godwit and lapwing nest survival was significantly higher within areas enclosed by ditch-side electric fences. Brood survival, assessed for godwits in The Netherlands, was also higher within fenced areas in all years. This demonstrates that using temporary electric fences to enclose ground-nesting birds can be an effective tool for improving breeding productivity. In our study, closely managed electric fences were effective at excluding red foxes Vulpes vulpes, but not avian and other mammalian predators. The positive effect that electric fencing had on nest and brood survival therefore likely results from a reduction in the total number of visits by mammalian predators, and especially visits by foxes. Although it requires a substantial time investment throughout the period of use, our temporary electric fence design provides flexibility compared to other fence designs when it comes to enclosing different areas within a season and between years, as the targets for protection change or as land and flood management dictate. This conservation intervention can help buy the time required to develop and implement longer term solutions for application at larger scales.</t>
  </si>
  <si>
    <t>[Verhoeven, Mo A.; Whiffin, Mark; Burgess, Malcolm D.; Smart, Jennifer] The Lodge, RSPB Ctr Conservat Sci, Sandy, Beds, England; [Verhoeven, Mo A.; Loonstra, A. H. Jelle; Kaspersma, Wiebe; McBride, Alice D.; Piersma, Theunis] Univ Groningen, Groningen Inst Evolutionary Life Sci, Conservat Ecol Grp, Groningen, Netherlands; [Pringle, Thomas] The Lodge, RSPB, Sandy, Beds, England; [Whiffin, Mark] British Antarctic Survey, Cambridge, England; [Sjoerdsma, Pieter] Staatsbosbeheer Sudwest Fryslan, Oudemirdum, Netherlands; [Roodhart, Celine] Vogelbescherming Nederland, Zeist, Netherlands; [Piersma, Theunis] NIOZ Royal Netherlands Inst Sea Res, Dept Coastal Syst, Texel, Netherlands; [Smart, Jennifer] Univ East Anglia, Sch Biol Sci, Norwich NR4 7TJ, Norfolk, England</t>
  </si>
  <si>
    <t>Royal Society for Protection of Birds; University of Groningen; Royal Society for Protection of Birds; UK Research &amp; Innovation (UKRI); Natural Environment Research Council (NERC); NERC British Antarctic Survey; Utrecht University; Royal Netherlands Institute for Sea Research (NIOZ); University of East Anglia</t>
  </si>
  <si>
    <t>Smart, J (corresponding author), Univ East Anglia, Sch Biol Sci, Norwich NR4 7TJ, Norfolk, England.</t>
  </si>
  <si>
    <t>jennifer.smart@rspb.org.uk</t>
  </si>
  <si>
    <t>Piersma, Theunis/D-1871-2012; Burgess, Malcolm/B-5793-2014</t>
  </si>
  <si>
    <t>Verhoeven, Mo/0000-0002-2541-9786; Burgess, Malcolm/0000-0003-1288-1231; Piersma, Theunis/0000-0001-9668-466X</t>
  </si>
  <si>
    <t>Staatsbosbeheer; Dutch Science Foundation NWO: Spinoza Premium 2014; RSPB &amp; Natural England: Action for Birds in England Partnership; EU LIFE Nature Programme -LIFE Blackwit UK [LIFE15 NAT/UK/00753]; National Lottery Heritage Fund: Back from the Brink Programme; Vogelbescherming (BirdLife Netherlands)</t>
  </si>
  <si>
    <t>Staatsbosbeheer; Dutch Science Foundation NWO: Spinoza Premium 2014; RSPB &amp; Natural England: Action for Birds in England Partnership; EU LIFE Nature Programme -LIFE Blackwit UK; National Lottery Heritage Fund: Back from the Brink Programme; Vogelbescherming (BirdLife Netherlands)</t>
  </si>
  <si>
    <t>Staatsbosbeheer; Dutch Science Foundation NWO: Spinoza Premium 2014; RSPB &amp; Natural England: Action for Birds in England Partnership; EU LIFE Nature Programme: LIFE15 NAT/UK/00753 -LIFE Blackwit UK; National Lottery Heritage Fund: Back from the Brink Programme; Vogelbescherming (BirdLife Netherlands)</t>
  </si>
  <si>
    <t>2688-8319</t>
  </si>
  <si>
    <t>ECOL SOLUT EVID</t>
  </si>
  <si>
    <t>Ecol. Solut. Evid.</t>
  </si>
  <si>
    <t>e12143</t>
  </si>
  <si>
    <t>10.1002/2688-8319.12143</t>
  </si>
  <si>
    <t>0X8GI</t>
  </si>
  <si>
    <t>WOS:000789937700001</t>
  </si>
  <si>
    <t>Stukel, MR; Schofield, OME; Ducklow, HW</t>
  </si>
  <si>
    <t>Stukel, Michael R.; Schofield, Oscar M. E.; Ducklow, Hugh W.</t>
  </si>
  <si>
    <t>Seasonal variability in carbon:234thorium ratios of suspended and sinking particles in coastal Antarctic waters: Field data and modeling synthesis</t>
  </si>
  <si>
    <t>Thorium-234; Uranium-thorium disequilibrium; Particle scavenging; Sorption kinetics; Carbon export; Biogeochemical model; Diatoms; Euphausiids; Western Antarctic Peninsula; Southern Ocean</t>
  </si>
  <si>
    <t>PARTICULATE ORGANIC-CARBON; GENERALIZED SCAVENGING MODEL; BIOLOGICAL PUMP; EXPORT FLUX; UPPER OCEAN; CONTINENTAL-SHELF; GLOBAL DATABASE; SURFACE WATERS; TH-234 RATIOS; FECAL PELLETS</t>
  </si>
  <si>
    <t>U-238-Th-234 disequilibrium is a powerful tool for investigating particle cycling and carbon export associated with the ocean's biological carbon pump. However, the interpretation of this method is complicated by multiple processes that can modify carbon:thorium ratios over small spatial scales. We investigated seasonal variability in the thorium and carbon cycles at a coastal site in the Western Antarctic Peninsula. Throughout the ice-free summer season, we quantified carbon and Th-234 vertical flux, total water column Th-234, particulate Th-234, and the C:Th-234 ratios of sinking material and bulk suspended material. Simultaneous identification and separation of fecal pellets from sinking material showed that fecal pellets (primarily from krill) contributed 56% of carbon flux and that as a result of lower C:Th-234 ratios than suspended particles, these fecal pellets were primary drivers of variability in the C:Th-234 ratios of sinking material. Bulk suspended particles had highly variable C:Th-234 ratios and were consistently elevated in the euphotic zone relative to deeper waters. The fraction of Th-234 adsorbed onto particles was positively correlated with chlorophyll and particulate organic carbon (POC) concentrations. The C:Th-234 ratios of suspended particles were positively correlated with POC, although during the spring diatom bloom C:Th-234 ratios were lower than would have been predicted based on POC concentrations alone. We hypothesize that diatom production of transparent exopolymers may have led to enhanced rates of thorium adsorption during the bloom, thus decreasing the C:Th-234 ratios. We used a Bayesian model selection approach to develop and parameterize mechanistic models to simulate thorium sorption dynamics. The best model incorporated one slowly-sinking POC pool and rapidly-sinking fecal pellets, with second-order sorption kinetics. The model accurately simulated temporal patterns in the C:Th-234 ratios of sinking and suspended particles and the fraction of Th-234 adsorbed to particles. However, it slightly over-estimated C:Th-234 ratios during the spring (diatom-dominated) bloom and underestimated C:Th-234 ratios during the fall (mixed-assemblage) bloom. Optimized model parameters for thorium sorption and desorption were 0.0047 +/-&amp; nbsp;0.0002 m3 mmol C-1 d(-1) and 0.017 +/- 0.008 d(-1), respectively. Our results highlight the important role that specific taxa can play in modifying the C:Th-234 ratio of sinking and suspended particles and provide guidance for future studies that use Th-234 measurements to investigate the functional relationships driving the efficiency of the biological pump.</t>
  </si>
  <si>
    <t>[Stukel, Michael R.] Florida State Univ, Dept Earth Ocean &amp; Atmospher Sci, Tallahassee, FL 32306 USA; [Stukel, Michael R.] Florida State Univ, Ctr Ocean Atmospher Predict Studies, Tallahassee, FL 32306 USA; [Schofield, Oscar M. E.] Rutgers State Univ, Ctr Ocean Observing Leadership, Dept Marine &amp; Coastal Sci, New Brunswick, NJ USA; [Ducklow, Hugh W.] Columbia Univ, Lamont Doherty Earth Observ, Palisades, NY USA</t>
  </si>
  <si>
    <t>State University System of Florida; Florida State University; State University System of Florida; Florida State University; Rutgers University System; Rutgers University New Brunswick; Columbia University</t>
  </si>
  <si>
    <t>Stukel, MR (corresponding author), Florida State Univ, Dept Earth Ocean &amp; Atmospher Sci, Tallahassee, FL 32306 USA.</t>
  </si>
  <si>
    <t>mstukel@fsu.edu</t>
  </si>
  <si>
    <t>Stukel, Michael R/F-9029-2013</t>
  </si>
  <si>
    <t>NSF OPP [1340886, 1440435, 1951090]; Vetlesen Foundation; Directorate For Geosciences; Division Of Polar Programs [1340886] Funding Source: National Science Foundation; Directorate For Geosciences; Office of Polar Programs (OPP) [1951090] Funding Source: National Science Foundation</t>
  </si>
  <si>
    <t>NSF OPP(National Science Foundation (NSF)NSF - Directorate for Geosciences (GEO)); Vetlesen Foundation; Directorate For Geosciences; Division Of Polar Programs(National Science Foundation (NSF)NSF - Directorate for Geosciences (GEO)); Directorate For Geosciences; Office of Polar Programs (OPP)(National Science Foundation (NSF)NSF - Directorate for Geosciences (GEO))</t>
  </si>
  <si>
    <t>Acknowledgments We thank our many colleagues who participated in the Palmer Sta-tion 2012-2013 field season, especially Stef Strebel, Elizabeth Asher, Nicole Couto, Filipa Carvalho, Mikaela Provost, and Sven Kranz. This work was supported by NSF OPP awards 1340886 and 1440435 to HWD and 1951090 to MRS. HWD was also partly supported by a gift from the Vetlesen Foundation. Data used in this manuscript are available on the Palmer LTER Datazoo website (https://pal.lternet.edu/data) and in supplementary tables of this manuscript. Model code can be down-loaded at: https://github.com /mstukel/Palmer_CTh_Model.</t>
  </si>
  <si>
    <t>10.1016/j.dsr.2022.103764</t>
  </si>
  <si>
    <t>0Z6WS</t>
  </si>
  <si>
    <t>WOS:000791216800002</t>
  </si>
  <si>
    <t>Sivkov, VV; Bubnova, ES</t>
  </si>
  <si>
    <t>Sivkov, V. V.; Bubnova, E. S.</t>
  </si>
  <si>
    <t>Regarding the Bottom Nepheloid Layer in the Kane Gap</t>
  </si>
  <si>
    <t>Kane Gap; bottom nepheloid layer; acoustic backscatter intensity; Antarctic bottom water; ballasting</t>
  </si>
  <si>
    <t>ATLANTIC; WATER</t>
  </si>
  <si>
    <t>The first evidence of the existence of a bottom nepheloid layer in the Kane Gap (Central East Atlantic) was obtained from acoustic backscattering data. It was located within the transformed Antarctic Bottom Water and was 150 m thick. The high velocities of bottom currents in the Gap suggest the permanence of the bottom nepheloid layer. The detailed structure of the vertical distribution of Antarctic Bottom Water tracers - oxygen and mineral silicate- has been revealed. Large biomineral aggregates (similar to 40 mu m) were found in the bottom suspended matter of the Kane Gap. They form in the highly productive North African upwelling area and are rapidly deposited to the ocean bottom layer due to ballasting of gel-like phytoplankton products by dense mineral particles from the Sahara Desert. Surface and bottom currents carry the suspended sediment aggregates to Kane Gap.</t>
  </si>
  <si>
    <t>[Sivkov, V. V.; Bubnova, E. S.] Russian Acad Sci, Shirshov Inst Oceanol, Moscow 117218, Russia; [Sivkov, V. V.; Bubnova, E. S.] Immanuel Kant Balt Fed Univ, Kaliningrad 236016, Russia</t>
  </si>
  <si>
    <t>Russian Academy of Sciences; Shirshov Institute of Oceanology; Immanuel Kant Baltic Federal University</t>
  </si>
  <si>
    <t>Sivkov, VV (corresponding author), Russian Acad Sci, Shirshov Inst Oceanol, Moscow 117218, Russia.;Sivkov, VV (corresponding author), Immanuel Kant Balt Fed Univ, Kaliningrad 236016, Russia.</t>
  </si>
  <si>
    <t>vadim.sivkov@atlantic.ocean.ru</t>
  </si>
  <si>
    <t>Bubnova, Ekaterina/L-2612-2016</t>
  </si>
  <si>
    <t>Bubnova, Ekaterina/0000-0002-8168-2984</t>
  </si>
  <si>
    <t>RSF project [19-17-00246]; IO RAS [FMWE-2021-0012]</t>
  </si>
  <si>
    <t>RSF project(Russian Science Foundation (RSF)); IO RAS</t>
  </si>
  <si>
    <t>Expeditionary hydrological and sedimentological works, as well as joint analysis of the obtained data were carried out with the RSF project no. 19-17-00246 funding. Hydrochemical data was obtained with a support of the state assignment of IO RAS (no. FMWE-2021-0012).</t>
  </si>
  <si>
    <t>10.1134/S1028334X2204016X</t>
  </si>
  <si>
    <t>0T9VE</t>
  </si>
  <si>
    <t>WOS:000787308300014</t>
  </si>
  <si>
    <t>Cutter, GR; Reiss, CS; Nylund, S; Watters, GM</t>
  </si>
  <si>
    <t>Cutter, George R.; Reiss, Christian S.; Nylund, Sven; Watters, George M.</t>
  </si>
  <si>
    <t>Antarctic Krill Biomass and Flux Measured Using Wideband Echosounders and Acoustic Doppler Current Profilers on Submerged Moorings</t>
  </si>
  <si>
    <t>Antarctic krill; flux; transport; biomass; Signature100; wideband echosounder; acoustic Doppler current profiler (ADCP)</t>
  </si>
  <si>
    <t>SOUTH-SHETLAND ISLANDS; EUPHAUSIA-SUPERBA; BACKSCATTERING STRENGTH; MULTIFREQUENCY METHOD; ECHO SOUNDER; SCOTIA SEA; CLASSIFICATION; ABUNDANCE; ZOOPLANKTON; VARIABILITY</t>
  </si>
  <si>
    <t>During austral summer 2018/2019, we deployed an array of six submerged moorings equipped with Nortek Signature100 integrated wideband echosounder and acoustic Doppler current profilers (ADCPs) on the continental shelf of the northern Antarctic Peninsula. Acoustic data from these instruments were used to classify targets, estimate water flow and the biomass of Antarctic krill (Euphausia superba), and quantify krill flux (biomass transport). We differentiated krill from other target aggregations using a supervised classification of data from the echosounder representing five wideband frequency bins spanning 68-113 kHz and two narrowband frequencies at 70 and 120 kHz. We estimated krill biomass using echosounder data collected at 120 kHz and water flow using the ADCP data. We estimated the biomass flux from the product of mean volumetric krill density and flow speed over a depth-integration range of 150 m. The overall mean krill areal biomass density based on hourly averages was 174 g.m(-2) during the austral summer (December-March). Mean daily biomass decreased by an order of magnitude, from 300 to 31 g.m(-2), over the sampling period, and fluctuated by nearly a factor of 4 above and below the local trend within weekly intervals. Mean current direction was along-shelf toward the west, and mean flow speed increased from similar to 0.10 to 0.14 m.s(-1) during the season. Krill flux was correlated with biomass variation, and the grand mean flux was 0.13 g.m(-2).s(-1). During the study period and in our approximately 1,300 km(2) study area, average total biomass of krill was 116265 metric tons, and total cumulative krill biomass was 2.5 million tons. Our results demonstrate the utility of integrated echosounder-ADCP systems for quantifying krill flux in an important foraging area used by krill-dependent predators (seabirds and marine mammals) that breed nearby and highlight the scales of variability in a key prey resource required by these predators.</t>
  </si>
  <si>
    <t>[Cutter, George R.; Reiss, Christian S.; Watters, George M.] NOAA, Southwest Fisheries Sci Ctr, Antarctic Ecosyst Res Div, La Jolla, CA 92037 USA; [Nylund, Sven] Nortek AS, Nortek Grp, Rud, Norway</t>
  </si>
  <si>
    <t>Cutter, GR (corresponding author), NOAA, Southwest Fisheries Sci Ctr, Antarctic Ecosyst Res Div, La Jolla, CA 92037 USA.</t>
  </si>
  <si>
    <t>george.cutter@noaa.gov</t>
  </si>
  <si>
    <t>10.3389/fmars.2022.784469</t>
  </si>
  <si>
    <t>0W6LP</t>
  </si>
  <si>
    <t>WOS:000789135900001</t>
  </si>
  <si>
    <t>Estimating Contributions of Natural Climate Variability Modes and Greenhouse Gases to Surface Temperature Trends in the Southern Hemisphere from Observations</t>
  </si>
  <si>
    <t>IZVESTIYA ATMOSPHERIC AND OCEANIC PHYSICS</t>
  </si>
  <si>
    <t>current climate change; temperature trends; natural and anthropogenic factors; radiative forcing of greenhouse gases in the atmosphere; Atlantic Multidecadal Oscillation; El Nino; Southern Oscillation; Pacific Interdecadal Oscillation; Antarctic Oscillation; autoregressive models; estimates of directional couplings</t>
  </si>
  <si>
    <t>ATLANTIC MULTIDECADAL OSCILLATION; AIR-TEMPERATURE; ANTHROPOGENIC FACTORS; SIMULATIONS; ROBUSTNESS</t>
  </si>
  <si>
    <t>Contributions of the anthropogenic influence characterized by variations in the atmospheric greenhouse gas radiative forcing and of the key modes of natural climate variability to the trends of surface air temperatures at different latitudes of the Southern Hemisphere on different temporal horizons are quantified from observations. The role of the Atlantic Multidecadal Oscillation, El Nino/Southern Oscillation, Interdecadal Pacific Oscillation, and Antarctic Oscillation in driving these temperature trends is estimated using trivariate autoregressive models and data since the 19th century. We note the substantial contributions of the key modes of natural climate variability to temperature trends on rather short intervals of about two or three decades, which is comparable to or even greater than the contribution of greenhouse gases. The estimates characterizing polar, middle, and tropical latitudes of the Southern Hemisphere are compared with those obtained for the Northern Hemisphere. According to these estimates, a dominant contribution to temperature trends at different latitudes and for the Earth as a whole on the intervals of about half a century and longer is made by the radiative forcing of greenhouse gases in the atmosphere.</t>
  </si>
  <si>
    <t>[Mokhov, I. I.; Smirnov, D. A.] Russian Acad Sci, Obukhov Inst Atmospher Phys, Moscow 119017, Russia; [Mokhov, I. I.] Moscow MV Lomonosov State Univ, Moscow 119991, Russia; [Smirnov, D. A.] Russian Acad Sci, Saratov Branch, Kotelnikov Inst Radio Engn &amp; Elect, Saratov 410019, Russia</t>
  </si>
  <si>
    <t>Mokhov, II (corresponding author), Russian Acad Sci, Obukhov Inst Atmospher Phys, Moscow 119017, Russia.;Mokhov, II (corresponding author), Moscow MV Lomonosov State Univ, Moscow 119991, Russia.</t>
  </si>
  <si>
    <t>Russian Science Foundation [19-17-00240]; Ministry of Education and Science of the Russian Federation [075-15-2020-776]; Russian Science Foundation [19-17-00240] Funding Source: Russian Science Foundation</t>
  </si>
  <si>
    <t>Russian Science Foundation(Russian Science Foundation (RSF)); Ministry of Education and Science of the Russian Federation(Ministry of Education and Science, Russian Federation); Russian Science Foundation(Russian Science Foundation (RSF))</t>
  </si>
  <si>
    <t>This work was supported by the Russian Science Foundation, project no. 19-17-00240. The analysis of the features of climate variability at northern, middle and high latitudes was carried out under an agreement with the Ministry of Education and Science of the Russian Federation (contract no. 075-15-2020-776).</t>
  </si>
  <si>
    <t>0001-4338</t>
  </si>
  <si>
    <t>1555-628X</t>
  </si>
  <si>
    <t>IZV ATMOS OCEAN PHY+</t>
  </si>
  <si>
    <t>Izv. Atmos. Ocean. Phys.</t>
  </si>
  <si>
    <t>10.1134/S0001433822010091</t>
  </si>
  <si>
    <t>Meteorology &amp; Atmospheric Sciences; Oceanography</t>
  </si>
  <si>
    <t>0V8XD</t>
  </si>
  <si>
    <t>WOS:000788622400003</t>
  </si>
  <si>
    <t>Dong, Y; Zheng, KY; Zou, X; Liang, YT; Liu, YD; Li, X; Shao, HB; Sung, YY; Mok, WJ; Wong, LL; McMinn, A; Wang, M</t>
  </si>
  <si>
    <t>Dong, Yue; Zheng, Kaiyang; Zou, Xiao; Liang, Yantao; Liu, Yundan; Li, Xiang; Shao, Hongbing; Sung, Yeong Yik; Mok, Wen Jye; Wong, Li Lian; McMinn, Andrew; Wang, Min</t>
  </si>
  <si>
    <t>Characterization and Genomic Analysis of the First Podophage Infecting Shewanella, Representing a Novel Viral Cluster</t>
  </si>
  <si>
    <t>Shewanella; podophage; genomic analysis; phylogenetic analysis; novel viral cluster</t>
  </si>
  <si>
    <t>PROTEIN; SEQUENCE; VIRUSES; SEA; BACTERIOPHAGES</t>
  </si>
  <si>
    <t>Shewanella is a common bacterial genus in marine sediments and deep seas, with a variety of metabolic abilities, suggesting its important roles in the marine biogeochemical cycles. In this study, a novel lytic Shewanella phage, vB_SInP-X14, was isolated from the surface coastal waters of Qingdao, China. The vB_SInP-X14 contains a linear, double-strand 36,396-bp with the G + C content of 44.1% and harbors 40 predicted open reading frames. Morphological, growth, and genomic analysis showed that it is the first isolated podovirus infecting Shewanella, with a short propagation time (40 min), which might be resulted from three lytic-related genes. Phylogenetic analysis suggested that vB_SInP-X14 could represent a novel viral genus, named Bocovirus, with four isolated but not classified phages. In addition, 14 uncultured viral genomes assembled from the marine metagenomes could provide additional support to establish this novel viral genus. This study reports the first podovirus infecting Shewanella, establishes a new interaction system for the study of virus-host interactions, and also provides new reference genomes for the marine viral metagenomic analysis.</t>
  </si>
  <si>
    <t>[Dong, Yue; Zheng, Kaiyang; Liang, Yantao; Liu, Yundan; Li, Xiang; Shao, Hongbing; McMinn, Andrew; Wang, Min] Ocean Univ China, Inst Evolut &amp; Marine Biodivers, Coll Marine Life Sci, Frontiers Sci Ctr Deep Ocean Multispheres &amp; Earth, Qingdao, Peoples R China; [Zou, Xiao] Qingdao Cent Hosp, Qingdao, Peoples R China; [Liang, Yantao; Shao, Hongbing; Sung, Yeong Yik; Mok, Wen Jye; Wong, Li Lian; Wang, Min] UMT, OUC Joint Ctr Marine Studies, Qingdao, Peoples R China; [Sung, Yeong Yik; Mok, Wen Jye; Wong, Li Lian] Univ Malaysia Terengganu UMT, Inst Marine Biotechnol, Kuala Nerus, Malaysia; [McMinn, Andrew] Univ Tasmania, Inst Marine &amp; Antarctic Studies, Hobart, Tas, Australia; [Wang, Min] Qingdao Univ, Affiliated Hosp, Qingdao, Peoples R China</t>
  </si>
  <si>
    <t>Ocean University of China; Universiti Malaysia Terengganu; University of Tasmania; Qingdao University</t>
  </si>
  <si>
    <t>Liang, YT; Wang, M (corresponding author), Ocean Univ China, Inst Evolut &amp; Marine Biodivers, Coll Marine Life Sci, Frontiers Sci Ctr Deep Ocean Multispheres &amp; Earth, Qingdao, Peoples R China.;Liang, YT; Wang, M (corresponding author), UMT, OUC Joint Ctr Marine Studies, Qingdao, Peoples R China.;Wang, M (corresponding author), Qingdao Univ, Affiliated Hosp, Qingdao, Peoples R China.</t>
  </si>
  <si>
    <t>liangyantao@ouc.edu.cn; mingwang@ouc.edu.cn</t>
  </si>
  <si>
    <t>Sung, Yeong Yik/AAA-2654-2020; Han, Yang/JVN-5921-2024; Mok, Wen Jye/AAF-9229-2019; Wang, Min/AFR-9645-2022; WONG, LI LIAN/ABE-1887-2022</t>
  </si>
  <si>
    <t>Sung, Yeong Yik/0000-0001-5897-9037; Mok, Wen Jye/0000-0002-7629-8312; Wang, Min/0000-0002-2357-589X;</t>
  </si>
  <si>
    <t>Natural Science Foundation of China [41976117, 42120104006, 42176111]; Fundamental Research Funds for the Central Universities [202072002, 202072001, 201812002]</t>
  </si>
  <si>
    <t>Natural Science Foundation of China(National Natural Science Foundation of China (NSFC)); Fundamental Research Funds for the Central Universities(Fundamental Research Funds for the Central Universities)</t>
  </si>
  <si>
    <t>This work was supported by the Natural Science Foundation of China (No. 41976117, 42120104006, and 42176111), and the Fundamental Research Funds for the Central Universities (202072002, 202072001, and 201812002).</t>
  </si>
  <si>
    <t>10.3389/fmicb.2022.853973</t>
  </si>
  <si>
    <t>0W6IX</t>
  </si>
  <si>
    <t>WOS:000789128900001</t>
  </si>
  <si>
    <t>Cho, B; Bae, H; Kim, T</t>
  </si>
  <si>
    <t>Cho, Boongho; Bae, Hyeonmi; Kim, Taewon</t>
  </si>
  <si>
    <t>The Symbiotic Relationship between the Antarctic Limpet, Nacella concinna, and Epibiont Coralline Algae</t>
  </si>
  <si>
    <t>epibiosis; antarctica; limpet; coralline algae; parasite</t>
  </si>
  <si>
    <t>MYTILUS-EDULIS L.; OCEAN ACIDIFICATION; LIPID-COMPOSITION; CLIMATE-CHANGE; SHARED DOOM; GROWTH; MUSSELS; COMMENSALISM; DISSOLUTION; MACROALGAE</t>
  </si>
  <si>
    <t>The Antarctic limpet, Nacella concinna, is one of the most abundant benthic marine invertebrates found in the intertidal zone of King George Island, Antarctica. The shell of N. concinna is often encrusted with the coralline algae Clathromorphum obtectulum. In this study, to reveal the relationship between the limpet and coralline algae, we examined how the coralline algae affect the physical condition (survival and health) and morphology of the limpet. We cultured the limpets for 22 days and compared mortality, weight, condition factor (CF), fatty acid content, and the structure of the shell surface between limpets both with and without coralline algae in the laboratory. We also measured the environmental factors (i.e., temperature, pH, and salinity) of the seawater at each sampling site and the CF of the limpets and correlated them with coverage of coralline algae. The presence of coralline algae significantly increased the mortality of the limpets by 40% and the shell weight by 1.4-fold but did not affect the CF. Additionally, coralline algae altered the fatty acid profiles related to the limpet's lipid metabolism (saturated fatty acids (SFA) and some polyunsaturated fatty acids (PUFA)). Specifically, C16:0, C17:0, C18:0, and total SFA increased, whereas C18:2 and C18:3 decreased. However, observations with a scanning electron microscope showed that shell damage in limpets with coralline algae was much less than in limpets without coralline algae, suggesting that coralline algae may provide protection against endolithic algae. The area of coralline algae on the limpet shell was positively correlated with the pH and temperature of the seawater. The results suggest that although coralline algae are generally assumed to be parasitical, the relationship between N. concinna and coralline algae may change to mutualism under certain conditions.</t>
  </si>
  <si>
    <t>[Cho, Boongho; Bae, Hyeonmi; Kim, Taewon] Inha Univ, Dept Ocean Sci, 100 Inha Ro, Incheon 22212, South Korea; [Cho, Boongho; Bae, Hyeonmi; Kim, Taewon] Inha Univ, Program Biomed Sci &amp; Engn, 100 Inha Ro, Incheon 22212, South Korea</t>
  </si>
  <si>
    <t>Inha University; Inha University</t>
  </si>
  <si>
    <t>Kim, T (corresponding author), Inha Univ, Dept Ocean Sci, 100 Inha Ro, Incheon 22212, South Korea.;Kim, T (corresponding author), Inha Univ, Program Biomed Sci &amp; Engn, 100 Inha Ro, Incheon 22212, South Korea.</t>
  </si>
  <si>
    <t>boonghocho@gmail.com; qogusala@gmail.com; ktwon@inha.ac.kr</t>
  </si>
  <si>
    <t>Kim, Taewon/0000-0002-6691-6578</t>
  </si>
  <si>
    <t>Korea Polar Research Institute [PE22110]; Inha University</t>
  </si>
  <si>
    <t>Korea Polar Research Institute(Korea Polar Research Institute of Marine Research Placement (KOPRI)); Inha University</t>
  </si>
  <si>
    <t>This work was supported by Korea Polar Research Institute under grant PE22110 and Inha University research grant.</t>
  </si>
  <si>
    <t>10.3390/jmse10040496</t>
  </si>
  <si>
    <t>0U9BU</t>
  </si>
  <si>
    <t>WOS:000787942100001</t>
  </si>
  <si>
    <t>Ste-Marie, E; Watanabe, YY; Semmens, JM; Marcoux, M; Hussey, NE</t>
  </si>
  <si>
    <t>Ste-Marie, Eric; Watanabe, Yuuki Y.; Semmens, Jayson M.; Marcoux, Marianne; Hussey, Nigel E.</t>
  </si>
  <si>
    <t>Life in the slow lane: field metabolic rate and prey consumption rate of the Greenland shark (Somniosus microcephalus) modelled using archival biologgers</t>
  </si>
  <si>
    <t>Biologging; Ecology; Energetics; Metabolism; Food web dynamics</t>
  </si>
  <si>
    <t>FOOD-WEB; OXYGEN-CONSUMPTION; DYNAMIC ACTION; SWIM SPEED; TEMPERATURE; ACCELERATION; MOVEMENTS; FISHES; WATER; ENERGETICS</t>
  </si>
  <si>
    <t>Field metabolic rate (FMR) is a holistic measure of metabolism representing the routine energy utilization of a species living within a specific ecological context, thus providing insight into its ecology, fitness and resilience to environmental stressors. For animals that cannot be easily observed in the wild, FMR can also be used in concert with dietary data to quantitatively assess their role as consumers, improving understanding of the trophic linkages that structure food webs and allowing for informed management decisions. Here, we modelled the FMR of Greenland sharks (Somniosus microcephalus) equipped with biologger packages or pop-up archival satellite tags (PSATs) in two coastal inlets of Baffin Island (Nunavut) using metabolic scaling relationships for mass, temperature and activity. We estimated that Greenland sharks had an overall mean (+/- s.d.) FMR of 21.67 +/- 2.30 mg O-2 h(-1) kg(-0.84) (n=30; 1-4 day accelerometer package deployments) while residing inside these cold-water fiord systems in the late summer, and 25.48 +/- 0.47 mg O-2 h(-1) kg(-0.84) (n=6; PSATs) over an entire year. When considering prey consumption rate, an average shark in these systems (224 kg) requires a maintenance ration of 61-193 g of fish or marine mammal prey daily. As Greenland sharks are a lethargic polar species, these low FMR estimates, and corresponding prey consumption estimates, suggest they require very little energy to sustain themselves under natural conditions. These data provide the first characterization of the energetics and consumer role of this vulnerable and understudied species in the wild, which is essential given growing pressures from climate change and expanding commercial fisheries in the Arctic.</t>
  </si>
  <si>
    <t>[Ste-Marie, Eric; Hussey, Nigel E.] Univ Windsor, Dept Integrat Biol, Windsor, ON N9B 3P4, Canada; [Watanabe, Yuuki Y.] Natl Inst Polar Res, Tachikawa, Tokyo 1908518, Japan; [Watanabe, Yuuki Y.] Grad Univ Adv Studies, Dept Polar Sci, SOKENDAI, Tachikawa, Tokyo 1908518, Japan; [Semmens, Jayson M.] Univ Tasmania, Fisheries &amp; Aquaculture Ctr, Inst Marine &amp; Antarctic Studies, Taroona, Tas 7053, Australia; [Marcoux, Marianne] Fisheries &amp; Oceans Canada, Freshwater Inst, 501 Univ Crescent, Winnipeg, MB R3T 2N6, Canada</t>
  </si>
  <si>
    <t>University of Windsor; Research Organization of Information &amp; Systems (ROIS); National Institute of Polar Research (NIPR) - Japan; Graduate University for Advanced Studies - Japan; University of Tasmania; Fisheries &amp; Oceans Canada</t>
  </si>
  <si>
    <t>Ste-Marie, E (corresponding author), Univ Windsor, Dept Integrat Biol, Windsor, ON N9B 3P4, Canada.</t>
  </si>
  <si>
    <t>stemari@uwindsor.ca</t>
  </si>
  <si>
    <t>Hussey, Nigel E/F-9699-2015</t>
  </si>
  <si>
    <t>Ste Marie, Eric/0000-0002-1173-4726; Semmens, Jayson/0000-0003-1742-6692</t>
  </si>
  <si>
    <t>ArcticNet; World Wildlife Fund-Canada; Government of Nunavut; Department of Fisheries and Oceans Canada; Nunavut Fisheries Association; Molson Foundation; Natural Sciences and Engineering Research Council of Canada (NSERC-Discovery); Mitacs; Garfield Weston Foundation; Japan Society for the Promotion of Science; Arctic Challenge for Sustainability project (ArCS); CanNor</t>
  </si>
  <si>
    <t>ArcticNet; World Wildlife Fund-Canada; Government of Nunavut; Department of Fisheries and Oceans Canada; Nunavut Fisheries Association; Molson Foundation; Natural Sciences and Engineering Research Council of Canada (NSERC-Discovery)(Natural Sciences and Engineering Research Council of Canada (NSERC)); Mitacs; Garfield Weston Foundation; Japan Society for the Promotion of Science(Ministry of Education, Culture, Sports, Science and Technology, Japan (MEXT)Japan Society for the Promotion of Science); Arctic Challenge for Sustainability project (ArCS); CanNor</t>
  </si>
  <si>
    <t>Funding for the research was provided by ArcticNet, World Wildlife Fund-Canada, the Government of Nunavut, the Department of Fisheries and Oceans Canada, CanNor, the Nunavut Fisheries Association, the Molson Foundation, the Natural Sciences and Engineering Research Council of Canada (NSERC-Discovery), Mitacs, the Garfield Weston Foundation, the Japan Society for the Promotion of Science, and the Arctic Challenge for Sustainability project (ArCS). Some of the work presented here forms part of E.S.-M.'s master's thesis (Ste-Marie, 2020).</t>
  </si>
  <si>
    <t>jeb24299</t>
  </si>
  <si>
    <t>10.1242/jeb.242994</t>
  </si>
  <si>
    <t>0U4GO</t>
  </si>
  <si>
    <t>WOS:000787609800004</t>
  </si>
  <si>
    <t>Nadporozhskaya, MA; Bykhovets, SS; Abakumov, EV</t>
  </si>
  <si>
    <t>Nadporozhskaya, M. A.; Bykhovets, S. S.; Abakumov, E., V</t>
  </si>
  <si>
    <t>Application of the ROMUL Mathematical Model for Estimation of CO2 Emission and Dynamics of Organic Matter in the Subantarctic Lithozems</t>
  </si>
  <si>
    <t>EURASIAN SOIL SCIENCE</t>
  </si>
  <si>
    <t>lithozem; green mosses; Deschampsia antarctica; ornithogenic factor</t>
  </si>
  <si>
    <t>KING-GEORGE-ISLAND; MARITIME ANTARCTICA; CLIMATE-CHANGE; SOILS; CARBON; FOREST; CRYOSOLS; TUNDRA; HUMUS; SOUTH</t>
  </si>
  <si>
    <t>The specific features in the formation of a system of biologically active surface horizons (organoprofile) in the Subantarctic lithozems (Leptosols) are analyzed using mathematical modeling. Simulation experiments involve the ROMUL mathematical model. The working scenarios are compiled taking into account the specific features of the effects of climate, fauna, and vegetation of the coasts of King George Island, archipelago of the South Shetland Islands, West Antarctica. The periodicity of temperature recording (using daily or monthly average values) has little effect on the simulation results. As is shown, different localizations of the litterfall under green mosses and Antarctic hair grass (Deschampsia antarctica) lead to development of the organoprofiles differing in their structure and quality. The enrichment with nitrogen due to the vital activity of penguins increases the litterfall transformation intensity and enhances humification. Note that the results of a medium-term (50-year-long) simulation of the dynamics of organic matter pools in the lithozems with different ornithogenic impacts significantly differ in the case of a change in vegetation type and an increase in the nitrogen concentration in litterfall. Long-term (at constant climate and litterfall) computational experiments have shown that the litter and humus pools under the Subantarctic conditions reach a stable state in 200 and 500 years, respectively. Soil CO2 emission in the simulated ranges of soil forming factors can be regarded as consistent with the results of field measurements if a large part of the gross CO2 flux results from the respiration of vegetation. The compilation of scenarios for simulation experiments has shown that the field information on the pools of surface organic horizon (litter) and their quality for drained Antarctic soils is insufficient. Litter is an important indicator of the actual response of Antarctic soils to the change in soil forming factors and must be taken into account. We invite the international community of the scientists studying the soils of Antarctic to agree on the unification of descriptions of the key sites and calculations of the results of field studies.</t>
  </si>
  <si>
    <t>[Nadporozhskaya, M. A.; Abakumov, E., V] St Petersburg State Univ, Univ Skaya Nab 7-9, St Petersburg 199034, Russia; [Bykhovets, S. S.] Russian Acad Sci, Pushchino Sci Ctr Biol Res, Inst Physicochem &amp; Biol Problems Soil Sci, Ul Inst Skaya 2, Pushchino 142290, Moscow Oblast, Russia</t>
  </si>
  <si>
    <t>Saint Petersburg State University; Russian Academy of Sciences; Pushchino Scientific Center for Biological Research (PSCBI) of the Russian Academy of Sciences; Institute of Physicohemical &amp; Biological Problems of Soil Science</t>
  </si>
  <si>
    <t>Nadporozhskaya, MA (corresponding author), St Petersburg State Univ, Univ Skaya Nab 7-9, St Petersburg 199034, Russia.</t>
  </si>
  <si>
    <t>m.nadporozhskaya@spbu.ru</t>
  </si>
  <si>
    <t>, Marina/AGQ-0592-2022; Bykhovets, Sergei S./E-6937-2012</t>
  </si>
  <si>
    <t>, Marina/0000-0001-8800-074X;</t>
  </si>
  <si>
    <t>Russia Foundation for Basic Research [19-54-18003 Bolg_a, 19-05-5-107]</t>
  </si>
  <si>
    <t>Russia Foundation for Basic Research</t>
  </si>
  <si>
    <t>The work was supported by the Russia Foundation for Basic Research (projects nos. 19-54-18003 Bolg_a Assessment of the Regional Contribution of the Soils of Antarctic Islands to the Global Carbon Balance Taking into Account the Degree of Organic Matter Stabilization and Humification and 19-05-5-107 The role of microparticles of organic carbon in degradation of ice cover of polar regions of the Earth and in the process of soil-like bodies formation).</t>
  </si>
  <si>
    <t>1064-2293</t>
  </si>
  <si>
    <t>1556-195X</t>
  </si>
  <si>
    <t>EURASIAN SOIL SCI+</t>
  </si>
  <si>
    <t>Eurasian Soil Sci.</t>
  </si>
  <si>
    <t>10.1134/S1064229322040123</t>
  </si>
  <si>
    <t>Soil Science</t>
  </si>
  <si>
    <t>Agriculture</t>
  </si>
  <si>
    <t>0T2RD</t>
  </si>
  <si>
    <t>WOS:000786818400003</t>
  </si>
  <si>
    <t>Fandé, MB; Lira, CP; Penha-Lopes, G</t>
  </si>
  <si>
    <t>Fande, Morto Baiem; Lira, Cristina Ponte; Penha-Lopes, Gil</t>
  </si>
  <si>
    <t>Using TanDEM-X Global DEM to Map Coastal Flooding Exposure under Sea-Level Rise: Application to Guinea-Bissau</t>
  </si>
  <si>
    <t>ISPRS INTERNATIONAL JOURNAL OF GEO-INFORMATION</t>
  </si>
  <si>
    <t>total water level; bathtub model; geographic information systems</t>
  </si>
  <si>
    <t>ANTARCTIC ICE-SHEET; CLIMATE-CHANGE; VULNERABILITY; GENERATION; INUNDATION; CITIES</t>
  </si>
  <si>
    <t>The increased exposure to coastal flooding in low-lying coastal areas is one of the consequences of sea-level rise (SLR) induced by climate changes. The coastal zone of Guinea-Bissau contains significant areas of low elevation and is home to most of the population and economic activity, making it already vulnerable to coastal flooding, especially during spring tides and storm surges (SS). Coastal flooding will tend to intensify with the expected SLR in the coming decades. This study aimed at quantifying and mapping the area exposed to the coastal flooding hazard using SLR scenarios by the years 2041, 2083, and 2100. The study analyzes and discusses the application of a the simple bathtub model coupled with a high-precision global digital elevation models (TanDEM-X DEM) to areas where no other data are available. Therefore, three coastal hazards hot-spots of Guinea-Bissau: Bissau, Bubaque, and Suzana, were used as case study. At each site, the area potentially exposed to coastal flooding was evaluated in a geographic information systems (GIS) environment, by estimating the Total Water Levels for each SLR scenario. For all areas, land exposed to coastal flooding hazard increases significantly and progressively with increasing SLR scenarios. Bissau and Suzana, where housing, infrastructure, and agricultural land are low-lying, presented the greatest flood exposure, while Bubaque, where housing and infrastructure are located in relatively high-lying land and rain-fed agriculture is practiced, present lesser flood exposure. The methodology presented is simple to use but powerful in identifying potentially vulnerable places to coastal flooding hazard, and its results can aid low developed countries to assess their exposure to coastal risks, thus supporting risk awareness and mitigation measures.</t>
  </si>
  <si>
    <t>[Fande, Morto Baiem; Penha-Lopes, Gil] Univ Lisbon, Fac Sci, Ctr Ecol Evolut &amp; Environm Change cE3c, Edificio C2,Piso 5, P-1749016 Lisbon, Portugal; [Lira, Cristina Ponte] Univ Lisbon, Fac Ciencias, Inst Dom Luiz IDL, Edificio C1,Piso 1, P-1749016 Lisbon, Portugal; [Lira, Cristina Ponte] Univ Lisbon, Fac Ciencias, Dept Geol, Edificio C6,Piso 3, P-1749016 Lisbon, Portugal</t>
  </si>
  <si>
    <t>Universidade de Lisboa; Universidade de Lisboa; Universidade de Lisboa</t>
  </si>
  <si>
    <t>Lira, CP (corresponding author), Univ Lisbon, Fac Ciencias, Inst Dom Luiz IDL, Edificio C1,Piso 1, P-1749016 Lisbon, Portugal.;Lira, CP (corresponding author), Univ Lisbon, Fac Ciencias, Dept Geol, Edificio C6,Piso 3, P-1749016 Lisbon, Portugal.</t>
  </si>
  <si>
    <t>mbfande@fc.ul.pt; fclira@fc.ul.pt; gppenha-lopes@fc.ul.pt</t>
  </si>
  <si>
    <t>Lira, Cristina Ponte/J-5016-2013; Penha-Lopes, Gil/N-1475-2015</t>
  </si>
  <si>
    <t>Lira, Cristina Ponte/0000-0002-9947-6724; Penha-Lopes, Gil/0000-0002-1024-1954</t>
  </si>
  <si>
    <t>[DEM_OTHER0576]</t>
  </si>
  <si>
    <t>This research was funded through the provision of high-resolution TanDEM-X dataset by (c) DLR 2017, under the framework of project DEM_OTHER0576.</t>
  </si>
  <si>
    <t>2220-9964</t>
  </si>
  <si>
    <t>ISPRS INT J GEO-INF</t>
  </si>
  <si>
    <t>ISPRS Int. J. Geo-Inf.</t>
  </si>
  <si>
    <t>10.3390/ijgi11040225</t>
  </si>
  <si>
    <t>Computer Science, Information Systems; Geography, Physical; Remote Sensing</t>
  </si>
  <si>
    <t>Computer Science; Physical Geography; Remote Sensing</t>
  </si>
  <si>
    <t>0T3XA</t>
  </si>
  <si>
    <t>WOS:000786901600001</t>
  </si>
  <si>
    <t>Pelegrín, JS; Hospitaleche, CA</t>
  </si>
  <si>
    <t>Pelegrin, Jonathan S.; Acosta Hospitaleche, Carolina</t>
  </si>
  <si>
    <t>Evolutionary and Biogeographical History of Penguins (Sphenisciformes): Review of the Dispersal Patterns and Adaptations in a Geologic and Paleoecological Context</t>
  </si>
  <si>
    <t>Aves; phylogenies; paleobiogeography; penguins; Sphenisciformes</t>
  </si>
  <si>
    <t>NEW-ZEALAND; CONTINENTAL BREAKUP; EOCENE PENGUINS; FOSSIL PENGUINS; BIRDS; AVES; ANTARCTICA; MIOCENE; CLIMATE; RANGE</t>
  </si>
  <si>
    <t>Despite its current low diversity, the penguin clade (Sphenisciformes) is one of the groups of birds with the most complete fossil record. Likewise, from the evolutionary point of view, it is an interesting group given the adaptations developed for marine life and the extreme climatic occupation capacity that some species have shown. In the present contribution, we reviewed and integrated all of the geographical and phylogenetic information available, together with an exhaustive and updated review of the fossil record, to establish and propose a biogeographic scenario that allows the spatial-temporal reconstruction of the evolutionary history of the Sphenisciformes, discussing our results and those obtained by other authors. This allowed us to understand how some abiotic processes are responsible for the patterns of diversity evidenced both in modern and past lineages. Thus, using the BioGeoBEARS methodology for biogeographic estimation, we were able to reconstruct the biogeographical patterns for the entire group based on the most complete Bayesian phylogeny of the total evidence. As a result, a New Zealand origin for the Sphenisciformes during the late Cretaceous and early Paleocene is indicated, with subsequent dispersal and expansion across Antarctica and southern South America. During the Eocene, there was a remarkable diversification of species and ecological niches in Antarctica, probably associated with the more temperate climatic conditions in the Southern Hemisphere. A wide morphological variability might have developed at the beginning of the Paleogene diversification. During the Oligocene, with the trends towards the freezing of Antarctica and the generalized cooling of the Neogene, there was a turnover that led to the survival (in New Zealand) of the ancestors of the crown Sphenisciform lineages. Later these expanded and diversified across the Southern Hemisphere, strongly linked to the climatic and oceanographic processes of the Miocene. Finally, it should be noted that the Antarctic recolonization and its hostile climatic conditions occurred in some modern lineages during the Pleistocene, possibly due to exaptations that made possible the repeated dispersion through cold waters during the Cenozoic, also allowing the necessary adaptations to live in the tundra during the glaciations.</t>
  </si>
  <si>
    <t>[Pelegrin, Jonathan S.] Univ Santiago Cali, Grp Invest Ecol &amp; Conservac Biodiversidad EcoBio, Area Biol &amp; Programa Maestria Educac Ambiental &amp;, Cali 760001, Colombia; [Acosta Hospitaleche, Carolina] Univ Nacl La Plata, Fac Ciencias Nat &amp; Museo, Div Paleontol Vertebrados, CONICET, B1900FWA, La Plata, Argentina</t>
  </si>
  <si>
    <t>Consejo Nacional de Investigaciones Cientificas y Tecnicas (CONICET); National University of La Plata; Museo La Plata</t>
  </si>
  <si>
    <t>Pelegrín, JS (corresponding author), Univ Santiago Cali, Grp Invest Ecol &amp; Conservac Biodiversidad EcoBio, Area Biol &amp; Programa Maestria Educac Ambiental &amp;, Cali 760001, Colombia.</t>
  </si>
  <si>
    <t>jonathan.pelegrin00@usc.edu.co; acostacaro@fcnym.unlp.edu.ar</t>
  </si>
  <si>
    <t>Pelegrin, Jonathan S/GLR-1432-2022</t>
  </si>
  <si>
    <t>Pelegrin, Jonathan S/0000-0001-5954-5476; Acosta Hospitaleche, Carolina/0000-0002-2614-1448</t>
  </si>
  <si>
    <t>General Research Council (Direccion General de Investigaciones-DGI) at the Universidad Santiago de Cali (Colombia) [01-2021]; La Plata University (Argentina) [PI N955]; National Scientific and Technical Research Council (Argentina) [PIP 0096]</t>
  </si>
  <si>
    <t>General Research Council (Direccion General de Investigaciones-DGI) at the Universidad Santiago de Cali (Colombia); La Plata University (Argentina); National Scientific and Technical Research Council (Argentina)</t>
  </si>
  <si>
    <t>This research was funded by the General Research Council (Direccion General de Investigaciones-DGI) at the Universidad Santiago de Cali (Colombia) under call No. 01-2021; La Plata University PI N955 (Argentina), and the National Scientific and Technical Research Council PIP 0096 (Argentina).</t>
  </si>
  <si>
    <t>10.3390/d14040255</t>
  </si>
  <si>
    <t>0Q8FP</t>
  </si>
  <si>
    <t>WOS:000785147700001</t>
  </si>
  <si>
    <t>Touskova, TP; Bob, P; Bares, Z; Vanickova, Z; Nyvlt, D; Raboch, J</t>
  </si>
  <si>
    <t>Touskova, Tereza Petraskova; Bob, Petr; Bares, Zdenek; Vanickova, Zdislava; Nyvlt, Daniel; Raboch, Jiri</t>
  </si>
  <si>
    <t>A novel Wim Hof psychophysiological training program to reduce stress responses during an Antarctic expedition</t>
  </si>
  <si>
    <t>JOURNAL OF INTERNATIONAL MEDICAL RESEARCH</t>
  </si>
  <si>
    <t>Cortisol; melatonin; psychophysiological training; stress; Wim Hof Method; depression; observational study; hormone release</t>
  </si>
  <si>
    <t>BECK DEPRESSION INVENTORY; INNATE IMMUNE-RESPONSE; HAIR CORTISOL; PSYCHOMETRIC EVALUATION; PLASMA MELATONIN; NERVOUS-SYSTEM; MEDITATION; TRAUMA</t>
  </si>
  <si>
    <t>Objective The aim of this prospective observational study was to investigate the effects of a novel Wim Hof psychophysiological training program on stress responses and hormone release in healthy participants during an Antarctic expedition. Methods All members of an Antarctic expedition were included in the study. The participants were healthy volunteers allocated to an intervention group (n = 6) and a control group (n = 7). The intervention consisted of 8 weeks of Wim Hof training. The training program comprised three integrated parts: breathing exercises, cold exposure and meditation. Psychometric measures (the Beck Depression Inventory and the Trauma Symptom Checklist-40) and neuroendocrine measures (cortisol, melatonin) were assessed pre- and post-intervention. Results The results showed that the 8-week training program significantly reduced stress responses, as indicated by a reduction in depressive symptoms. A non-significant reduction in cortisol was also observed. Conclusions These data constitute preliminary findings indicating that the Wim Hof Method may positively affect stress symptoms and adaptability of the hormonal system to respond adequately to the circadian rhythm in healthy volunteers who participated in an Antarctic expedition.</t>
  </si>
  <si>
    <t>[Touskova, Tereza Petraskova; Bob, Petr; Raboch, Jiri] Charles Univ Prague, Dept Psychiat, Fac Med Pilsen, Ctr Neuropsychiat Res Traumat Stress, Prague, Czech Republic; [Touskova, Tereza Petraskova; Bob, Petr; Raboch, Jiri] Charles Univ Prague, UHSL, Fac Med Pilsen, Fac Med 1, Prague, Czech Republic; [Touskova, Tereza Petraskova; Bob, Petr; Raboch, Jiri] Charles Univ Prague, Dept Psychiat, Fac Med Pilsen, Prague, Czech Republic; [Bob, Petr] Masaryk Univ, CEITEC, Brno, Czech Republic; [Bares, Zdenek; Nyvlt, Daniel] Masaryk Univ, Fac Sci, Dept Geog, Czech Antarctic Res Programme, Brno, Czech Republic; [Vanickova, Zdislava] Charles Univ Prague, Fac Med 1, Inst Med Biochem &amp; Lab Diagnost, Prague, Czech Republic</t>
  </si>
  <si>
    <t>Charles University Prague; Charles University Prague; Charles University Prague; Masaryk University Brno; Masaryk University Brno; Charles University Prague</t>
  </si>
  <si>
    <t>Bob, P (corresponding author), Charles Univ Prague, Dept Psychiat, Ctr Neuropsychiat Res Traumat Stress, Fac Med 1, Ke Karlovu 11, Prague 12800, Czech Republic.</t>
  </si>
  <si>
    <t>petrbob@netscape.net</t>
  </si>
  <si>
    <t>Bob, Petr/E-3414-2012; Petraskova, Tereza/O-4431-2017; Nyvlt, Daniel/D-5708-2011</t>
  </si>
  <si>
    <t>Petraskova, Tereza/0000-0001-9343-8850; Nyvlt, Daniel/0000-0002-6876-490X</t>
  </si>
  <si>
    <t>Charles University; Ministry of Education, Youth and Sports of the Czech Republic [LM2015078]</t>
  </si>
  <si>
    <t>Charles University; Ministry of Education, Youth and Sports of the Czech Republic(Ministry of Education, Youth &amp; Sports - Czech Republic)</t>
  </si>
  <si>
    <t>The authors disclosed receipt of the following financial support for the research, authorship, and publication of this article: The study was supported by the Charles University projects (Progress Cooperation SVV). The 2019 Antarctic expedition was supported by the Large Infrastructure project LM2015078 of the Ministry of Education, Youth and Sports of the Czech Republic.</t>
  </si>
  <si>
    <t>SAGE PUBLICATIONS LTD</t>
  </si>
  <si>
    <t>1 OLIVERS YARD, 55 CITY ROAD, LONDON EC1Y 1SP, ENGLAND</t>
  </si>
  <si>
    <t>0300-0605</t>
  </si>
  <si>
    <t>1473-2300</t>
  </si>
  <si>
    <t>J INT MED RES</t>
  </si>
  <si>
    <t>J. Int. Med. Res.</t>
  </si>
  <si>
    <t>10.1177/03000605221089883</t>
  </si>
  <si>
    <t>Medicine, Research &amp; Experimental; Pharmacology &amp; Pharmacy</t>
  </si>
  <si>
    <t>Research &amp; Experimental Medicine; Pharmacology &amp; Pharmacy</t>
  </si>
  <si>
    <t>0S7DR</t>
  </si>
  <si>
    <t>WOS:000786431300001</t>
  </si>
  <si>
    <t>Ogden, LE</t>
  </si>
  <si>
    <t>Ogden, Lesley Evans</t>
  </si>
  <si>
    <t>Massive Antarctic Fish Colony</t>
  </si>
  <si>
    <t>NATURAL HISTORY</t>
  </si>
  <si>
    <t>NATURAL HISTORY MAGAZINE</t>
  </si>
  <si>
    <t>36 WEST 25TH STREET, FIFTH FLOOR, NEW YORK, NY 10010 USA</t>
  </si>
  <si>
    <t>0028-0712</t>
  </si>
  <si>
    <t>NAT HIST</t>
  </si>
  <si>
    <t>Nat. Hist.</t>
  </si>
  <si>
    <t>0H3GA</t>
  </si>
  <si>
    <t>WOS:000778622800006</t>
  </si>
  <si>
    <t>Bonsoms, J; Boulet, G</t>
  </si>
  <si>
    <t>Bonsoms, Josep; Boulet, Gilles</t>
  </si>
  <si>
    <t>Ensemble Machine Learning Outperforms Empirical Equations for the Ground Heat Flux Estimation with Remote Sensing Data</t>
  </si>
  <si>
    <t>ground heat flux; machine learning; remote sensing; surface energy balance</t>
  </si>
  <si>
    <t>ARTIFICIAL NEURAL-NETWORKS; NET-RADIATION RATIO; ENERGY-BALANCE; CROP SUCCESSION; WATER-STRESS; SOIL; SURFACE; EVAPOTRANSPIRATION; MODEL; TEMPERATURE</t>
  </si>
  <si>
    <t>Estimating evapotranspiration at the field scale is a major component of sustainable water management. Due to the difficulty to assess some major unknowns of the water cycle at that scale, including irrigation amounts, evapotranspiration is often computed as the residual of the instantaneous surface energy budget. One of the Surface Energy Balance components with the largest uncertainties in their quantification over bare soils and sparse vegetation areas is the ground heat flux (G). Over the last decades, the estimation of G with remote sensing (RS) data has been mainly achieved with empirical equations, on the basis of the G and net radiation (Rn) ratio, G/Rn. The G/Rn empirical equations generally require vegetation data (Type I empirical equations), in combination with surface temperature (Ts) and albedo (Type II empirical equations). In this article, we aim to evaluate the estimation of G with RS data. Here, we compared eight G/Rn empirical equations against two types of machine learning (ML) methods: an ensemble ML type, the Random Forest (RF), and the Neural Networks (NN). The comparison of each method was evaluated using a wide range of climate and land cover datasets, including data from Eddy-Covariance towers that extend along the mid-latitude areas that encompass the European and African continents. Our results have shown evidence that the driver of G in bare soils and sparse vegetation areas (Fraction of Vegetation, Fv &lt;= 0.25) is Ts, instead of vegetation greenness indexes. On the other hand, the accuracy in the estimation of G with Rn, Ts or Fv decreases in densely vegetated areas (Fv &gt;= 0.50). There are no significant differences between the most accurate Type I and II empirical equations. For bare soils and sparse vegetation areas the empirical equation which combines the Leaf Area Index (LAI) and Ts (E7) estimates G best. In densely vegetated areas, an exponential empirical equation based on Fv (E4), shows the best performance. However, ML better estimates G than the empirical equations, independently of the Fv ranges. An RF model with Rn, LAI and Ts as predictor variables shows the best accuracy and performance metrics, outperforming the NN model.</t>
  </si>
  <si>
    <t>[Bonsoms, Josep] Univ Barcelona, Dept Geog, Barcelona 08007, Spain; [Boulet, Gilles] Univ Toulouse, CNRS, Ctr Etudes Spati Biosphere CESBIO, CNES,IRD,UT3, F-31500 Toulouse, France</t>
  </si>
  <si>
    <t>University of Barcelona; Institut de Recherche pour le Developpement (IRD); Universite de Toulouse; Universite Toulouse III - Paul Sabatier; Centre National de la Recherche Scientifique (CNRS)</t>
  </si>
  <si>
    <t>Boulet, G (corresponding author), Univ Toulouse, CNRS, Ctr Etudes Spati Biosphere CESBIO, CNES,IRD,UT3, F-31500 Toulouse, France.</t>
  </si>
  <si>
    <t>josepbonsoms5@gmail.com; gilles.boulet@ird.fr</t>
  </si>
  <si>
    <t>Boulet, Gilles/C-3067-2013</t>
  </si>
  <si>
    <t>Boulet, Gilles/0000-0002-3905-7560; Bonsoms, Josep/0000-0001-8180-9095</t>
  </si>
  <si>
    <t>French Space Agency (CNES) through the TOSCA project TRISHNA [2017-SGR-1102]; CNESTEN; OSR</t>
  </si>
  <si>
    <t>French Space Agency (CNES) through the TOSCA project TRISHNA; CNESTEN; OSR</t>
  </si>
  <si>
    <t>This work was supported by the French Space Agency (CNES) through the TOSCA project TRISHNA, and Antarctic, Arctic, Alpine Environments-ANTALP (2017-SGR-1102) founded by the Government of Catalonia; We acknowledge the data provided by the TREMA (UCA, IRD, ABHT, ORMVAH, DMN, CNESTEN) and NAILA (INAT, INRGREF, IRD) International Joint Laboratories as well as the OSR.</t>
  </si>
  <si>
    <t>10.3390/rs14081788</t>
  </si>
  <si>
    <t>0U1EO</t>
  </si>
  <si>
    <t>WOS:000787400700001</t>
  </si>
  <si>
    <t>Choi, W; Son, J; Park, A; Jin, HS; Shin, SC; Lee, JH; Kim, TD; Kim, HW</t>
  </si>
  <si>
    <t>Choi, Woong; Son, Jonghyeon; Park, Aekyung; Jin, Hongshi; Shin, Seung Chul; Lee, Jun Hyuck; Kim, T. Doohun; Kim, Han-Woo</t>
  </si>
  <si>
    <t>Identification, Characterization, and Preliminary X-ray Diffraction Analysis of a Single Stranded DNA Binding Protein (LjSSB) from Psychrophilic Lacinutrix jangbogonensis PAMC 27137</t>
  </si>
  <si>
    <t>CRYSTALS</t>
  </si>
  <si>
    <t>single stranded DNA binding protein; Lacinutrix jangbogonensis PAMC 27137; X-ray crystallography</t>
  </si>
  <si>
    <t>ESCHERICHIA-COLI; CRYSTAL-STRUCTURE; SSB; DOMAIN; SSDNA</t>
  </si>
  <si>
    <t>Single-stranded DNA-binding proteins (SSBs) are essential for DNA metabolism, including repair and replication, in all organisms. SSBs have potential applications in molecular biology and in analytical methods. In this study, for the first time, we purified, structurally characterized, and analyzed psychrophilic SSB (LjSSB) from Lacinutrix jangbogonensis PAMC 27137 isolated from the Antarctic region. LjSSB has a relatively short amino acid sequence, consisting of 111 residues, with a molecular mass of 12.6 kDa. LjSSB protein was overexpressed in Escherichia coli BL21 (DE3) and analyzed for binding affinity using 20- and 35-mer deoxythymidine oligonucleotides (dT). In addition, the crystal structure of LjSSB at a resolution 2.6 angstrom was obtained. The LjSSB protein crystal belongs to the space group C222 with the unit cell parameters of a = 106.58 angstrom, b = 234.14 angstrom, c = 66.14 angstrom. The crystal structure was solved using molecular replacement, and subsequent iterative structure refinements and model building are currently under progress. Further, the complete structural information of LjSSB will provide a novel strategy for protein engineering and for the application on molecular biological techniques.</t>
  </si>
  <si>
    <t>[Choi, Woong; Lee, Jun Hyuck; Kim, Han-Woo] Korea Polar Res Inst, Res Unit Cryogen Novel Mat, Incheon 21990, South Korea; [Son, Jonghyeon] Daegu Gyeongbuk Med Innovat Fdn, New Drug Dev Ctr, Daegu 41061, South Korea; [Park, Aekyung] Korea Dis Control &amp; Prevent Agcy, Div Emerging Infect Dis, Bur Infect Dis Diag Control, Cheongju 28159, South Korea; [Jin, Hongshi; Shin, Seung Chul] Korea Polar Res Inst, Div Life Sci, Incheon 21990, South Korea; [Lee, Jun Hyuck; Kim, Han-Woo] Univ Sci &amp; Technol, Dept Polar Sci, Incheon 21990, South Korea; [Kim, T. Doohun] Sookmyung Womens Univ, Dept Chem, Seoul 04310, South Korea</t>
  </si>
  <si>
    <t>Korea Polar Research Institute (KOPRI); Korea Disease Control &amp; Prevention Agency (KDCA); Korea Polar Research Institute (KOPRI); Sookmyung Women's University</t>
  </si>
  <si>
    <t>Kim, HW (corresponding author), Korea Polar Res Inst, Res Unit Cryogen Novel Mat, Incheon 21990, South Korea.;Kim, HW (corresponding author), Univ Sci &amp; Technol, Dept Polar Sci, Incheon 21990, South Korea.</t>
  </si>
  <si>
    <t>woong@kopri.re.kr; tuutoo92@dgmif.re.kr; parkak1003@gmail.com; zoeykim@kopri.re.kr; ssc@kopri.re.kr; junhyucklee@koprise.kr; doohunkim@sookmyung.ac.kr; hwkim@kopri.re.kr</t>
  </si>
  <si>
    <t>kim, han-woo/0000-0002-3074-0363</t>
  </si>
  <si>
    <t>Korea Polar Research Institute [KOPRI-PE22160]; National Research Foundation of Korea Grant from the Korean Government (MSIT; Ministry of Science and ICT)) [NRF-2021M1A5A1075524, KOPRI-PN22014]</t>
  </si>
  <si>
    <t>Korea Polar Research Institute(Korea Polar Research Institute of Marine Research Placement (KOPRI)); National Research Foundation of Korea Grant from the Korean Government (MSIT; Ministry of Science and ICT))(National Research Foundation of KoreaMinistry of Science &amp; ICT (MSIT), Republic of Korea)</t>
  </si>
  <si>
    <t>This research was supported by a National Research Foundation of Korea Grant from the Korean Government (MSIT; Ministry of Science and ICT) (NRF-2021M1A5A1075524) (KOPRI-PN22014). This research was also supported by the Korea Polar Research Institute (KOPRI-PE22160).</t>
  </si>
  <si>
    <t>2073-4352</t>
  </si>
  <si>
    <t>Crystals</t>
  </si>
  <si>
    <t>10.3390/cryst12040538</t>
  </si>
  <si>
    <t>Crystallography; Materials Science, Multidisciplinary</t>
  </si>
  <si>
    <t>Crystallography; Materials Science</t>
  </si>
  <si>
    <t>0S5KL</t>
  </si>
  <si>
    <t>WOS:000786312400001</t>
  </si>
  <si>
    <t>Orr, RJS; Di Martino, E; Ramsfjell, MH; Gordon, DP; Berning, B; Chowdhury, I; Craig, S; Cumming, RL; Figuerola, B; Florence, W; Harmelin, JG; Hirose, M; Huang, DW; Jain, SS; Jenkins, HL; Kotenko, ON; Kuklinski, P; Lee, HE; Madurell, T; McCann, L; Mello, HL; Obst, M; Ostrovsky, AN; Paulay, G; Porter, JS; Shunatova, NN; Smith, AM; Souto-Derungs, J; Vieira, LM; Voje, KL; Waeschenbach, A; Zágorsek, K; Warnock, RCM; Liow, LH</t>
  </si>
  <si>
    <t>Orr, Russell J. S.; Di Martino, Emanuela; Ramsfjell, Mali H.; Gordon, Dennis P.; Berning, Bjorn; Chowdhury, Ismael; Craig, Sean; Cumming, Robyn L.; Figuerola, Blanca; Florence, Wayne; Harmelin, Jean-Georges; Hirose, Masato; Huang, Danwei; Jain, Sudhanshi S.; Jenkins, Helen L.; Kotenko, Olga N.; Kuklinski, Piotr; Lee, Hannah E.; Madurell, Teresa; McCann, Linda; Mello, Hannah L.; Obst, Matthias; Ostrovsky, Andrew N.; Paulay, Gustav; Porter, Joanne S.; Shunatova, Natalia N.; Smith, Abigail M.; Souto-Derungs, Javier; Vieira, Leandro M.; Voje, Kjetil L.; Waeschenbach, Andrea; Zagorsek, Kamil; Warnock, Rachel C. M.; Liow, Lee Hsiang</t>
  </si>
  <si>
    <t>Paleozoic origins of cheilostome bryozoans and their parental care inferred by a new genome-skimmed phylogeny</t>
  </si>
  <si>
    <t>SCIENCE ADVANCES</t>
  </si>
  <si>
    <t>FOSSIL RECORD; QUANTITATIVE GENETICS; PHENOTYPIC EVOLUTION; ECOLOGY; SYSTEMATICS; SPECIATION; ORDOVICIAN; INFERENCES; ALGORITHM; RADIATION</t>
  </si>
  <si>
    <t>Phylogenetic relationships and the timing of evolutionary events are essential for understanding evolution on longer time scales. Cheilostome bryozoans are a group of ubiquitous, species-rich, marine colonial organisms with an excellent fossil record but lack phylogenetic relationships inferred from molecular data. We present genome-skimmed data for 395 cheilostomes and combine these with 315 published sequences to infer relationships and the timing of key events among c. 500 cheilostome species. We find that named cheilostome genera and species are phylogenetically coherent, rendering fossil or contemporary specimens readily delimited using only skeletal morphology. Our phylogeny shows that parental care in the form of brooding evolved several times independently but was never lost in cheilostomes. Our fossil calibration, robust to varied assumptions, indicates that the cheilostome lineage and parental care therein could have Paleozoic origins, much older than the first known fossil record of cheilostomes in the Late Jurassic.</t>
  </si>
  <si>
    <t>[Orr, Russell J. S.; Di Martino, Emanuela; Ramsfjell, Mali H.; Voje, Kjetil L.; Liow, Lee Hsiang] Univ Oslo, Nat Hist Museum, Oslo, Norway; [Gordon, Dennis P.] Natl Inst Water &amp; Atmospher Res, Wellington, New Zealand; [Berning, Bjorn] Oberosterreich Landes Kultur GmbH, Geosci Collect, Linz, Austria; [Chowdhury, Ismael; Craig, Sean; Lee, Hannah E.] Humboldt State Univ, Dept Biol Sci, Arcata, CA 95521 USA; [Cumming, Robyn L.] Museum Trop Queensland, Townsville, Qld, Australia; [Figuerola, Blanca; Madurell, Teresa] Inst Marine Sci ICM CSIC, Barcelona, Spain; [Florence, Wayne] Iziko Museums South Africa, Dept Res &amp; Exhibit, Cape Town, South Africa; [Harmelin, Jean-Georges] Univ Aix Marseille, GIS Posidonie, MIO, OSU Pytheas,Stn Marine Endoume, Marseille, France; [Hirose, Masato] Kitasato Univ, Sch Marine Biosci, Kitasato, Kanagawa, Japan; [Huang, Danwei; Jain, Sudhanshi S.] Natl Univ Singapore, Dept Biol Sci, Singapore, Singapore; [Jenkins, Helen L.] Marine Biol Assoc UK, Plymouth, Devon, England; [Jenkins, Helen L.; Vieira, Leandro M.; Waeschenbach, Andrea] Nat Hist Museum, London, England; [Kotenko, Olga N.; Ostrovsky, Andrew N.; Shunatova, Natalia N.] St Petersburg State Univ, Dept Invertebrate Zool, Fac Biol, St Petersburg, Russia; [Kuklinski, Piotr] Polish Acad Sci, Inst Oceanol, Sopot, Poland; [McCann, Linda] Smithsonian Environm Res Ctr, Tiburon, CA USA; [Mello, Hannah L.; Smith, Abigail M.] Univ Otago, Marine Sci, Dunedin, New Zealand; [Obst, Matthias] Univ Gothenburg, Dept Marine Sci, Gothenburg, Sweden; [Ostrovsky, Andrew N.; Souto-Derungs, Javier] Univ Vienna, Fac Earth Sci Geog &amp; Astron, Dept Palaeontol, Vienna, Austria; [Paulay, Gustav] Florida Museum Nat Hist, Gainesville, FL USA; [Porter, Joanne S.] Heriot Watt Univ, Int Ctr Isl Technol, Stromness, England; [Vieira, Leandro M.] Univ Fed Pernambuco, Dept Zool, Recife, PE, Brazil; [Zagorsek, Kamil] Tech Univ Liberec, Dept Geog, Liberec, Czech Republic; [Warnock, Rachel C. M.] Friedrich Alexander Univ Erlangen Nurnberg, GeoZentrum Nordbayern, Erlangen, Germany; [Liow, Lee Hsiang] Univ Oslo, Ctr Ecol &amp; Evolutionary Synth, Dept Biosci, Oslo, Norway</t>
  </si>
  <si>
    <t>University of Oslo; National Institute of Water &amp; Atmospheric Research (NIWA) - New Zealand; California State University System; California State Polytechnic University, Humboldt; Consejo Superior de Investigaciones Cientificas (CSIC); CSIC - Centro Mediterraneo de Investigaciones Marinas y Ambientales (CMIMA); CSIC - Instituto de Ciencias del Mar (ICM); Aix-Marseille Universite; Kitasato University; National University of Singapore; Marine Biological Association United Kingdom; Natural History Museum London; Saint Petersburg State University; Polish Academy of Sciences; Institute of Oceanology of the Polish Academy of Sciences; Smithsonian Institution; Smithsonian Environmental Research Center; University of Otago; University of Gothenburg; University of Vienna; Heriot Watt University; Universidade Federal de Pernambuco; Technical University Liberec; University of Erlangen Nuremberg; University of Oslo</t>
  </si>
  <si>
    <t>Orr, RJS; Liow, LH (corresponding author), Univ Oslo, Nat Hist Museum, Oslo, Norway.;Liow, LH (corresponding author), Univ Oslo, Ctr Ecol &amp; Evolutionary Synth, Dept Biosci, Oslo, Norway.</t>
  </si>
  <si>
    <t>russell_orr@hotmail.com; l.h.liow@nhm.uio.no</t>
  </si>
  <si>
    <t>Madurell, Teresa/E-6721-2013; Vieira, Leandro/B-7712-2011; Figuerola, Blanca/C-6252-2015; McCann, Linda/HRA-6328-2023; Souto, Javier/HLW-7120-2023; Zagorsek, Kamil/K-3199-2015; Kotenko, Olga N./H-3809-2014; Di Martino, Emanuela/GZG-2418-2022; Ostrovsky, Andrew/D-6439-2012; Shunatova, Natalia/M-3408-2013; Porter, Joanne/B-8060-2011</t>
  </si>
  <si>
    <t>Vieira, Leandro/0000-0001-8661-8861; Figuerola, Blanca/0000-0003-4731-9337; Zagorsek, Kamil/0000-0002-6089-1461; Kotenko, Olga N./0000-0003-1527-6109; Di Martino, Emanuela/0000-0002-3892-4036; Berning, Bjorn/0000-0002-0068-9739; Paulay, Gustav/0000-0003-4118-9797; Ostrovsky, Andrew/0000-0002-3646-9439; Gordon, Dennis/0000-0001-9398-996X; Shunatova, Natalia/0000-0003-1593-7552; Hamre Ramsfjell, Mali/0000-0002-2095-902X; Craig, Sean/0000-0002-0149-3455; Madurell, Teresa/0000-0002-3971-6773; Orr, Russell/0000-0002-1972-1321; Porter, Joanne/0000-0002-5878-3912</t>
  </si>
  <si>
    <t>European Research Council (ERC) under the European Union [724324]; National Science Centre of Poland [PANIC/2016/23/B/ST10/01936]; Leverhulme Trust [RPG-2016-429]; Russian Science Foundation [18-14-00086]; Conselho Nacional de Desenvolvimento Cientifico e Tecnologico, Brazil [PQ-CNPq 308768/2018-3]; Fundacao de Amparo a Pesquisa do Estado de Sao Paulo, Brazil [FAPESP 19/17721-9]; DISTANTCOM project [CTM2013-42667/ANT]; Beatriu de Pinos - AGAUR (Government of Catalonia) [2019-BP-00183]; Horizon 2020 programme under the Marie SklodowskaCurie grant [801370]; Australian Antarctic Division [53]; Japanese Science Foundation [53]; French Polar Institute IPEV [53]; Museum national d'Histoire naturelle [53]; ASSEMBLE Plus (Horizon 2020); Marie Curie Actions (MSCA) [801370] Funding Source: Marie Curie Actions (MSCA); European Research Council (ERC) [724324] Funding Source: European Research Council (ERC)</t>
  </si>
  <si>
    <t>European Research Council (ERC) under the European Union(European Research Council (ERC)); National Science Centre of Poland(National Science Centre, Poland); Leverhulme Trust(Leverhulme Trust); Russian Science Foundation(Russian Science Foundation (RSF)); Conselho Nacional de Desenvolvimento Cientifico e Tecnologico, Brazil(Conselho Nacional de Desenvolvimento Cientifico e Tecnologico (CNPQ)); Fundacao de Amparo a Pesquisa do Estado de Sao Paulo, Brazil(Fundacao de Amparo a Pesquisa do Estado de Sao Paulo (FAPESP)); DISTANTCOM project; Beatriu de Pinos - AGAUR (Government of Catalonia); Horizon 2020 programme under the Marie SklodowskaCurie grant; Australian Antarctic Division; Japanese Science Foundation; French Polar Institute IPEV; Museum national d'Histoire naturelle; ASSEMBLE Plus (Horizon 2020); Marie Curie Actions (MSCA)(Marie Curie Actions); European Research Council (ERC)(European Research Council (ERC)Spanish Government)</t>
  </si>
  <si>
    <t>This project is funded by the European Research Council (ERC) under the European Union's Horizon 2020 research and innovation programme (grant agreement no. 724324 to L.H.L.). Extra funding for specific sampling expeditions were provided by the National Science Centre of Poland (grant PANIC/2016/23/B/ST10/01936 to P.K.), the ASSEMBLE Plus (Horizon 2020), the Leverhulme Trust (Research Project Award RPG-2016-429 to A.W.), the Russian Science Foundation (grant 18-14-00086 to A.N.O.), Conselho Nacional de Desenvolvimento Cientifico e Tecnologico, Brazil [PQ-CNPq 308768/2018-3], Fundacao de Amparo a Pesquisa do Estado de Sao Paulo, Brazil [FAPESP 19/17721-9] and the DISTANTCOM project (CTM2013-42667/ANT to C. Avila). B.F. was supported by Beatriu de Pinos (2019-BP-00183), funded by the AGAUR (Government of Catalonia) and by the Horizon 2020 programme under the Marie SklodowskaCurie grant (no. 801370). The CAML-CEAMARC cruise of RV Aurora Australis (IPY project no. 53) were supported by the Australian Antarctic Division, the Japanese Science Foundation, the French Polar Institute IPEV, and the Museum national d'Histoire naturelle, led by voyage leader, M. Riddle.</t>
  </si>
  <si>
    <t>2375-2548</t>
  </si>
  <si>
    <t>SCI ADV</t>
  </si>
  <si>
    <t>Sci. Adv.</t>
  </si>
  <si>
    <t>eabm7452</t>
  </si>
  <si>
    <t>10.1126/sciadv.abm7452</t>
  </si>
  <si>
    <t>0H7BN</t>
  </si>
  <si>
    <t>WOS:000778886800013</t>
  </si>
  <si>
    <t>Orr, A; Ahmad, B; Alam, U; Appadurai, A; Bharucha, ZP; Biemans, H; Bolch, T; Chaulagain, NP; Dhaubanjar, S; Dimri, AP; Dixon, H; Fowler, HJ; Gioli, G; Halvorson, SJ; Hussain, A; Jeelani, G; Kamal, S; Khalid, IS; Liu, SY; Lutz, A; Mehra, MK; Miles, E; Momblanch, A; Muccione, V; Mukherji, A; Mustafa, D; Najmuddin, O; Nasimi, MN; Nüsser, M; Pandey, VP; Parveen, S; Pellicciotti, F; Pollino, C; Potter, E; Qazizada, MR; Ray, S; Romshoo, S; Sarkar, SK; Sawas, A; Sen, S; Shah, A; Shah, MAA; Shea, JM; Sheikh, AT; Shrestha, AB; Tayal, S; Tigala, S; Virk, ZT; Wester, P; Wescoat, JL</t>
  </si>
  <si>
    <t>Orr, Andrew; Ahmad, Bashir; Alam, Undala; Appadurai, ArivudaiNambi; Bharucha, Zareen P.; Biemans, Hester; Bolch, Tobias; Chaulagain, Narayan P.; Dhaubanjar, Sanita; Dimri, A. P.; Dixon, Harry; Fowler, Hayley J.; Gioli, Giovanna; Halvorson, Sarah J.; Hussain, Abid; Jeelani, Ghulam; Kamal, Simi; Khalid, Imran S.; Liu, Shiyin; Lutz, Arthur; Mehra, Meeta K.; Miles, Evan; Momblanch, Andrea; Muccione, Veruska; Mukherji, Aditi; Mustafa, Daanish; Najmuddin, Omaid; Nasimi, Mohammad N.; Nusser, Marcus; Pandey, Vishnu P.; Parveen, Sitara; Pellicciotti, Francesca; Pollino, Carmel; Potter, Emily; Qazizada, Mohammad R.; Ray, Saon; Romshoo, Shakil; Sarkar, Syamal K.; Sawas, Amiera; Sen, Sumit; Shah, Attaullah; Shah, M. Azeem Ali; Shea, Joseph M.; Sheikh, Ali T.; Shrestha, Arun B.; Tayal, Shresth; Tigala, Snehlata; Virk, Zeeshan T.; Wester, Philippus; Wescoat, James L., Jr.</t>
  </si>
  <si>
    <t>Knowledge Priorities on Climate Change and Water in the Upper Indus Basin: A Horizon Scanning Exercise to Identify the Top 100 Research Questions in Social and Natural Sciences</t>
  </si>
  <si>
    <t>EARTHS FUTURE</t>
  </si>
  <si>
    <t>Upper Indus basin; horizon scan; climate change; water; priority questions; knowledge gaps</t>
  </si>
  <si>
    <t>KUSH-HIMALAYAN REGION; WESTERN DISTURBANCES; ARTIFICIAL GLACIERS; CHANGE ADAPTATION; FOOD SECURITY; MASS BALANCES; RIVER-BASIN; KARAKORAM; PRECIPITATION; ASIA</t>
  </si>
  <si>
    <t>River systems originating from the Upper Indus Basin (UIB) are dominated by runoff from snow and glacier melt and summer monsoonal rainfall. These water resources are highly stressed as huge populations of people living in this region depend on them, including for agriculture, domestic use, and energy production. Projections suggest that the UIB region will be affected by considerable (yet poorly quantified) changes to the seasonality and composition of runoff in the future, which are likely to have considerable impacts on these supplies. Given how directly and indirectly communities and ecosystems are dependent on these resources and the growing pressure on them due to ever-increasing demands, the impacts of climate change pose considerable adaptation challenges. The strong linkages between hydroclimate, cryosphere, water resources, and human activities within the UIB suggest that a multi- and inter-disciplinary research approach integrating the social and natural/environmental sciences is critical for successful adaptation to ongoing and future hydrological and climate change. Here we use a horizon scanning technique to identify the Top 100 questions related to the most pressing knowledge gaps and research priorities in social and natural sciences on climate change and water in the UIB. These questions are on the margins of current thinking and investigation and are clustered into 14 themes, covering three overarching topics of governance, policy, and sustainable solutions, socioeconomic processes and livelihoods, and integrated Earth System processes. Raising awareness of these cutting-edge knowledge gaps and opportunities will hopefully encourage researchers, funding bodies, practitioners, and policy makers to address them.</t>
  </si>
  <si>
    <t>[Orr, Andrew] British Antarctic Survey, Cambridge, England; [Ahmad, Bashir] Natl Agr Res Ctr, Climate Energy &amp; Water Resources Inst, Islamabad, Pakistan; [Alam, Undala] Foreign Commonwealth &amp; Dev Off, London, England; [Appadurai, ArivudaiNambi] World Resources Inst, Bengaluru, India; [Bharucha, Zareen P.] Anglia Ruskin Univ, Global Sustainabil Inst, Cambridge, England; [Biemans, Hester] Wageningen Univ &amp; Res, Wageningen, Netherlands; [Bolch, Tobias] Univ St Andrews, St Andrews, Fife, Scotland; [Chaulagain, Narayan P.] Deutsch Gesell Int Zusammenarbeit, Kathmandu, Nepal; [Dhaubanjar, Sanita; Lutz, Arthur] Univ Utrecht, Utrecht, Netherlands; [Dhaubanjar, Sanita; Hussain, Abid; Shrestha, Arun B.; Wester, Philippus] Int Ctr Integrated Mt Dev, Kathmandu, Nepal; [Dimri, A. P.; Mehra, Meeta K.] Jawaharlal Nehru Univ, New Delhi, India; [Dixon, Harry] UK Ctr Ecol &amp; Amp Hydrol, Wallingford, Oxon, England; [Fowler, Hayley J.] Newcastle Univ, Newcastle Upon Tyne, Tyne &amp; Wear, England; [Gioli, Giovanna] Bath Spa Univ, Bath, Avon, England; [Halvorson, Sarah J.] Univ Montana, Missoula, MT 59812 USA; [Jeelani, Ghulam; Romshoo, Shakil] Univ Kashmir, Srinagar, India; [Kamal, Simi] Hissar Fdn, Karachi, Pakistan; [Khalid, Imran S.] World Wild Fund Nat Pakistan, Islamabad, Pakistan; [Liu, Shiyin] Yunnan Univ, Kunming, Yunnan, Peoples R China; [Miles, Evan; Pellicciotti, Francesca] Swiss Fed Inst Forest Snow &amp; Landscape Res WSL, Birmensdorf, Switzerland; [Momblanch, Andrea] Cranfield Univ, Cranfield, Beds, England; [Muccione, Veruska] Univ Zurich, Zurich, Switzerland; [Mukherji, Aditi] Int Water Management Inst, New Delhi, India; [Mustafa, Daanish] Kings Coll London, London, England; [Najmuddin, Omaid] Fujian Univ Technol, Fuzhou, Peoples R China; [Nasimi, Mohammad N.] Kabul Polytech Univ, Kabul, Afghanistan; [Nusser, Marcus] Heidelberg Univ, Heidelberg, Germany; [Pandey, Vishnu P.] Tribhuvan Univ, Kathmandu, Nepal; [Parveen, Sitara] Fatima Jinnah Degree Coll Women, Gilgit, Pakistan; [Pollino, Carmel] Commonwealth Sci &amp; Ind Res, Canberra, ACT, Australia; [Potter, Emily] Univ Leeds, Leeds, W Yorkshire, England; [Qazizada, Mohammad R.] Minist Agr Irrigat &amp; Livestock, Kabul, Afghanistan; [Ray, Saon] Indian Council Res Int Econ Relat, New Delhi, India; [Sarkar, Syamal K.; Tayal, Shresth; Tigala, Snehlata] Energy &amp; Resources Inst, New Delhi, India; [Sawas, Amiera] Act Aid UK, Lahore, Pakistan; [Sen, Sumit] Indian Inst Technol, Roorkee, Uttar Pradesh, India; [Shah, Attaullah] Karakoram Int Univ, Gilgit Baltistan, Pakistan; [Shah, M. Azeem Ali] Int Water Management Inst, Lahore, Pakistan; [Shea, Joseph M.] Univ Northern British Columbia, Prince George, BC, Canada; [Sheikh, Ali T.] Planning Commiss Pakistan, Islamabad, Pakistan; [Virk, Zeeshan T.] OXFAM, Islamabad, Pakistan; [Wescoat, James L., Jr.] MIT, 77 Massachusetts Ave, Cambridge, MA 02139 USA</t>
  </si>
  <si>
    <t>UK Research &amp; Innovation (UKRI); Natural Environment Research Council (NERC); NERC British Antarctic Survey; National Agricultural Research Council - Pakistan; Anglia Ruskin University; Wageningen University &amp; Research; University of St Andrews; Utrecht University; Jawaharlal Nehru University, New Delhi; Newcastle University - UK; Bath Spa University; University of Montana System; University of Montana; University of Kashmir; Yunnan University; Swiss Federal Institutes of Technology Domain; Swiss Federal Institute for Forest, Snow &amp; Landscape Research; Cranfield University; University of Zurich; CGIAR; International Water Management Institute (IWMI); University of London; King's College London; Fujian University of Technology; Ruprecht Karls University Heidelberg; Tribhuvan University; Commonwealth Scientific &amp; Industrial Research Organisation (CSIRO); University of Leeds; TERI University; Indian Institute of Technology System (IIT System); Indian Institute of Technology (IIT) - Roorkee; Karakoram International University; CGIAR; International Water Management Institute (IWMI); PCSIR Laboratories Complex; University of Northern British Columbia; Massachusetts Institute of Technology (MIT)</t>
  </si>
  <si>
    <t>Orr, A (corresponding author), British Antarctic Survey, Cambridge, England.</t>
  </si>
  <si>
    <t>anmcr@bas.ac.uk</t>
  </si>
  <si>
    <t>Miles, Evan/J-1286-2019; Shea, Joseph/JZD-3906-2024; Ray, Saon/AAE-7418-2020; Momblanch, Andrea/J-1848-2016; Liu, Shiyin/AAT-4278-2020; Dixon, Harry/I-9215-2012; Shah, Attaullah/S-1748-2019; Khalid, Imran/AAA-3353-2022; Ray, Saon/JFK-1093-2023; Bolch, Tobias/ABE-6635-2020; Nüsser, Marcus/N-2393-2015; Wester, Philippus/B-7186-2008; HUSSAIN, ABID/HLX-4328-2023; Pollino, Carmel A/F-3508-2011; Fowler, Hayley J/A-9591-2013; Romshoo, Shakil/A-2465-2012</t>
  </si>
  <si>
    <t>Miles, Evan/0000-0001-5446-8571; Shea, Joseph/0000-0002-4557-1283; Ray, Saon/0000-0002-0166-2271; Momblanch, Andrea/0000-0003-3165-4691; Liu, Shiyin/0000-0002-9625-7497; Shah, Attaullah/0000-0003-1720-5494; Bolch, Tobias/0000-0002-8201-5059; Nüsser, Marcus/0000-0002-8626-8336; Wester, Philippus/0000-0002-0126-7853; Pollino, Carmel A/0000-0003-4575-7544; Sen, Sumit/0000-0003-2293-2119; Mukherji, Aditi/0000-0002-8061-4349; Shrestha, Arun Bhakta/0000-0002-1757-6589; Dimri, A P/0000-0002-7832-8669; Hussain, Abid/0000-0001-8703-4681; Dhaubanjar, Sanita/0000-0003-2974-0427; Muccione, Veruska/0000-0002-9773-3125; Potter, Emily/0000-0001-5273-1292; Romshoo, Shakil/0000-0003-0070-5564</t>
  </si>
  <si>
    <t>government of Afghanistan; government of Australia; government of Bangladesh; government of Bhutan; government of China; government of India; government of Myanmar; government of Nepal; government of Norway; government of Pakistan; government of Sweden; government of Switzerland; National Environmental Research Council (NERC) National Capability Overseas Development Assistance under the grant `Polar expertise - Supporting development' [NE/R000107/1]; government of Austria</t>
  </si>
  <si>
    <t>government of Afghanistan; government of Australia; government of Bangladesh; government of Bhutan; government of China; government of India; government of Myanmar; government of Nepal; government of Norway; government of Pakistan; government of Sweden; government of Switzerland; National Environmental Research Council (NERC) National Capability Overseas Development Assistance under the grant `Polar expertise - Supporting development'; government of Austria</t>
  </si>
  <si>
    <t>We are grateful for the many experts who completed the horizon scan survey to nominate their top 3-5 research questions related to the impact of climate variability and change on water resources in the UIB. This study was partially supported by core funds of ICIMOD contributed by the governments of Afghanistan, Australia, Austria, Bangladesh, Bhutan, China, India, Myanmar, Nepal, Norway, Pakistan, Sweden, and Switzerland. AO was supported by funding from the National Environmental Research Council (NERC) National Capability Overseas Development Assistance under the grant `Polar expertise - Supporting development' (NE/R000107/1). The views and interpretations in this publication are those of the author's and they are not necessarily attributable to their organizations. Finally, we are grateful for the expert comments by two anonymous reviewers on an earlier version of this article.</t>
  </si>
  <si>
    <t>2328-4277</t>
  </si>
  <si>
    <t>Earth Future</t>
  </si>
  <si>
    <t>e2021EF002619</t>
  </si>
  <si>
    <t>10.1029/2021EF002619</t>
  </si>
  <si>
    <t>0O8CH</t>
  </si>
  <si>
    <t>WOS:000783750700001</t>
  </si>
  <si>
    <t>Kodolányi, J; Hoppe, P; Vollmer, C; Berndt, J; Müller, M</t>
  </si>
  <si>
    <t>Kodolanyi, Janos; Hoppe, Peter; Vollmer, Christian; Berndt, Jasper; Mueller, Maren</t>
  </si>
  <si>
    <t>Iron-60 in the Early Solar System Revisited: Insights from In Situ Isotope Analysis of Chondritic Troilite</t>
  </si>
  <si>
    <t>PARENT-BODY; FE-60-NI-60 SYSTEMATICS; CORE FORMATION; AL-26-MG-26 SYSTEMATICS; CARBONACEOUS CHONDRITE; INITIAL ABUNDANCE; CHONDRULES; FE-60; AL-26; PLANETESIMALS</t>
  </si>
  <si>
    <t>We measured the nickel isotope composition of troilites from chondritic meteorites using the NanoSIMS to put constraints on the abundance of iron-60 in the early solar system. The troilites were selected from petrologic type 3 ordinary and carbonaceous chondrites. Based on petrographic observations and mineral chemistry, the troilites targeted for isotope analysis crystallized from melts, most likely in a nebular setting. Our isotope analyses did not reveal any significant correlation between nickel-60 enrichments and Fe/Ni ratios, either in the entire set of troilite grains or in individual troilites. The average inferred initial Fe-60/Fe-56 ratio of the studied troilites (i.e., the Fe-60/Fe-56 ratio calculated for the entire troilite population) is 1.05 (+/- 1.48) x10(-8). This value is very similar to those estimated in the past for Semarkona chondrules, angrites, as well as diogenites and eucrites, based on the isotope analyses of bulk samples (10(-9)-10(-8)), but about two orders of magnitude smaller than the average initial Fe-60/Fe-56 ratios inferred previously for Semarkona troilites and many chondrules from ordinary and carbonaceous chondrites (10(-7)-10(-6)) using in situ analysis techniques. Based on petrographic evidence, and the generally unequilibrated nature of our samples, as well as on the timing of chondrule formation and planetary evolution, the lack of discernible signs of in situ iron-60 decay in the studied troilites is probably unrelated to metamorphic re-equilibration, and it is also not the result of a late formation of the troilites. We suggest that the highest inferred initial Fe-60/Fe-56 ratios reported in the literature are probably inaccurate.</t>
  </si>
  <si>
    <t>[Kodolanyi, Janos; Hoppe, Peter] Max Planck Inst Chem, Hahn Meitner Weg 1, D-55128 Mainz, Germany; [Vollmer, Christian; Berndt, Jasper] Univ Munster, Inst Mineral, Corrensstr 24, D-48149 Munster, Germany; [Mueller, Maren] Max Planck Inst Polymer Res, Ackermannweg 10, D-55128 Mainz, Germany</t>
  </si>
  <si>
    <t>Max Planck Society; University of Munster; Max Planck Society</t>
  </si>
  <si>
    <t>Kodolányi, J (corresponding author), Max Planck Inst Chem, Hahn Meitner Weg 1, D-55128 Mainz, Germany.</t>
  </si>
  <si>
    <t>j.kodolanyi@mpic.de</t>
  </si>
  <si>
    <t>Hoppe, Peter/B-3032-2015</t>
  </si>
  <si>
    <t>Hoppe, Peter/0000-0003-3681-050X; Vollmer, Christian/0000-0002-7768-7651; Kodolanyi, Janos/0000-0001-5710-0537</t>
  </si>
  <si>
    <t>German Research Foundation (DFG) Special Priority Programme 1833 [HO2163/3-1, VO1816/4-1]; NSF; NASA; DFG [INST 211/719-1]</t>
  </si>
  <si>
    <t>German Research Foundation (DFG) Special Priority Programme 1833(German Research Foundation (DFG)); NSF(National Science Foundation (NSF)); NASA(National Aeronautics &amp; Space Administration (NASA)); DFG(German Research Foundation (DFG))</t>
  </si>
  <si>
    <t>We thank Elmar Groner and Philipp Schuhmann for technical support on NanoSIMS. Our project was financially supported by the German Research Foundation (DFG) Special Priority Programme 1833 (grant Nos. HO2163/3-1, VO1816/4-1). Thin sections of QUE 97008, MET 00526, ALHA77307, and DOM 08006 were provided by the Antarctic Search for Meteorites (ANSMET) program. US Antarctic meteorite samples are recovered by the ANSMET program, which has been funded by NSF and NASA, and characterized and curated by the Department of Mineral Sciences of the Smithsonian Institution and Astromaterials Curation Office at NASA Johnson Space Center. We also acknowledge funding of the ThermoFisher TEM Themis by the DFG via the Major Research Instrumentation Program under INST 211/719-1. The comments and suggestions of Andrew M. Davis and an anonymous reviewer helped greatly to improve the paper.</t>
  </si>
  <si>
    <t>10.3847/1538-4357/ac5910</t>
  </si>
  <si>
    <t>0O1WI</t>
  </si>
  <si>
    <t>WOS:000783321100001</t>
  </si>
  <si>
    <t>Panter, KS; Li, Y; Smellie, JL; Blusztajn, J; Reindel, J; Odegaard, K; Spicuzza, MJ; Hart, S</t>
  </si>
  <si>
    <t>Panter, K. S.; Li, Y.; Smellie, J. L.; Blusztajn, J.; Reindel, J.; Odegaard, K.; Spicuzza, M. J.; Hart, S.</t>
  </si>
  <si>
    <t>Mantle sources and melting processes beneath East Antarctica: geochemical and isotopic (Sr, Nd, Pb, O) characteristics of alkaline and tholeiite basalt from the Earth's southernmost (87° S) volcanoes</t>
  </si>
  <si>
    <t>CONTRIBUTIONS TO MINERALOGY AND PETROLOGY</t>
  </si>
  <si>
    <t>Olivine oxygen isotopes; Partial melting; Intraplate volcanism; Monogenetic volcanism; West Antarctic rift system; Lithospheric detachment</t>
  </si>
  <si>
    <t>NORTHERN VICTORIA LAND; MARIE BYRD LAND; PALEO-PACIFIC MARGIN; DRONNING MAUD LAND; TRACE-ELEMENT; WEST ANTARCTICA; ORTHO-PYROXENE; PHOENIX RIDGE; ROSS SEA; TRANSANTARCTIC MOUNTAINS</t>
  </si>
  <si>
    <t>Mount Early and Sheridan Bluff (87 degrees S) are the above-ice expression of Earth's southernmost volcanic field and are isolated by &gt; 1000 km from any other exposed Cenozoic volcano in Antarctica. These monogenetic, Early Miocene volcanoes consist of olivine-phyric basaltic pillow lavas and breccias (Mount Early) and pahoehoe lavas (Sheridan Bluff) whose differentiation is controlled by the fractional crystallization of olivine with lesser quantities of clinopyroxene, plagioclase and magnetite. Fractional crystallization or contamination by crust cannot account for the coexistence of olivine tholeiite and alkaline compositions but their relationship can be explained by change from higher (5-6%) to lower (1.5-2%) degrees of partial melting concurrent with a decrease in peridotite-melt reaction in a mantle that is heterogeneous on a small-scale. Both magma types have geochemical and isotopic signatures that differentiate them from most of the volcanism found within the West Antarctic rift system. Data trends in Sr-Nd-Pb isotope space indicate mixing of at least two-distinct mantle sources: (1) a relatively depleted component similar to sources for mid-ocean ridge basalt from the extinct Antarctic-Phoenix spreading center, and (2) an enriched component similar to sources for mafic magmas of the Jurassic Karoo-Ferrar large igneous provinces. The availability of these mantle source types was facilitated by the detachment, sinking and heating of metasomatized continental lithosphere (enriched source) that released volatiles into the surrounding asthenosphere (depleted source) to promote flux melting. Volcanism triggered by lithospheric detachment is, therefore, explicitly applied to Mount Early and Sheridan Bluff to explain their isolation and enigmatic tectonic setting but also to account for source heterogeneity and the ephemeral change in degree of mantle partial melting recorded in their mafic compositions.</t>
  </si>
  <si>
    <t>[Panter, K. S.; Li, Y.; Reindel, J.; Odegaard, K.] Bowling Green State Univ, Sch Earth Environm &amp; Soc, Bowling Green, OH 43403 USA; [Smellie, J. L.] Univ Leicester, Sch Geog Geol &amp; Environm, Leicester LE1 7RH, Leics, England; [Blusztajn, J.; Hart, S.] Woods Hole Oceanog Inst, Woods Hole, MA 02543 USA; [Spicuzza, M. J.] Univ Wisconsin, Dept Geosci, Madison, WI 53706 USA</t>
  </si>
  <si>
    <t>University System of Ohio; Bowling Green State University; University of Leicester; Woods Hole Oceanographic Institution; University of Wisconsin System; University of Wisconsin Madison</t>
  </si>
  <si>
    <t>Panter, KS (corresponding author), Bowling Green State Univ, Sch Earth Environm &amp; Soc, Bowling Green, OH 43403 USA.</t>
  </si>
  <si>
    <t>kpanter@bgsu.edu</t>
  </si>
  <si>
    <t>U.S. National Science Foundation [NSF-PLR 1443576]; DOE [DE-FG02-93ER14389, DE-SC0020666]; U.S. Department of Energy (DOE) [DE-FG02-93ER14389, DE-SC0020666] Funding Source: U.S. Department of Energy (DOE)</t>
  </si>
  <si>
    <t>U.S. National Science Foundation(National Science Foundation (NSF)); DOE(United States Department of Energy (DOE)); U.S. Department of Energy (DOE)(United States Department of Energy (DOE))</t>
  </si>
  <si>
    <t>We thank Ed Stump for providing local geological and logistical information prior to our 2015 expedition, Tim Burton for his invaluable assistance in the field and all U.S. Antarctic Program personnel in McMurdo and at the Shackleton Glacier transit camp for their logistical support. Gordon Moore and Owen Neill are thanked for their expertise and guidance in mineral analysis at the University of Michigan. John Valley assisted in analysis and interpretation of oxygen isotope ratios at the University of Wisconsin. Funding for this project was provided by a U.S. National Science Foundation grant NSF-PLR 1443576 (KSP) that helped to support thesis research for Y. Li and J. Reindel, and undergraduate research for K. Odegaard. MJS was supported by DOE grants (DE-FG02-93ER14389 and DE-SC0020666) to JV. We appreciate the comments provided by two anonymous reviewers along with the suggestions and the careful editorial handling of this manuscript by Othmar Muntener, altogether, significantly improving the presentation of our study.</t>
  </si>
  <si>
    <t>0010-7999</t>
  </si>
  <si>
    <t>1432-0967</t>
  </si>
  <si>
    <t>CONTRIB MINERAL PETR</t>
  </si>
  <si>
    <t>Contrib. Mineral. Petrol.</t>
  </si>
  <si>
    <t>10.1007/s00410-022-01914-9</t>
  </si>
  <si>
    <t>Geochemistry &amp; Geophysics; Mineralogy</t>
  </si>
  <si>
    <t>0N7AR</t>
  </si>
  <si>
    <t>WOS:000782987100001</t>
  </si>
  <si>
    <t>Guo, YM; Bishop, SP</t>
  </si>
  <si>
    <t>Guo, Yiming; Bishop, Stuart P.</t>
  </si>
  <si>
    <t>Surface Divergent Eddy Heat Fluxes and Their Impacts on Mixed Layer Eddy-Mean Flow Interactions</t>
  </si>
  <si>
    <t>ocean mesoscale; heat flux; eddy-mean flow interaction</t>
  </si>
  <si>
    <t>ANTARCTIC CIRCUMPOLAR CURRENT; GULF-STREAM; KUROSHIO EXTENSION; IN-SITU; EDDIES; ENERGETICS; COMPENSATION; TRANSPORTS; DYNAMICS; MODE</t>
  </si>
  <si>
    <t>In this study, the global surface divergent eddy heat flux (EHF) is estimated using remote sensing observations of sea surface height (SSH) and sea surface temperature (SST) over two decades (1993-2017). These results are used as a metric to assess model fidelity in a mesoscale eddy-resolving version of the Community Earth System Model. The estimated EHFs show that the midlatitudes significantly contribute to the poleward transport of heat because of strong regional variability in SSH and SST. A Helmholtz decomposition is performed on the global EHFs to remove prominent nondynamic rotational wave-like structures that appear in these fluxes. The dynamic divergent EHFs are responsible for driving cross-frontal exchange and positive Baroclinic Conversion (BC) rates, suggesting a conversion of mean potential energy to eddy potential energy within the mixed layer. The results show that the model captures the same spatial patterns of EHFs and BC rates, but with relatively higher values in the midlatitudes than observations. The mixed layer geostrophic meridional eddy heat transport reaches maximums of 0.07 PW and 0.1 PW in the midlatitudes in the observations and climate model, respectively. The global integrated BC rate is 0.11 TW in the observations, which is similar to 30% weaker than the climate model (0.16 TW). A cross-spectral analysis further shows that the model has higher energy in low-frequency bands for periods greater than 10 months in the northern hemisphere western boundary currents, but can capture the major spectral peaks in EHFs that are seen in observations.</t>
  </si>
  <si>
    <t>[Guo, Yiming; Bishop, Stuart P.] North Carolina State Univ, Raleigh, NC 27695 USA</t>
  </si>
  <si>
    <t>North Carolina State University</t>
  </si>
  <si>
    <t>Guo, YM (corresponding author), North Carolina State Univ, Raleigh, NC 27695 USA.</t>
  </si>
  <si>
    <t>yguo20@ncsu.edu</t>
  </si>
  <si>
    <t>Guo, Yiming/HLP-7539-2023</t>
  </si>
  <si>
    <t>Guo, Yiming/0000-0001-8032-0685</t>
  </si>
  <si>
    <t>National Science Foundation [2023590]; Division Of Ocean Sciences; Directorate For Geosciences [2023590] Funding Source: National Science Foundation</t>
  </si>
  <si>
    <t>National Science Foundation(National Science Foundation (NSF)); Division Of Ocean Sciences; Directorate For Geosciences(National Science Foundation (NSF)NSF - Directorate for Geosciences (GEO))</t>
  </si>
  <si>
    <t>This work was supported by the National Science Foundation through the Award 2023590. We thank the US CLIVAR workshop on the Sources and Sinks of Mesoscale Eddy Energy held in Tallahassee, Florida on March, 2019. This work was greatly improved by discussions during the workshop. We thank Stephen Griffies, Annalisa Bracco, and two anonymous reviewers for their help in improving this manuscript.</t>
  </si>
  <si>
    <t>e2021MS002863</t>
  </si>
  <si>
    <t>10.1029/2021MS002863</t>
  </si>
  <si>
    <t>0N9FJ</t>
  </si>
  <si>
    <t>WOS:000783135000001</t>
  </si>
  <si>
    <t>Wong, JM; Meredith, NP; Horne, RB; Glauert, SA; Ross, JPJ</t>
  </si>
  <si>
    <t>Wong, Jin-Mann; Meredith, Nigel P.; Horne, Richard B.; Glauert, Sarah A.; Ross, Johnathan P. J.</t>
  </si>
  <si>
    <t>Electron Diffusion by Magnetosonic Waves in the Earth's Radiation Belts</t>
  </si>
  <si>
    <t>radiation belts; magnetosonic waves; electron diffusion</t>
  </si>
  <si>
    <t>EQUATORIAL NOISE; PITCH-ANGLE; INNER; SCATTERING; MODEL; CRRES; MAGNETOSPHERE; SPACECRAFT; LIFETIMES; ANOMALIES</t>
  </si>
  <si>
    <t>We conduct a global survey of magnetosonic waves and compute the associated bounce- and drift-averaged diffusion coefficients, taking into account colocated measurements of f(pe)/f(ce), to assess the role of magnetosonic waves in radiation belt dynamics. The average magnetosonic wave intensities increase with increasing geomagnetic activity and decreasing relative frequency with the majority of the wave power in the range f(cp) f f(LHR) during active conditions. In the region 4.0 &lt;= L* &lt;= 5.0, the bounce- and drift-averaged energy diffusion rates due to magnetosonic waves never exceed those due to whistler mode chorus, suggesting that whistler mode chorus is the dominant mode for electron energization to relativistic energies in this region. Further in, in the region 2.0 &lt;= L* &lt;= 3.5, the bounce- and drift-averaged pitch angle diffusion rates due to magnetosonic waves can exceed those due to plasmaspheric hiss and very low frequency (VLF) transmitters over energy-dependent ranges of intermediate pitch angles. We compute electron lifetimes by solving the 1D pitch angle diffusion equation including the effects of plasmaspheric hiss, VLF transmitters, and magnetosonic waves. We find that magnetosonic waves can have a significant effect on electron loss timescales in the slot region reducing the loss timescales during active times from 5.6 to 1.5 days for 500 keV electrons at L* = 2.5 and from 140.4 to 35.7 days for 1 MeV electrons at L* = 2.0.</t>
  </si>
  <si>
    <t>[Wong, Jin-Mann; Meredith, Nigel P.; Horne, Richard B.; Glauert, Sarah A.; Ross, Johnathan P. J.] British Antarctic Survey, Nat Environm Res Council, Cambridge, England</t>
  </si>
  <si>
    <t>Wong, JM (corresponding author), British Antarctic Survey, Nat Environm Res Council, Cambridge, England.</t>
  </si>
  <si>
    <t>jinng@bas.ac.uk</t>
  </si>
  <si>
    <t>Horne, Richard B/U-3764-2019</t>
  </si>
  <si>
    <t>Horne, Richard B/0000-0002-0412-6407; Ross, Johnathan/0000-0001-5282-3293; Wong, Jin-Mann/0000-0002-4729-075X</t>
  </si>
  <si>
    <t>Natural Environment Research Council (NERC) Highlight Topic grant [NE/P01738X/1]; NERC [NE/V00249X/1, NE/R016038/1]; NERC [NE/P01738X/1, NE/R016038/1] Funding Source: UKRI; SPF [NE/V00249X/1] Funding Source: UKRI</t>
  </si>
  <si>
    <t>Natural Environment Research Council (NERC) Highlight Topic grant(UK Research &amp; Innovation (UKRI)Natural Environment Research Council (NERC)); NERC(UK Research &amp; Innovation (UKRI)Natural Environment Research Council (NERC)); NERC(UK Research &amp; Innovation (UKRI)Natural Environment Research Council (NERC)); SPF</t>
  </si>
  <si>
    <t>We acknowledge the NASA Van Allen Probes and Craig Kletzing for use of the EMFISIS data, available online (https://emfisis.physics.uiowa.edu/data/index).We also acknowledge the Radiation Belt Storm Probes ECT Science Operations and Data Center for the provision of the magnetic ephemeris data, available online (https://www.rbsp-ect.lanl.gov/data-pub/rbspa/MagEphem/).We thank the NSSDC Omniweb for the provision of the Kp indices used in this paper. The research leading to these results has received funding from the Natural Environment Research Council (NERC) Highlight Topic grant NE/P01738X/1 (Rad-Sat) and the NERC grants NE/V00249X/1 (Sat-Risk) and NE/R016038/1.</t>
  </si>
  <si>
    <t>e2021JA030196</t>
  </si>
  <si>
    <t>10.1029/2021JA030196</t>
  </si>
  <si>
    <t>0O0ED</t>
  </si>
  <si>
    <t>WOS:000783201200001</t>
  </si>
  <si>
    <t>McKay, R; Albot, O; Dunbar, GB; Lee, JI; Lee, MK; Yoo, KC; Kim, S; Turton, N; Kulhanek, D; Patterson, M; Levy, R</t>
  </si>
  <si>
    <t>McKay, Robert; Albot, Olga; Dunbar, Gavin B.; Lee, Jae Il; Lee, Min Kyung; Yoo, Kyu-Cheul; Kim, Sunghan; Turton, Nikita; Kulhanek, Denise; Patterson, Molly; Levy, Richard</t>
  </si>
  <si>
    <t>A Comparison of Methods for Identifying and Quantifying Ice Rafted Debris on the Antarctic Margin</t>
  </si>
  <si>
    <t>WILKES LAND MARGIN; SEDIMENTARY PROCESSES; LASER DIFFRACTION; CONTINENTAL RISE; HEINRICH EVENTS; SOUTH ATLANTIC; NORDIC SEAS; OCEAN; SHEET; DEPOSITION</t>
  </si>
  <si>
    <t>Quantification of ice rafted debris (IRD) abundances in deep-sea records is often used as a key proxy for identifying links between ice sheet instability and the oceanic overturning circulation. There currently exist multiple methods to determine IRD content in deep-sea sediment cores. The preference for a given method is often determined by the accessibility to core material and destructive nature of some methods. While many studies have discussed the caveats between linking IRD to ice sheet dynamics, the uncertainties relating to the methodological approaches are often not considered in the interpretation or comparisons between different IRD datasets, particularly in the Antarctic. To address this, we compare three independent methodologies of obtaining IRD abundances and also discuss how different approaches will affect determinations of mass accumulation rates (MARs). The three methodologies we examine include: counting clasts &gt;2 mm in x-radiographs; the sieved weight percentage of the medium-to-coarse sand fraction (250 mu m-2 mm); and volumetric estimates of the &gt;125 mu m sand fraction using laser diffraction particle size analysis. The x-radiograph and sieve methods produced comparable results, while the laser particle size analysis, although showing comparable long-term signals at most locations, in general has lower correlation to the other two methods and therefore a higher potential to obtain a noisy signal. We discuss the caveats associated with all methods, and emphasize that a combination of multiple methods should ideally be employed when assessing if a core is suitable for IRD study, and if sand or gravel fractions are accurately reflecting contents of IRD.</t>
  </si>
  <si>
    <t>[McKay, Robert; Albot, Olga; Dunbar, Gavin B.; Turton, Nikita; Levy, Richard] Victoria Univ Wellington, Antarctic Res Ctr, Wellington, New Zealand; [Lee, Jae Il; Lee, Min Kyung; Yoo, Kyu-Cheul; Kim, Sunghan] Korea Polar Res Inst, Incheon, South Korea; [Turton, Nikita; Levy, Richard] GNS Sci, Lower Hutt, New Zealand; [Kulhanek, Denise] Christian Albrechts Univ Kiel, Inst Geowissensch, Kiel, Germany; [Patterson, Molly] SUNY Binghamton, Dept Geol Sci, Binghamton, NY USA</t>
  </si>
  <si>
    <t>Victoria University Wellington; Korea Polar Research Institute (KOPRI); GNS Science - New Zealand; University of Kiel; State University of New York (SUNY) System; State University of New York (SUNY) Binghamton</t>
  </si>
  <si>
    <t>McKay, R (corresponding author), Victoria Univ Wellington, Antarctic Res Ctr, Wellington, New Zealand.</t>
  </si>
  <si>
    <t>rohert.mckay@vuw.ac.nz</t>
  </si>
  <si>
    <t>Kim, Sunghan/CAG-2289-2022</t>
  </si>
  <si>
    <t>Patterso, Molly/0000-0002-5058-9269; McKay, Robert/0000-0002-5602-6985</t>
  </si>
  <si>
    <t>Royal Society Te Aparangi Marsden Fund [18-VUW-089]; New Zealand Ministry of Business, Innovation and Employment through the Antarctic Science Platform [ANTA1801]; Korea Polar Research Institute (KOPRI) [PE22090]; Australian Government through the Australian Research Council's LIEF funding scheme [LE0882854]; Australian Research Council [LE0882854] Funding Source: Australian Research Council</t>
  </si>
  <si>
    <t>Royal Society Te Aparangi Marsden Fund(Royal Society of New Zealand); New Zealand Ministry of Business, Innovation and Employment through the Antarctic Science Platform(New Zealand Ministry of Business, Innovation and Employment (MBIE)); Korea Polar Research Institute (KOPRI)(Korea Polar Research Institute of Marine Research Placement (KOPRI)); Australian Government through the Australian Research Council's LIEF funding scheme; Australian Research Council(Australian Research Council)</t>
  </si>
  <si>
    <t>We thank the crews of R/V Araon for their support. New Zealand funding was provided by Royal Society Te Aparangi Marsden Fund (18-VUW-089) and the New Zealand Ministry of Business, Innovation and Employment through the Antarctic Science Platform (ANTA1801). This research was funded by the Korea Polar Research Institute (KOPRI) project PE22090. We thank the Integrated Ocean Drilling Program (IODP) and the Australia-New Zealand IODP Consortium (ANZIC). ANZIC is supported by the Australian Government through the Australian Research Council's LIEF funding scheme [LE0882854] and the Australian and New Zealand consortium of universities and government agencies. Open access publishing facilitated by Victoria University of Wellington, as part of the Wiley -Victoria University of Wellington agreement via the Council of Australian University Librarians.</t>
  </si>
  <si>
    <t>e2021PA004404</t>
  </si>
  <si>
    <t>10.1029/2021PA004404</t>
  </si>
  <si>
    <t>0O3MX</t>
  </si>
  <si>
    <t>WOS:000783434200001</t>
  </si>
  <si>
    <t>Shan, LL; Yao, YB; Kong, J; Zhai, CZ; Zhou, C; Chen, XX</t>
  </si>
  <si>
    <t>Shan, L. L.; Yao, Y. B.; Kong, J.; Zhai, C. Z.; Zhou, C.; Chen, X. X.</t>
  </si>
  <si>
    <t>Three-Dimensional Reconstruction of Tongue of Ionization During the 11 October 2010 Geomagnetic Storm and Evolution Analysis With TIEGCM</t>
  </si>
  <si>
    <t>SPACE WEATHER-THE INTERNATIONAL JOURNAL OF RESEARCH AND APPLICATIONS</t>
  </si>
  <si>
    <t>total electron content; computerized ionospheric tomography; tongue of ionization; data fusion; convection pattern; formation mechanism</t>
  </si>
  <si>
    <t>HIGH-LATITUDE; POLAR TONGUE; IONOSPHERIC DISTURBANCES; ENHANCED DENSITY; MODEL; CONVECTION; CAP</t>
  </si>
  <si>
    <t>The three-dimensional computerized ionospheric tomography (3DCIT) technique that fused multisource data is used to reconstruct the spatial distribution of tongue of ionization (TOI) appeared over Greenland during a moderate geomagnetic storm on 11 October 2010. The reconstruction results are validated with observations from the constellation observing system for meteorology, ionosphere, and climate radio occultations and two ionosonde stations, which show good agreements. The 3DCIT images indicated a zone of high electron density (magnitude of similar to 5 TECU) that crossed northern Greenland and electrons were input into the polar region in the anti-sunward direction after aggregating at midlatitudes, which formed a TOI. The images also revealed that the TOI magnitude was larger in the upper ionosphere ssand lower at 300 and 500 km but still noticeable. Below 300 km, the TOI was difficult to detect. The simulation result of the Thermosphere-Ionosphere-Electrodynamic General Circulation Model (TIEGCM) also showed the same TOI structure. Then, we combined the measured ionospheric data and term-by-term analysis of the ion continuity formula in TIEGCM to further identify the principal TOI formation mechanisms. We assume that the dominant TOI formation mechanism is electric field transport, which is offset by ambipolar diffusion and neutral wind transport. Furthermore, the uplift of electrons and the insignificant effect of other physical processes explained the insignificant TOI in lower ionosphere. Plain Language Summary During geomagnetic disturbances, dense plasma is transported to the polar cap region from the dayside midlatitudes under the influence of the polar convection electric field, subsequently forming tongues of ionization (TOI). TOIs would further trigger the ionospheric plasma irregularities, which negatively affect satellite communications and Global Navigation Satellite Systems. Therefore, it is necessary to explore its evolution process and formation mechanisms. With the increasingly abundant ionospheric detection data, three-dimensional computerized ionospheric tomography can be used to track the vertical electron density evolution in TOIs with high accuracy and can make up for the deficiencies of other observation techniques. Meanwhile, physical models are also widely used in the TOIs research to reveal the TOIs formation mechanisms. Hence, the combination of the physical model simulations and 3D TEC observations is an effective means of explaining mechanisms and reproducing process. However, most studies on TOIs focus on periods with violent geomagnetic storms. To explore the evolution of TOIs in weak or moderate geomagnetic storms, we focused on a moderate geomagnetic storm that occurred on 11 October 2010 (DOY284), and the measured ionospheric data and Thermosphere-Ionosphere-Electrodynamic General Circulation Models are used to explore the principal mechanisms of TOIs formation.</t>
  </si>
  <si>
    <t>[Shan, L. L.; Yao, Y. B.; Chen, X. X.] Wuhan Univ, Sch Geodesy &amp; Geomat, Wuhan, Peoples R China; [Yao, Y. B.] Wuhan Univ, Key Lab Geospace Environm &amp; Geodesy, Minist Educ, Wuhan, Peoples R China; [Kong, J.] Wuhan Univ, Chinese Antarctic Ctr Surveying &amp; Mapping, Wuhan, Peoples R China; [Zhai, C. Z.] Hohai Univ, Sch Earth Sci &amp; Engn, Nanjing, Peoples R China; [Zhou, C.] Wuhan Univ, Sch Elect Informat, Wuhan, Peoples R China</t>
  </si>
  <si>
    <t>Wuhan University; Wuhan University; Wuhan University; Hohai University; Wuhan University</t>
  </si>
  <si>
    <t>Yao, YB (corresponding author), Wuhan Univ, Sch Geodesy &amp; Geomat, Wuhan, Peoples R China.;Yao, YB (corresponding author), Wuhan Univ, Key Lab Geospace Environm &amp; Geodesy, Minist Educ, Wuhan, Peoples R China.;Kong, J (corresponding author), Wuhan Univ, Chinese Antarctic Ctr Surveying &amp; Mapping, Wuhan, Peoples R China.</t>
  </si>
  <si>
    <t>ybyao@whu.edu.cn; jkong@whu.edu.cn</t>
  </si>
  <si>
    <t>Zhai, Changzhi/JQW-2878-2023; Yao, Yibin/B-1395-2013</t>
  </si>
  <si>
    <t>zhai, changzhi/0000-0003-0183-2063; Shan, Lulu/0000-0002-8772-4233; Yao, Yibin/0000-0002-7723-4601</t>
  </si>
  <si>
    <t>National Natural Fund of China [41874003]; Fundamental Research Funds for the Central Universities [2042019KF0212]; Key Laboratory of Geospace Environment and Geodesy, Ministry of Education, Wuhan University; Air Force Office of Scientific Research</t>
  </si>
  <si>
    <t>National Natural Fund of China; Fundamental Research Funds for the Central Universities(Fundamental Research Funds for the Central Universities); Key Laboratory of Geospace Environment and Geodesy, Ministry of Education, Wuhan University; Air Force Office of Scientific Research(United States Department of DefenseAir Force Office of Scientific Research (AFOSR))</t>
  </si>
  <si>
    <t>This work was sponsored by the National Natural Fund of China (No. 41874003), the Fundamental Research Funds for the Central Universities (No. 2042019KF0212), and Key Laboratory of Geospace Environment and Geodesy, Ministry of Education, Wuhan University. The authors are grateful to the anonymous reviewers and editor for highlighting the technical issues and their really useful suggestions. The authors also thank researchers of HAO NCAR for the TIEGCM model operation, and Prof. J. Michael Ruohoniemi and Dr. Shibaji Chakraborty of Virginia Tech for potential data and verification. This publication makes use of data from the Qaanaaq ionosonde and Sondrestrom ionosonde. The Qaanaaq ionosonde is owned by the U.S. Air Force Research Laboratory Space Vehicles Directorate and supported in part by the Air Force Office of Scientific Research. The authors thank Svend Erik Ascanius of the Danish Meteorological Institute for its operation as well as thank Prof. Bodo W. Reinisch from the Lowell Digisonde International for providing help for the Sondrestrom ionosonde.</t>
  </si>
  <si>
    <t>1542-7390</t>
  </si>
  <si>
    <t>SPACE WEATHER</t>
  </si>
  <si>
    <t>Space Weather</t>
  </si>
  <si>
    <t>e2021SW002862</t>
  </si>
  <si>
    <t>10.1029/2021SW002862</t>
  </si>
  <si>
    <t>0N9EX</t>
  </si>
  <si>
    <t>WOS:000783133800001</t>
  </si>
  <si>
    <t>Jha, S; Harry, DL; Wenman, CP; Mayle, M</t>
  </si>
  <si>
    <t>Jha, Sumant; Harry, Dennis L.; Wenman, Christopher P.; Mayle, Micah</t>
  </si>
  <si>
    <t>Flexural Subsidence Around Ross Island, West Antarctica</t>
  </si>
  <si>
    <t>GEOCHEMISTRY GEOPHYSICS GEOSYSTEMS</t>
  </si>
  <si>
    <t>West Antarctica; flexure; isostasy; Ross Sea; geodynamics; Ross Island</t>
  </si>
  <si>
    <t>UPPER-MANTLE STRUCTURE; VICTORIA LAND BASIN; MARIE-BYRD-LAND; RIFT SYSTEM; TRANSANTARCTIC MOUNTAINS; STRUCTURE BENEATH; MCMURDO SOUND; ERUPTIVE HISTORY; RAYLEIGH-WAVE; SEA</t>
  </si>
  <si>
    <t>Ross Island is located in the southern Victoria Land Basin along the western margin of the West Antarctic Rift System. Episodic volcanism since ca. 4.6 Ma produced a discontinuous sedimentary moat around the island, coeval with regional extension. The moat is a composite of four smaller sub-basins created during distinct episodes of volcanism. Subsidence within each sub-basin is modeled as bending of a continuous elastic plate, first considering subsidence that occurred only during the time in which the associated volcano was active, and then considering cumulative subsidence since the onset of volcanism on Ross Island. Models based on strata deposited in each sub-basin during the time interval in which the respective volcano was active yield flexural rigidities ranging from 6-36 x 10(18) N-m, with the lowest values associated with the youngest volcanoes on the south and southwest sides of the island. Models based on the entire stratigraphic interval deposited since the onset of volcanism yield flexural rigidities up to 20 times greater than models that consider only strata deposited within each sub-basin when the associated volcano was active. Models of the composite basin overestimate the strength of the lithosphere due to inclusion of strata deposited during periods in which regional extension rather than local flexure dominated subsidence. The models indicate that Ross Island is in near flexural isostatic equilibrium with moderately low-density (3,260 kg m(-3)) upper mantle, although an additional buoyant load equivalent to a mantle temperature anomaly of up to 200 degrees C is permissible.</t>
  </si>
  <si>
    <t>[Jha, Sumant; Harry, Dennis L.; Wenman, Christopher P.; Mayle, Micah] Colorado State Univ, Dept Geosci, Ft Collins, CO 80523 USA</t>
  </si>
  <si>
    <t>Colorado State University</t>
  </si>
  <si>
    <t>Harry, DL (corresponding author), Colorado State Univ, Dept Geosci, Ft Collins, CO 80523 USA.</t>
  </si>
  <si>
    <t>Dennis.Harry@colostate.edu</t>
  </si>
  <si>
    <t>Harry, Dennis/0000-0002-0414-0786; Mayle, Micah/0000-0002-1206-9801</t>
  </si>
  <si>
    <t>National Science Foundation [ANT-1043700, ANT-1169553]</t>
  </si>
  <si>
    <t>We thank Terri Wilson for suggesting that we examine flexural subsidence around Ross Island. We also thank Derek Witt for his help with the initial Ross Island volume estimates and Jace Koger for his initial findings about density of sediments in AND-1B. We are grateful to three anonymous reviewers, particularly for suggestions regarding the thermal implications of the densities used in the flexural models. This research was supported by National Science Foundation Grants ANT-1043700 and ANT-1169553 to D. L. Harry.</t>
  </si>
  <si>
    <t>1525-2027</t>
  </si>
  <si>
    <t>GEOCHEM GEOPHY GEOSY</t>
  </si>
  <si>
    <t>Geochem. Geophys. Geosyst.</t>
  </si>
  <si>
    <t>e2021GC010181</t>
  </si>
  <si>
    <t>10.1029/2021GC010181</t>
  </si>
  <si>
    <t>0O8FN</t>
  </si>
  <si>
    <t>WOS:000783759400001</t>
  </si>
  <si>
    <t>Opher, JG; Brearley, JA; Dye, SR; Pickart, RS; Renfrew, IA; Harden, BE; Meredith, MP</t>
  </si>
  <si>
    <t>Opher, J. G.; Brearley, J. A.; Dye, S. R.; Pickart, R. S.; Renfrew, I. A.; Harden, B. E.; Meredith, M. P.</t>
  </si>
  <si>
    <t>The Annual Salinity Cycle of the Denmark Strait Overflow</t>
  </si>
  <si>
    <t>overflow; salinity; seasonality; fresh lid; advection</t>
  </si>
  <si>
    <t>EAST GREENLAND CURRENT; NORTH-ATLANTIC; BARRIER WINDS; VARIABILITY; WATER; TRANSPORT; CLIMATOLOGY; JET</t>
  </si>
  <si>
    <t>The Denmark Strait Overflow (DSO) is an important source of dense water input to the deep limb of the Atlantic Meridional Overturning Circulation (AMOC). It is fed by separate currents from the north that advect dense water masses formed in the Nordic Seas and Arctic Ocean which then converge at Denmark Strait. Here we identify an annual salinity cycle of the DSO, characterized by freshening in winter and spring. The freshening is linked to freshening of the Shelfbreak East Greenland Current in the Blosseville Basin north of the Denmark Strait. We demonstrate that the East Greenland Current advects fresh pycnocline water above the recirculating Atlantic Water, which forms a low salinity lid for the overflow in Denmark Strait and in the Irminger Basin. This concept is supported by intensified freshening of the DSO in lighter density classes on the Greenland side of the overflow. The salinity of the DSO in the Irminger Basin is significantly correlated with northerly/northeasterly winds in the Blosseville Basin at a lag of 3-4 months, consistent with estimated transit times. This suggests that wind driven variability of DSO source water exerts an important influence on the salinity variability of the downstream DSO, and hence the composition of the deep limb of the AMOC.</t>
  </si>
  <si>
    <t>[Opher, J. G.; Brearley, J. A.; Meredith, M. P.] British Antarctic Survey, Cambridge, England; [Opher, J. G.; Dye, S. R.; Renfrew, I. A.] Univ East Anglia, Sch Environm Sci, Norwich, Norfolk, England; [Opher, J. G.; Dye, S. R.] Ctr Environm Fisheries &amp; Aquaculture Sci, Lowestoft, Suffolk, England; [Opher, J. G.] UK Hydrog Off, Ocean Environm Team, Taunton, Somerset, England; [Pickart, R. S.] Woods Hole Oceanog Inst, Woods Hole, MA 02543 USA; [Harden, B. E.] Sea Educ Assoc, Woods Hole, MA USA</t>
  </si>
  <si>
    <t>UK Research &amp; Innovation (UKRI); Natural Environment Research Council (NERC); NERC British Antarctic Survey; University of East Anglia; Centre for Environment Fisheries &amp; Aquaculture Science; NERC National Oceanography Centre; Woods Hole Oceanographic Institution</t>
  </si>
  <si>
    <t>Opher, JG (corresponding author), British Antarctic Survey, Cambridge, England.;Opher, JG (corresponding author), Univ East Anglia, Sch Environm Sci, Norwich, Norfolk, England.;Opher, JG (corresponding author), Ctr Environm Fisheries &amp; Aquaculture Sci, Lowestoft, Suffolk, England.;Opher, JG (corresponding author), UK Hydrog Off, Ocean Environm Team, Taunton, Somerset, England.</t>
  </si>
  <si>
    <t>jakeopher@hotmail.com</t>
  </si>
  <si>
    <t>Brearley, Alexander/C-3313-2012; Renfrew, Ian A/E-4057-2010</t>
  </si>
  <si>
    <t>Renfrew, Ian/0000-0001-9379-8215; Brearley, Alexander/0000-0003-3700-8017</t>
  </si>
  <si>
    <t>NERC EnvEast DTP studentship [NE/L002582]; Cefas Seedcorn [DP371]; NERC; AFIS [NE/N009754/1]; ORCHESTRA [NE/N018095/1]; ENCORE [NE/V013254/1]; US National Science Foundation [OCE-1756361, OCE-1558742]; NSF; NOAA-CORC-ARCHES; WHOI-OCCI; European Community [EVK2-CT-2002-00,149, GA212643]; UK Department for Environment, Food and Rural Affairs (DEFRA) [A1222, SD0440, ME5102]; [NE/L011166/1]</t>
  </si>
  <si>
    <t>NERC EnvEast DTP studentship; Cefas Seedcorn; NERC(UK Research &amp; Innovation (UKRI)Natural Environment Research Council (NERC)); AFIS; ORCHESTRA; ENCORE; US National Science Foundation(National Science Foundation (NSF)); NSF(National Science Foundation (NSF)); NOAA-CORC-ARCHES; WHOI-OCCI; European Community; UK Department for Environment, Food and Rural Affairs (DEFRA)(Department for Environment, Food &amp; Rural Affairs (DEFRA));</t>
  </si>
  <si>
    <t>First, we are indebted to all those that helped to collect, process and quality control the data from the Angmagssalik array, the Latrabjarg section and the Kogur array. We thank Kerstin Jochumsen for providing access to the Denmark Strait mooring data. We also thank those involved in preparing the gridded Denmark Strait hydrographic section data set. Many thanks to Peigen Lin and Kerstin Jochumsen for providing us with the extra CTD data from the Latrabjarg section. The authors thank the two anonymous reviewers whose comments/suggestions helped improve and clarify this manuscript. This paper contains modified Copernicus Climate Change Service information (2020). This research was funded by: NERC EnvEast DTP studentship NE/L002582 (JO) and Cefas Seedcorn DP371 (JO, SRD); as well as by NERC, by AFIS (NE/N009754/1) (IR), JAB is funded by NE/L011166/1, ORCHESTRA (NE/N018095/1) and ENCORE (NE/V013254/1) and RP is funded by the US National Science Foundation grants OCE-1756361 and OCE-1558742. Cefas work on the Angmagssallik array was supported by multiple international partners including NSF, NOAA-CORC-ARCHES, WHOI-OCCI, European Community's fifth &amp; seventh framework programme under grants ASOF-W (contract EVK2-CT-2002-00,149) &amp; No. GA212643 (THOR: Thermohaline Overturning-at Risk, 2008-2012) and from UK Department for Environment, Food and Rural Affairs (DEFRA) including A1222, SD0440 &amp; ME5102. Our work is dedicated to the memory of Bob Dickson.</t>
  </si>
  <si>
    <t>e2021JC018139</t>
  </si>
  <si>
    <t>10.1029/2021JC018139</t>
  </si>
  <si>
    <t>0L8KH</t>
  </si>
  <si>
    <t>WOS:000781716300001</t>
  </si>
  <si>
    <t>Peña-Molino, B; Sloyan, BM; Nikurashin, M; Richet, O; Wijffels, SE</t>
  </si>
  <si>
    <t>Pena-Molino, Beatriz; Sloyan, Bernadette M.; Nikurashin, Maxim; Richet, Oceane; Wijffels, Susan E.</t>
  </si>
  <si>
    <t>Revisiting the Seasonal Cycle of the Timor Throughflow: Impacts of Winds, Waves am Eddies</t>
  </si>
  <si>
    <t>SEA-SURFACE TEMPERATURE; INDONESIAN THROUGHFLOW; INDIAN-OCEAN; VERTICAL STRUCTURE; PACIFIC; VARIABILITY; CIRCULATION; DYNAMICS; SCALE; AUSTRALIA</t>
  </si>
  <si>
    <t>The tropical Pacific and Indian Oceans are connected via a complex system of currents known as the Indonesian Throughflow (ITF). More than 30% of the variability in the ITF is linked to the seasonal cycle, influenced by the Monsoon winds. Despite previous efforts, a detailed knowledge of the ITF response to the components of the seasonal forcing is still lacking. Here, we describe the seasonal cycle of the ITF based on new observations of velocity and properties in Timor Passage, satellite altimetry and a high-resolution regional model. These new observations reveal a complex mean and seasonally varying flow field. The amplitude of the seasonal cycle in volume transport is approximately 6 Sv. The timing of the seasonal cycle, with semi-annual maxima (minima) in May and December (February and September), is controlled by the flow below 600 m associated with semi-annual Kelvin waves. The transport of thermocline waters (&lt;300 m) is less variable than the deep flow but larger in magnitude. This top layer is modulated remotely by cycles of divergence in the Banda Sea, and locally through Ekman transport, coastal upwelling, and non-linearities of the flow. The latter manifests through the formation of eddies that reduce the throughflow during the Southeast Monsoon, when is expected to be maximum. While the reduction in transport associated with the eddies is small, its impact on heat transport is large. These non-linear dynamics develop over small scales (&lt;10 km), and without high enough resolution, both observations and models will fail to capture them adequately. Plain Language Summary The Indonesian Throughflow (ITF) is a system of currents that connects the tropical Pacific with the Indian Ocean. The strength of these currents varies on scales from days to years. Seasonal changes are large and linked to changes in the Monsoon winds. How exactly the ITF varies with the Monsoon is unclear. Here we investigate the effect of the Monsoon winds on the ITF at Timor Passage (the largest of the outflows) using a combination of observations from moorings, satellites, and high resolution models. We show that winds modulate the ITF remotely through waves generated in the Indian Ocean and changes in sea level of the Banda Sea. Locally winds can accelerate surface currents and drive coastal upwelling, both of which strengthen the ITF. However, the interaction of the strong currents with the complex topography generates eddies, which reduce the volume of water that flows into the Indian Ocean through Timor Passage. As a result the amount of heat delivered to the Indian Ocean when the eddies are present is halved. Low resolution climate models cannot simulate these eddies and may introduce temperature biases in the Indian Ocean that limit our capacity to predict the climate under warmer scenarios.</t>
  </si>
  <si>
    <t>[Pena-Molino, Beatriz; Sloyan, Bernadette M.; Richet, Oceane] CSIRO Oceans &amp; Atmosphere, Ctr Southern Hemisphere Oceans Res CSHOR, Hobart, Tas, Australia; [Nikurashin, Maxim] Univ Tasmania, Inst Marine &amp; Antarctic Studies, Hobart, Tas, Australia; [Wijffels, Susan E.] Woods Hole Oceanog Inst, Dept Phys Oceanog, Woods Hole, MA 02543 USA</t>
  </si>
  <si>
    <t>Commonwealth Scientific &amp; Industrial Research Organisation (CSIRO); University of Tasmania; Woods Hole Oceanographic Institution</t>
  </si>
  <si>
    <t>Peña-Molino, B (corresponding author), CSIRO Oceans &amp; Atmosphere, Ctr Southern Hemisphere Oceans Res CSHOR, Hobart, Tas, Australia.</t>
  </si>
  <si>
    <t>bea.pena-molino@csiro.au</t>
  </si>
  <si>
    <t>Sloyan, Bernadette/N-8989-2014; Pena-Molino, Beatriz/IYK-0313-2023</t>
  </si>
  <si>
    <t>Sloyan, Bernadette/0000-0003-0250-0167; Pena-Molino, Beatriz/0000-0003-1587-1696; Nikurashin, Maxim/0000-0002-5714-8343; Wijffels, Susan/0000-0002-4717-0811</t>
  </si>
  <si>
    <t>Centre for Southern Hemisphere Oceans Research (CSHOR); US National Science Foundation [OCE-1851333]</t>
  </si>
  <si>
    <t>Centre for Southern Hemisphere Oceans Research (CSHOR); US National Science Foundation(National Science Foundation (NSF))</t>
  </si>
  <si>
    <t>B. Pena-Molino, B. M. Sloyan, M. Nikurashin, and O. Richet were supported by the Centre for Southern Hemisphere Oceans Research (CSHOR). CSHOR is a joint research Centre for Southern Hemisphere Ocean Research between QNLM and CSIRO. S. E. Wijffels was supported by the US National Science Foundation Grant No. OCE-1851333.</t>
  </si>
  <si>
    <t>e2021JC018133</t>
  </si>
  <si>
    <t>10.1029/2021JC018133</t>
  </si>
  <si>
    <t>0L8NR</t>
  </si>
  <si>
    <t>WOS:000781725100001</t>
  </si>
  <si>
    <t>Ergül, HA; Erdem, T; Pelin, EG; Tonay, AM; Aksan, S; Öztürk, B</t>
  </si>
  <si>
    <t>Ergul, Halim Aytekin; Erdem, Turkan; Pelin, Ezgi Gizem; Tonay, Arda M.; Aksan, Serdar; Ozturk, Bayram</t>
  </si>
  <si>
    <t>Assessment of Pesticide, Dioxin-like Polychlorinated Biphenyl, and Polycyclic Aromatic Hydrocarbon Existence around Galindez Island, and Comparison with the Organic Pollution Bibliography of the Antarctic Peninsula</t>
  </si>
  <si>
    <t>Antarctic Peninsula; notothenioid fishes; pesticides; dl-PCBs; PAHs; Turkish polar program</t>
  </si>
  <si>
    <t>KING GEORGE ISLAND; TOXIC EQUIVALENCY FACTORS; ORGANOCHLORINE PESTICIDES; ADMIRALTY BAY; POLLUTANTS POPS; DL-PCBS; SEDIMENTS; ATMOSPHERE; PAHS; WATER</t>
  </si>
  <si>
    <t>Sediment, notothenioid fish, and moss samples were collected from the vicinity of Galindez Island, Antarctic Peninsula during the austral autumn of 2016 and 2017. Pesticide, Polycyclic Aromatic Hydrocarbon (PAH), and dioxin-like Polychlorinated Biphenyl (dl-PCB) concentrations were measured using High-Resolution Gas and Liquid Chromatography. Pollutant concentrations were below detection limits in sediment and moss samples. However, pesticides, PAH, and dl-PCB congeners were detected in the muscle tissue of fishes. Pesticide concentrations varied between 0.46 and 12.2 ng/g-dw, and Mecarbam was the dominant compound. Kresoxim-methyl, Mecarbam, Procymidone, Pyridaben, and Quinoxyfen were reported in the muscle tissue of the fishes, for the first time from the Antarctic. PCB-118, PCB-105, and PCB-156 were dominant dl-PCBs. The Sigma 12-dl-PCB concentration was 160,929 pg/g-dw, and WHO-TEQ-total dl-PCB was 8.30 pg/g-dw in Trematomus bernachii, over the consumable limit in fishes according to the European Commission. The PCB-126 concentration was 36 pg/g-dw in the muscle tissue of fish, the first reported from the Antarctic. Phenanthrene was the dominant PAH congener. The Sigma 16-PAH concentration was 22.5 ng/g-dw. PAH sources were local and petrogenic in the fishes, likely after long-term bioaccumulation. The flow rate is rather low around Galindez Island; accordingly, contaminant removal takes time and may demonstrate long-lasting effects including bioaccumulation in the marine food web.</t>
  </si>
  <si>
    <t>[Ergul, Halim Aytekin; Erdem, Turkan; Pelin, Ezgi Gizem; Aksan, Serdar] Kocaeli Univ, Sci &amp; Arts Fac, Dept Biol, TR-41380 Izmit, Turkey; [Tonay, Arda M.; Ozturk, Bayram] Istanbul Univ, Fac Aquat Sci, TR-34134 Fatih, Turkey; [Tonay, Arda M.; Ozturk, Bayram] Turkish Marine Res Fdn, TR-34820 Istanbul, Turkey</t>
  </si>
  <si>
    <t>Kocaeli University; Istanbul University; Turkish Marine Research Foundation</t>
  </si>
  <si>
    <t>Ergül, HA (corresponding author), Kocaeli Univ, Sci &amp; Arts Fac, Dept Biol, TR-41380 Izmit, Turkey.</t>
  </si>
  <si>
    <t>halim.ergul@kocaeledu.tr; turkanerdem@gmail.com; egpelin@gmail.com; atonay@istanbul.edu.tr; serdar.aksan@kocaeledu.tr; ozturkb@istanbul.edu.tr</t>
  </si>
  <si>
    <t>Ergül, Halim Aytekin/F-5129-2018; Öztürk, Bayram/AAD-6228-2020; Tonay, Arda M/GSI-9532-2022</t>
  </si>
  <si>
    <t>Öztürk, Bayram/0000-0001-7844-2448; Tonay, Arda M/0000-0003-2718-9328</t>
  </si>
  <si>
    <t>Scientific Research Projects Coordination Unit of Kocaeli University [2016/026]; Scientific Research Projects Coordination Unit of Istanbul University [FOA-2016-20530]; CEVS.IS RD [2022/01]; Rectorates of Istanbul and Kocaeli Universities; Turkish Marine Research Foundation (TUDAV); M/V Ushuaia; Turkish and Ukrainian</t>
  </si>
  <si>
    <t>Scientific Research Projects Coordination Unit of Kocaeli University(Kocaeli University); Scientific Research Projects Coordination Unit of Istanbul University(Istanbul University); CEVS.IS RD; Rectorates of Istanbul and Kocaeli Universities; Turkish Marine Research Foundation (TUDAV); M/V Ushuaia; Turkish and Ukrainian</t>
  </si>
  <si>
    <t>This research was funded by the Scientific Research Projects Coordination Unit of Kocaeli University, grant number 2016/026, and the Scientific Research Projects Coordination Unit of Istanbul University, grant number FOA-2016-20530. The APC was funded by CEVS.IS R&amp;D, grant number 2022/01. The authors thank the Rectorates of Istanbul and Kocaeli Universities, Turkish Marine Research Foundation (TUDAV), the captain and crew of M/V Ushuaia, and the Turkish and Ukrainian authorities for their valuable help and support.</t>
  </si>
  <si>
    <t>10.3390/su14073994</t>
  </si>
  <si>
    <t>0K9AO</t>
  </si>
  <si>
    <t>WOS:000781080000001</t>
  </si>
  <si>
    <t>Phi, KH; Shin, MJ; Lee, S; So, JE; Kim, JH; Suh, SS; Koo, MH; Shin, SC; Kim, JH; Lee, JH; Youn, UJ</t>
  </si>
  <si>
    <t>Phi, Kim-Hoa; Shin, Min-Ji; Lee, Seulah; So, Jae Eun; Kim, Ji Hee; Suh, Sung-Suk; Koo, Man Hyung; Shin, Seung Chul; Kim, Jin-Hyoung; Lee, Jun Hyuck; Youn, Ui Joung</t>
  </si>
  <si>
    <t>Bioactive Terphenyls Isolated from the Antarctic Lichen Stereocaulon alpinum</t>
  </si>
  <si>
    <t>Stereocaulon alpinum; Antarctic lichen; terphenyl; cytotoxicity; anti-inflammation</t>
  </si>
  <si>
    <t>ANTIOXIDANT</t>
  </si>
  <si>
    <t>Three p-terphenyls (2-4)-2-hydroxy-3,5-dimethoxy-p-terphenyl (2), 2-hydroxy-3,6-dimethoxy-p-terphenyl (3), and 2,3,5,6-tetramethoxy-p-terphenyl (4)-were isolated for the first time as natural products along with seven known compounds (1, 5-10) from the Antarctic lichen Stereocaulon alpinum. Structures of the new compounds were elucidated by comprehensive analyses of 1D and 2D NMR and HREIMS experiments. Compound 3 exhibited cytotoxicity against HCT116 cells with the IC50 value of 3.76 +/- 0.03 mu M and also inhibited NO production in LPS-induced RAW264.7 macrophages with the IC50 value of 22.82 +/- 0.015 mu M.</t>
  </si>
  <si>
    <t>[Phi, Kim-Hoa; So, Jae Eun; Kim, Ji Hee; Shin, Seung Chul; Kim, Jin-Hyoung; Youn, Ui Joung] Korea Polar Res Inst, Div Life Sci, Incheon 21990, South Korea; [Phi, Kim-Hoa; So, Jae Eun; Kim, Jin-Hyoung; Lee, Jun Hyuck; Youn, Ui Joung] Univ Sci &amp; Technol, Dept Polar Sci, Incheon 21990, South Korea; [Shin, Min-Ji; Suh, Sung-Suk] Mokpo Natl Univ, Dept Biosci, Jeonnam 58554, South Korea; [Shin, Min-Ji] Mokpo Natl Univ, Dept Biomed Hlth &amp; Life Convergence Sci, BK21 Four, Jeonnam 58554, South Korea; [Lee, Seulah] Seoul Sch Integrated Sci &amp; Technol aSSIST, Seoul 03767, South Korea; [Koo, Man Hyung; Lee, Jun Hyuck] Korea Polar Res Inst, Res Unit Cryogen Novel Mat, Incheon 21990, South Korea</t>
  </si>
  <si>
    <t>Korea Polar Research Institute (KOPRI); Mokpo National University; Mokpo National University; Korea Polar Research Institute (KOPRI)</t>
  </si>
  <si>
    <t>Youn, UJ (corresponding author), Korea Polar Res Inst, Div Life Sci, Incheon 21990, South Korea.;Youn, UJ (corresponding author), Univ Sci &amp; Technol, Dept Polar Sci, Incheon 21990, South Korea.</t>
  </si>
  <si>
    <t>pkh246@kopri.re.kr; minji4099@naver.com; sarahlee0801@gmail.com; cladonia@kopri.re.kr; kimjh@kopri.re.kr; sungsuksuh@mokpo.ac.kr; mhkoo1016@kopri.re.kr; ssc@kopri.re.kr; jhalgae@kopri.re.kr; junhyucklee@kopri.re.kr; ujyoun@kopri.re.kr</t>
  </si>
  <si>
    <t>Lee, Seulah/GRY-3543-2022</t>
  </si>
  <si>
    <t>Lee, Seulah/0000-0002-4657-5104; Lee, Jun Hyuck/0000-0002-4831-2228; Kim, Ji Hee/0000-0001-8510-7269</t>
  </si>
  <si>
    <t>project Development of potential antibiotic compounds using polar organism resources (KOPRI Grant) - Ministry of Oceans and Fisheries, Korea [15250103, PM22030]; Korea Polar Research Institute (KOPRI) [PE22160]; project Development of potential antibiotic compounds using polar organism resources (KOPRI Grant) [15250103, PM22030]</t>
  </si>
  <si>
    <t>project Development of potential antibiotic compounds using polar organism resources (KOPRI Grant) - Ministry of Oceans and Fisheries, Korea; Korea Polar Research Institute (KOPRI); project Development of potential antibiotic compounds using polar organism resources (KOPRI Grant)</t>
  </si>
  <si>
    <t>This research was supported by project Development of potential antibiotic compounds using polar organism resources (15250103, KOPRI Grant PM22030), funded by the Ministry of Oceans and Fisheries, Korea and the Korea Polar Research Institute (KOPRI; grant number PE22160). And the APC was funded by project Development of potential antibiotic compounds using polar organism resources (15250103, KOPRI Grant PM22030).</t>
  </si>
  <si>
    <t>10.3390/molecules27072363</t>
  </si>
  <si>
    <t>0K1QA</t>
  </si>
  <si>
    <t>WOS:000780568900001</t>
  </si>
  <si>
    <t>Dell, RL; Banwell, AF; Willis, IC; Arnold, NS; Halberstadt, ARW; Chudley, TR; Pritchard, HD</t>
  </si>
  <si>
    <t>Dell, Rebecca L.; Banwell, Alison F.; Willis, Ian C.; Arnold, Neil S.; Halberstadt, Anna Ruth W.; Chudley, Thomas R.; Pritchard, Hamish D.</t>
  </si>
  <si>
    <t>Supervised classification of slush and ponded water on Antarctic ice shelves using Landsat 8 imagery (vol 68, pg 401, 2021)</t>
  </si>
  <si>
    <t>Chudley, Tom/AAH-7919-2019; Halberstadt, Anna Ruth/JPW-9990-2023; Arnold, Neil/AAI-2272-2021; Banwell, Alison/W-8180-2018</t>
  </si>
  <si>
    <t>Chudley, Tom/0000-0001-8547-1132; Banwell, Alison/0000-0001-9545-829X; Dell, Rebecca/0000-0001-6617-3906</t>
  </si>
  <si>
    <t>10.1017/jog.2022.15</t>
  </si>
  <si>
    <t>0H3NK</t>
  </si>
  <si>
    <t>WOS:000778642200016</t>
  </si>
  <si>
    <t>Bai, Y; Zhao, L; Xiao, JG; Lin, SY</t>
  </si>
  <si>
    <t>Bai, Yu; Zhao, Liang; Xiao, Jingen; Lin, Shiying</t>
  </si>
  <si>
    <t>Contraction and warming of Antarctic Bottom Water in the Amundsen Sea</t>
  </si>
  <si>
    <t>ACTA OCEANOLOGICA SINICA</t>
  </si>
  <si>
    <t>Antarctic Bottom Water; Amundsen Sea; thickness; volume; hydrographic property</t>
  </si>
  <si>
    <t>ROSS SEA; OCEAN; ABYSSAL; CIRCULATION; ATLANTIC; HEAT</t>
  </si>
  <si>
    <t>Antarctic Bottom Water (AABW) plays an important role in the meridional overturning circulation and contributes significantly to global heat transport and sea level rise (SLR). Based on the Global Ocean (1/12)degrees Physical Reanalysis (GLORYS12V1) products and conductivity-temperature-depth instrument data from the World Ocean Circulation Experiment hydrographic program, we analyzed the trends in the thickness, volume, temperature, salinity, and neutral density of the AABW in the Amundsen Sea from 1993 to 2017. Over the past 25 years, the volume has decreased by 3.45x10(12) m(3)/a, thinning at a rate of 5 m/a. In the vertical direction, the contraction of the AABW is compensated by the volume expansion of the Circumpolar Deep Water. As the volume of AABW decreases, the temperature of the AABW increases by about 0.002 degrees C/a. This warming is equivalent to a heat flux of 0.27 W/m(2). A local SLR is produced due to thermal expansion of 0.35 mm/a. During the study period, the neutral density decreased by 0.000 3 kg/(m(3)center dot a) due to warming. In the horizontal direction, the volume of AABW flowing from the Ross Sea into the Amundsen Sea gradually decreases and the temperature of the AABW increases continuously. The horizontal transport loss of the AABW volume is 4.07x10(14) m(3) and the horizontal heat transport results in a 0.03 degrees C increase in the temperature of the AABW.</t>
  </si>
  <si>
    <t>[Bai, Yu; Zhao, Liang; Lin, Shiying] Tianjin Univ Sci &amp; Technol, Coll Marine &amp; Environm Sci, Tianjin 300457, Peoples R China; [Xiao, Jingen] Tianjin Univ, Sch Marine Sci &amp; Technol, Tianjin 300072, Peoples R China</t>
  </si>
  <si>
    <t>Tianjin University Science &amp; Technology; Tianjin University</t>
  </si>
  <si>
    <t>Zhao, L (corresponding author), Tianjin Univ Sci &amp; Technol, Coll Marine &amp; Environm Sci, Tianjin 300457, Peoples R China.</t>
  </si>
  <si>
    <t>Wang, Xingyi/KHT-7171-2024</t>
  </si>
  <si>
    <t>Impact and Response of Antarctic Seas to Climate Change Program [RFSOCC2020-2022, 18]; National Key Research and Development Program of China [2016YFA0601301]</t>
  </si>
  <si>
    <t>Impact and Response of Antarctic Seas to Climate Change Program; National Key Research and Development Program of China</t>
  </si>
  <si>
    <t>The Impact and Response of Antarctic Seas to Climate Change Program under contract No. RFSOCC2020-2022-No. 18; the National Key Research and Development Program of China under contract No. 2016YFA0601301.</t>
  </si>
  <si>
    <t>0253-505X</t>
  </si>
  <si>
    <t>1869-1099</t>
  </si>
  <si>
    <t>ACTA OCEANOL SIN</t>
  </si>
  <si>
    <t>Acta Oceanol. Sin.</t>
  </si>
  <si>
    <t>10.1007/s13131-021-1829-8</t>
  </si>
  <si>
    <t>0I7OM</t>
  </si>
  <si>
    <t>WOS:000779605500006</t>
  </si>
  <si>
    <t>du Plessis, MD; Swart, S; Biddle, LC; Giddy, IS; Monteiro, PMS; Reason, CJC; Thompson, AF; Nicholson, SA</t>
  </si>
  <si>
    <t>du Plessis, M. D.; Swart, S.; Biddle, L. C.; Giddy, I. S.; Monteiro, P. M. S.; Reason, C. J. C.; Thompson, A. F.; Nicholson, S-A</t>
  </si>
  <si>
    <t>The Daily-Resolved Southern Ocean Mixed Layer: Regional Contrasts Assessed Using Glider Observations</t>
  </si>
  <si>
    <t>gliders; mixing; heat flux; ocean observations; Southern Ocean</t>
  </si>
  <si>
    <t>ANTARCTIC MODE WATER; SEA-ICE; SEASONAL RESTRATIFICATION; SUBMESOSCALE PROCESSES; MESOSCALE; SURFACE; TRENDS; STRATIFICATION; TEMPERATURE; CIRCULATION</t>
  </si>
  <si>
    <t>Water mass transformation in the Southern Ocean is vital for driving the large-scale overturning circulation, which transports heat from the surface to the ocean interior. Using profiling gliders, this study investigates the role of summertime buoyancy forcing and wind-driven processes on the intraseasonal (1-10 days) mixed layer thermohaline variability in three Southern Ocean regions southwest of Africa important for water mass transformation-the Subantarctic Zone (SAZ), Polar Frontal Zone (PFZ), and Marginal Ice Zone (MIZ). At intraseasonal time scales, heat flux was shown as the main driver of buoyancy gain in all regions. In the SAZ and MIZ, shallow mixed layers and strong stratification enhanced mixed layer buoyancy gain by trapping incoming heat, while buoyancy loss resulted primarily from the entrainment of cold, salty water from below. In the PFZ, rapid mixing linked to Southern Ocean storms set persistently deep mixed layers and suppressed mixed layer intraseasonal thermohaline variability. In the polar regions, lateral stirring of meltwater from seasonal sea-ice melt dominated daily mixed layer salinity variability. We propose that these meltwater fronts are advected to the PFZ during late summer, indicating the potential for seasonal sea-ice freshwater to impact a region where the upwelling limb of overturning circulation reaches the surface. This study reveals a regional dependence of how the mixed layer thermohaline properties respond to small spatiotemporal processes, emphasizing the importance of surface forcing occurring between 1 and 10 days on the mixed layer water mass transformation in the Southern Ocean.</t>
  </si>
  <si>
    <t>[du Plessis, M. D.; Swart, S.; Biddle, L. C.; Giddy, I. S.] Univ Gothenburg, Dept Marine Sci, Gothenburg, Sweden; [du Plessis, M. D.; Monteiro, P. M. S.; Nicholson, S-A] CSIR, Southern Ocean Carbon Climate Observ, Stellenbosch, South Africa; [Swart, S.; Giddy, I. S.; Reason, C. J. C.] Univ Cape Town, Dept Oceanog, Cape Town, South Africa; [Thompson, A. F.] CALTECH, Environm Sci &amp; Engn, Pasadena, CA 91125 USA</t>
  </si>
  <si>
    <t>University of Gothenburg; Council for Scientific &amp; Industrial Research (CSIR) - South Africa; University of Cape Town; California Institute of Technology</t>
  </si>
  <si>
    <t>du Plessis, MD (corresponding author), Univ Gothenburg, Dept Marine Sci, Gothenburg, Sweden.;du Plessis, MD (corresponding author), CSIR, Southern Ocean Carbon Climate Observ, Stellenbosch, South Africa.</t>
  </si>
  <si>
    <t>marcel.du.plessis@gu.se</t>
  </si>
  <si>
    <t>Monteiro, Pedro/D-4995-2009; Swart, Sebastiaan/U-5498-2017</t>
  </si>
  <si>
    <t>Reason, Christopher/0000-0002-3224-5243; du Plessis, Marcel/0000-0003-2759-2467; Giddy, Isabelle/0000-0002-8926-3311; Monteiro, Pedro M. S./0000-0003-0425-0552; Swart, Sebastiaan/0000-0002-2251-8826; Nicholson, Sarah-Anne/0000-0002-1226-1828; Biddle, Louise/0000-0002-4785-1959</t>
  </si>
  <si>
    <t>Wallenberg Academy Fellowship [WAF 2015.0186]; Swedish Research Council [VR 2019-04400, VR 2020 04281]; STINT-NRF Mobility Grant; NRF-SANAP [SNA170522231782, SANAP200324510487]; European Union's Horizon 2020 research and innovation program [821001]; European Union's Marie Skodowska Curie Individual Fellowship under the Horizon 2020 framework [101032683]; Marie Curie Actions (MSCA) [101032683] Funding Source: Marie Curie Actions (MSCA); Swedish Research Council [2019-04400, 2020-04281] Funding Source: Swedish Research Council</t>
  </si>
  <si>
    <t>Wallenberg Academy Fellowship; Swedish Research Council(Swedish Research Council); STINT-NRF Mobility Grant; NRF-SANAP; European Union's Horizon 2020 research and innovation program(Horizon 2020); European Union's Marie Skodowska Curie Individual Fellowship under the Horizon 2020 framework; Marie Curie Actions (MSCA)(Marie Curie Actions); Swedish Research Council(Swedish Research Council)</t>
  </si>
  <si>
    <t>This work was supported by the following grants of S. Swart: Wallenberg Academy Fellowship (WAF 2015.0186), Swedish Research Council (VR 2019-04400), STINT-NRF Mobility Grant and NRF-SANAP (SNA170522231782 and SANAP200324510487 with S. Nicholson as PI). S. Swart and M. du Plessis have received funding from the European Union's Horizon 2020 research and innovation program under Grant Agreement 821001 (SO-CHIC) an M. du Plessis was later funded by the European Union's Marie Skodowska Curie Individual Fellowship under the Horizon 2020 framework with Project ID 101032683. L. Biddle is additionally supported by a Swedish Research Council grant (VR 2020 04281) The authors thank Sea Technology Services (STS), SANAP, the captain, and crew of the S.A. Agulhas II for their field-work/technical assistance. Zach Erickson, Mar Flexas, and Giuliana Viglione (Caltech) contributed to glider piloting throughout the MIZ deployment. The authors thank David Peddie of Offshore Sensing AS for assistance with the Sailbuoy deployment. The authors are grateful to Geoff Shilling and Craig Lee (APL, University of Washington) for hosting the gliders on IOP and the technical advice provided. The authors thank three anonymous reviewers, whose constructive reviews greatly improved this manuscript.</t>
  </si>
  <si>
    <t>e2021JC017760</t>
  </si>
  <si>
    <t>10.1029/2021JC017760</t>
  </si>
  <si>
    <t>0H2DD</t>
  </si>
  <si>
    <t>WOS:000778546500001</t>
  </si>
  <si>
    <t>Catalán, M; Martos, YM</t>
  </si>
  <si>
    <t>Catalan, Manuel; Martos, Yasmina M.</t>
  </si>
  <si>
    <t>New Evidence Supporting the Pacific Mantle Outflow: Hints from Crustal Magnetization of the Phoenix Plate</t>
  </si>
  <si>
    <t>magnetization; heat flow; gravity anomalies; magnetic anomalies</t>
  </si>
  <si>
    <t>GROUP-VELOCITY TOMOGRAPHY; ANTARCTIC SCOTIA SEA; MID-ATLANTIC RIDGE; TECTONIC EVOLUTION; DRAKE PASSAGE; OCEAN CRUST; ANOMALIES; GRAVITY; SERPENTINIZATION; OFFSHORE</t>
  </si>
  <si>
    <t>Magnetic contributions to the Earth's magnetic field within the lithosphere are known as magnetic anomalies. Magnetic anomaly maps provide insight on magnetic properties of subsurface rock, geological structures, and plate tectonic history. A small number of studies have analyzed the Phoenix Plate based on magnetic anomaly data. These focused on its tectonic evolution. Here, we study the crustal magnetization of this region and combine the results with additional information from high-resolution bathymetry and complete Bouguer gravity anomalies. We analyzed the horizontal variation of the magnetization in two spectral domains: one that resolves the medium and long wavelengths magnetization components (20-200 km), and another one that focuses on short wavelengths (7-100 km). The obtained magnetization amplitude for the 20-200 km range reveals the presence of NE-SW and NW-SE high trends in magnetization. We attribute these alignments to induced magnetism. For the range of 7-100 km, the magnetization amplitude shows a progressive decrease towards the southern part of the Phoenix Plate. The obtained magnetization pattern and the integration with additional geophysical and geological information indicates a thermal demagnetization of the oceanic crust in the south, possibly caused by the Pacific mantle outflow present in this region.</t>
  </si>
  <si>
    <t>[Catalan, Manuel] Real Observ Armada, Dept Geophys, San Fernando 11100, Spain; [Martos, Yasmina M.] NASA, Planetary Magnetospheres Lab, Goddard Space Flight Ctr, Greenbelt, MD 20771 USA; [Martos, Yasmina M.] Univ Maryland, Dept Astron, College Pk, MD 20742 USA</t>
  </si>
  <si>
    <t>National Aeronautics &amp; Space Administration (NASA); NASA Goddard Space Flight Center; University System of Maryland; University of Maryland College Park</t>
  </si>
  <si>
    <t>Catalán, M (corresponding author), Real Observ Armada, Dept Geophys, San Fernando 11100, Spain.</t>
  </si>
  <si>
    <t>mcatalan@roa.es; yasmina.martos@nasa.gov</t>
  </si>
  <si>
    <t>Catalan, Manuel/R-6956-2018</t>
  </si>
  <si>
    <t>Catalan, Manuel/0000-0001-9691-7101</t>
  </si>
  <si>
    <t>Spanish Ministry of Science [RTI 2018-099615-B-100]</t>
  </si>
  <si>
    <t>Spanish Ministry of Science(Spanish Government)</t>
  </si>
  <si>
    <t>This research was funded by the Spanish Ministry of Science, grant number RTI 2018-099615-B-100 entitled Estructura Litosferica y Geodinamica de Powell-Drake-Bransfield Rift.</t>
  </si>
  <si>
    <t>10.3390/rs14071642</t>
  </si>
  <si>
    <t>0L3XS</t>
  </si>
  <si>
    <t>WOS:000781411300001</t>
  </si>
  <si>
    <t>Pina, P; Vieira, G</t>
  </si>
  <si>
    <t>Pina, Pedro; Vieira, Goncalo</t>
  </si>
  <si>
    <t>UAVs for Science in Antarctica</t>
  </si>
  <si>
    <t>Antarctica; UAV; technology; terrestrial; ice and snow; fauna; atmosphere; legislation</t>
  </si>
  <si>
    <t>SOUTH SHETLAND ISLANDS; UNMANNED AERIAL VEHICLES; ATMOSPHERIC BOUNDARY-LAYER; DRONNING MAUD LAND; TERRA-NOVA BAY; EAST ANTARCTICA; IMAGING SPECTROSCOPY; ADELIE PENGUINS; DALK GLACIER; ICE</t>
  </si>
  <si>
    <t>Remote sensing is a very powerful tool that has been used to identify, map and monitor Antarctic features and processes for nearly one century. Satellite remote sensing plays the main role for about the last five decades, as it is the only way to provide multitemporal views at continental scale. But the emergence of small consumer-grade unoccupied aerial vehicles (UAVs) over the past two decades has paved the way for data in unprecedented detail. This has been also verified by an increasing noticeable interest in Antarctica by the incorporation of UAVs in the field activities in diversified research topics. This paper presents a comprehensive review about the use of UAVs in scientific activities in Antarctica. It is based on the analysis of 190 scientific publications published in peer-reviewed journals and proceedings of conferences which are organised into six main application topics: Terrestrial, Ice and Snow, Fauna, Technology, Atmosphere and Others. The analysis encompasses a detailed overview of the activities, identifying advantages and difficulties, also evaluating future possibilities and challenges for expanding the use of UAV in the field activities. The relevance of using UAVs to support numerous and diverse scientific activities in Antarctica becomes very clear after analysing this set of scientific publications, as it is revolutionising the remote acquisition of new data with much higher detail, from inaccessible or difficult to access regions, in faster and cheaper ways. Many of the advances can be seen in the terrestrial areas (detailed 3D mapping; vegetation mapping, discrimination and health assessment; periglacial forms characterisation), ice and snow (more detailed topography, depth and features of ice-sheets, glaciers and sea-ice), fauna (counting penguins, seals and flying birds and detailed morphometrics) and in atmosphere studies (more detailed meteorological measurements and air-surface couplings). This review has also shown that despite the low environmental impact of UAV-based surveys, the increasing number of applications and use, may lead to impacts in the most sensitive Antarctic ecosystems. Hence, we call for an internationally coordinated effort to for planning and sharing UAV data in Antarctica, which would reduce environmental impacts, while extending research outcomes.</t>
  </si>
  <si>
    <t>[Pina, Pedro] Univ Coimbra, Dept Ciencias Terra, P-3004504 Coimbra, Portugal; [Pina, Pedro] Univ Coimbra, Inst Astrofis &amp; Ciencias Espaco, P-3004504 Coimbra, Portugal; [Vieira, Goncalo] Univ Lisbon, Inst Geog &amp; Ordenamento Terr, CEG Ctr Estudos Geog &amp; Lab Associado TERRA, P-1649004 Lisbon, Portugal; [Vieira, Goncalo] Univ Lisbon, POLAR2E Colegio Ciencias Polares &amp; Ambientes Extr, P-1649004 Lisbon, Portugal</t>
  </si>
  <si>
    <t>Universidade de Coimbra; Universidade de Coimbra; Universidade de Lisboa; Universidade de Lisboa</t>
  </si>
  <si>
    <t>Pina, P (corresponding author), Univ Coimbra, Dept Ciencias Terra, P-3004504 Coimbra, Portugal.;Pina, P (corresponding author), Univ Coimbra, Inst Astrofis &amp; Ciencias Espaco, P-3004504 Coimbra, Portugal.</t>
  </si>
  <si>
    <t>ppina@dct.uc.pt; vieira@igot.ulisboa.pt</t>
  </si>
  <si>
    <t>Vieira, Goncalo/G-5958-2010; Pina, Pedro/B-4879-2008</t>
  </si>
  <si>
    <t>Vieira, Goncalo/0000-0001-7611-3464; Pina, Pedro/0000-0002-3199-7961</t>
  </si>
  <si>
    <t>Portuguese Polar Program (PROPOLAR)</t>
  </si>
  <si>
    <t>The participation of both authors in several Antarctic field campaigns and the wide and solid collaboration with international teams and researchers have provided important insights for developing this manuscript which are warmly thanked. The authors are also very grateful for the strong and regular support of the Portuguese Polar Program (PROPOLAR) without which this work would not have been possible.</t>
  </si>
  <si>
    <t>10.3390/rs14071610</t>
  </si>
  <si>
    <t>0M0ZQ</t>
  </si>
  <si>
    <t>WOS:000781892800001</t>
  </si>
  <si>
    <t>Diao, XL; Stössel, A; Chang, P; Danabasoglu, G; Yeager, SG; Gopal, A; Wang, H; Zhang, SQ</t>
  </si>
  <si>
    <t>Diao, Xiliang; Stossel, Achim; Chang, Ping; Danabasoglu, Gokhan; Yeager, Stephen G.; Gopal, Abishek; Wang, Hong; Zhang, Shaoqing</t>
  </si>
  <si>
    <t>On the Intermittent Occurrence of Open-Ocean Polynyas in a Multi-Century High-Resolution Preindustrial Earth System Model Simulation</t>
  </si>
  <si>
    <t>WEDDELL SEA POLYNYA; SOUTHERN-OCEAN; DEEP CONVECTION; VARIABILITY; ATLANTIC; SENSITIVITY; ANTARCTICA; TRENDS</t>
  </si>
  <si>
    <t>A 500-year-long high-resolution Community Earth System Model simulation under preindustrial radiative forcing produces Maud Rise Polynyas (MRPs) and Weddell Sea Polynya (WSP) events intermittently from decadal (MRP) to multidecadal (WSP) timescales. This periodicity is correlated with the variation of a regional Southern Annular Mode (SAM) index (evaluated regionally instead of circum-Antarctic) with corresponding variations of precipitation and winds over the Weddell Sea. A negative index causes the upper-ocean salinity to increase over multiple decades. Ultimately, brine rejection during seasonal sea-ice formation superimposed on the multidecadal increase raises the upper-ocean salinity beyond the tipping point for triggering deep convection that leads to polynyas. The initiation of polynya events is thus controlled by surface properties while the location of initiation is determined by bathymetric features. The persistent Taylor column effect, which is well represented by the high-resolution model topography of the Maud Rise seamount, preconditions this region for MRP initiation. Therefore, MRPs form more frequently than WSPs in the simulation. When the upper-ocean salinity is high, deep convection in the MRP region tends to be stronger, in which case MRPs are also more likely to grow into WSPs. Once WSPs emerge, they affect the regional atmospheric circulation and associated variables. We propose a regional coupled ocean-atmosphere mechanism to explain both the periodic emergence of polynyas and the periodic variation of the regional SAM index. Although the temperature and salinity of Weddell Deep Water show upward trends due to model drift, these density-compensating changes do not affect the frequency of polynya formation.</t>
  </si>
  <si>
    <t>[Diao, Xiliang; Stossel, Achim; Chang, Ping; Gopal, Abishek] Texas A&amp;M Univ, Dept Oceanog, College Stn, TX 77834 USA; [Danabasoglu, Gokhan; Yeager, Stephen G.] Natl Ctr Atmospher Res, POB 3000, Boulder, CO 80307 USA; [Wang, Hong; Zhang, Shaoqing] Qingdao Pilot Natl Lab Marine Sci &amp; Technol, Lab Ocean Dynam &amp; Climate, Qingdao, Peoples R China; [Wang, Hong; Zhang, Shaoqing] Ocean Univ China, Key Lab Phys Oceanog, Coll Ocean &amp; Atmospher Sci, Qingdao, Peoples R China; [Wang, Hong; Zhang, Shaoqing] Ocean Univ China, Inst Adv Ocean Study, Qingdao, Peoples R China</t>
  </si>
  <si>
    <t>Texas A&amp;M University System; Texas A&amp;M University College Station; National Center Atmospheric Research (NCAR) - USA; Laoshan Laboratory; Ocean University of China; Ocean University of China</t>
  </si>
  <si>
    <t>Diao, XL; Stössel, A (corresponding author), Texas A&amp;M Univ, Dept Oceanog, College Stn, TX 77834 USA.</t>
  </si>
  <si>
    <t>xiliangdiao@tamu.edu; astossel@ocean.tamu.edu</t>
  </si>
  <si>
    <t>; Diao, Xiliang/G-5801-2017</t>
  </si>
  <si>
    <t>Zhang, Shaoqing/0000-0001-6569-9842; Danabasoglu, Gokhan/0000-0003-4676-2732; Diao, Xiliang/0000-0002-9490-2739</t>
  </si>
  <si>
    <t>international Laboratory for High Resolution Earth System Prediction (iHESP) - a collaboration among the Texas A&amp;M University (TAMU); US National Center for Atmospheric Research (NCAR); Qingdao National Laboratory for Marine Science and Technology (QNLM); US National Science Foundation [1852977]; China Scholarship Council (CSC); iHESP; National Natural Science Foundation of China [41830964, 41775100]; Shandong Province's Taishan Scientist Project [ts20171207]; Qingdao Creative and Initiative frontier Scientist Program [19-3-2-7-zhc]</t>
  </si>
  <si>
    <t>international Laboratory for High Resolution Earth System Prediction (iHESP) - a collaboration among the Texas A&amp;M University (TAMU); US National Center for Atmospheric Research (NCAR); Qingdao National Laboratory for Marine Science and Technology (QNLM); US National Science Foundation(National Science Foundation (NSF)); China Scholarship Council (CSC)(China Scholarship Council); iHESP; National Natural Science Foundation of China(National Natural Science Foundation of China (NSFC)); Shandong Province's Taishan Scientist Project; Qingdao Creative and Initiative frontier Scientist Program</t>
  </si>
  <si>
    <t>This research had been conducted under the auspice of the international Laboratory for High Resolution Earth System Prediction (iHESP) - a collaboration among the Texas A&amp;M University (TAMU), the US National Center for Atmospheric Research (NCAR), and the Qingdao National Laboratory for Marine Science and Technology (QNLM). NCAR is a major facility sponsored by the US National Science Foundation under Cooperative Agreement No. 1852977. Xiliang Diao was partly supported by the China Scholarship Council (CSC) and by iHESP. Achim Stossel was partly supported by iHESP. Shaoqing Zhang is partly supported by the National Natural Science Foundation of China (Grant No. 41830964, 41775100) and the Shandong Province's Taishan Scientist Project (ts20171207) and Qingdao Creative and Initiative frontier Scientist Program (19-3-2-7-zhc). We also want to thank Sanjiv Ramachandran (iHESP) for help with the CESM-iHESP datasets, and David Bailey (NCAR) for clarifying some of the sea-ice related CESM output fields. Finally, we want to thank two anonymous reviewers and the editor (Laurie Padman) for their extensive and invaluable comments on our manuscripts which contributed substantially to enhancing the quality of this paper.</t>
  </si>
  <si>
    <t>e2021JC017672</t>
  </si>
  <si>
    <t>10.1029/2021JC017672</t>
  </si>
  <si>
    <t>0G5WR</t>
  </si>
  <si>
    <t>WOS:000778115800001</t>
  </si>
  <si>
    <t>Teder, NJ; Bennetts, LG; Reid, PA; Massom, RA</t>
  </si>
  <si>
    <t>Teder, N. J.; Bennetts, L. G.; Reid, P. A.; Massom, R. A.</t>
  </si>
  <si>
    <t>Sea ice-free corridors for large swell to reach Antarctic ice shelves</t>
  </si>
  <si>
    <t>Antarctic ice shelves; ocean hindcast; swell-ice shelves interactions; sea ice-free corridors; sea ice concentration</t>
  </si>
  <si>
    <t>MERTZ GLACIER; FUTURE; DISINTEGRATION; PROJECTIONS; STABILITY; BEHAVIOR; POLYNYA; TSUNAMI; TOTTEN; TRENDS</t>
  </si>
  <si>
    <t>Sea ice can attenuate Southern Ocean swell before it reaches Antarctic ice shelves and imposes flexural stresses, which promote calving of outer ice-shelf margins and influence ice shelf stability. An algorithm is developed to identify sea ice-free corridors that connect the open Southern Ocean to Antarctic ice shelves from daily satellite sea ice concentration data between September 1979 and August 2019. Large swell in the corridors available to impact the ice shelves is extracted from spectral wave model hindcast data. For a selection of ice shelves around the Antarctic coastline, corridors are assessed in terms of duration and areal extent. The availability of large swell to impact certain ice shelves through the corridors is evaluated from spectral wave data for daily statistical properties and the number of large swell days per year. Results integrated over a large number of ice shelves are used to assess overall trends. Large variations are found between individual ice shelves for both corridors and available swell, with contrasting trends between the West and East Antarctic Ice Sheet. The findings indicate ice shelves likely to experience prolonged periods of appreciable outer margin flexure due to large swell action, such as the Fimbul, Shackleton and Ross Ice Shelves, which could exacerbate climate-driven weakening and decreasing buttressing capacity, with implications for sea-level rise.</t>
  </si>
  <si>
    <t>[Teder, N. J.; Bennetts, L. G.] Univ Adelaide, Adelaide, SA, Australia; [Reid, P. A.] Australian Bur Meteorol, Hobart, Tas, Australia; [Reid, P. A.; Massom, R. A.] Australian Antarctic Program Partnership, Hobart, Tas, Australia; [Massom, R. A.] Australian Antarctic Div, Hobart, Tas, Australia; [Massom, R. A.] Univ Tasmania, Australian Ctr Excellence Antarctic Sci ACEAS, Inst Marine &amp; Antarctic Studies, Hobart, Tas, Australia</t>
  </si>
  <si>
    <t>University of Adelaide; Bureau of Meteorology - Australia; Australian Antarctic Division; University of Tasmania</t>
  </si>
  <si>
    <t>Teder, NJ (corresponding author), Univ Adelaide, Adelaide, SA, Australia.</t>
  </si>
  <si>
    <t>nathan.teder@adelaide.edu.au</t>
  </si>
  <si>
    <t>Bennetts, Luke/N-1448-2019</t>
  </si>
  <si>
    <t>Bennetts, Luke/0000-0001-9386-7882; Teder, Nathan/0000-0001-6058-4317</t>
  </si>
  <si>
    <t>Australian Antarctic Science Program [4528]; Australian Government Research Training Program Scholarship; Australian Research Council [FT190100404, DP200102828]; Australian Bureau of Meteorology; Australian Government's Australian Antarctic Partnership Program; Australian Antarctic Division; Australian Research Council [FT190100404, DP200102828] Funding Source: Australian Research Council</t>
  </si>
  <si>
    <t>Australian Antarctic Science Program; Australian Government Research Training Program Scholarship(Australian GovernmentDepartment of Industry, Innovation and Science); Australian Research Council(Australian Research Council); Australian Bureau of Meteorology; Australian Government's Australian Antarctic Partnership Program; Australian Antarctic Division; Australian Research Council(Australian Research Council)</t>
  </si>
  <si>
    <t>The work is supported by the Australian Antarctic Science Program (Project 4528). N T is funded by an Australian Government Research Training Program Scholarship administered by the University of Adelaide. L G B is supported by the Australian Research Council (FT190100404, DP200102828). P R was supported by the Australian Bureau of Meteorology, R M by the Australian Antarctic Division, and both by the Australian Government's Australian Antarctic Partnership Program. This study contributes to the Australian Centre for Excellence in Antarctic Science. We would like to acknowledge the NSIDC, CSIRO and BoM for making both the sea ice concentration and ocean hindcast data freely available. We want to thank the two anonymous reviewers for providing constructive comments which helped improve this paper and the editor for handling it.</t>
  </si>
  <si>
    <t>10.1088/1748-9326/ac5edd</t>
  </si>
  <si>
    <t>0G1RL</t>
  </si>
  <si>
    <t>WOS:000777829700001</t>
  </si>
  <si>
    <t>Pittman, NA; Strutton, PG; Johnson, R; Matear, RJ; Sutton, AJ</t>
  </si>
  <si>
    <t>Pittman, Nicholas A.; Strutton, Peter G.; Johnson, Robert; Matear, Richard J.; Sutton, Adrienne J.</t>
  </si>
  <si>
    <t>Relationships Between Air-Sea CO2 Flux and New Production in the Equatorial Pacific</t>
  </si>
  <si>
    <t>equatorial Pacific Ocean; biogeochemistry; phytoplankton; carbon; carbon uptake; carbon flux</t>
  </si>
  <si>
    <t>EASTERN TROPICAL PACIFIC; SURFACE OCEAN PCO(2); EL-NINO; NATURAL VARIABILITY; EXPORT PRODUCTION; SEAWATER PCO(2); TEMPERATURE; SATELLITE; FREQUENCY; TRENDS</t>
  </si>
  <si>
    <t>The equatorial Pacific is the largest oceanic source of carbon dioxide to the atmosphere. This outgassing varies depending on the El Nino-Southern Oscillation (ENSO) and decadal climate variability. New production, the amount of phytoplankton net primary production driven by upwelled nitrate, plays a significant role in modulating air-sea CO2 fluxes as the biological carbon pump removes carbon from the surface ocean. We aim to understand how the physical drivers of sea surface temperature and wind speed influence interannual and decadal variability of the equatorial Pacific carbon cycle. In the equatorial Pacific, there are three biogeochemical regimes: the upwelling cold tongue east of 140 degrees W and south of the equator (3 degrees N-15 degrees S); the eastern Pacific warm pool north of the equator (3 degrees-15 degrees N); and the 28.5 degrees C western Pacific warm pool, west of 140 degrees W. We find that between 2000 and 2020, air-sea CO2 flux and Delta pCO(2) increased in the cold tongue (45 mmolC m(-2) yr(-2), 1.5 mu atm yr(-1), respectively) but decreased elsewhere, while new production decreased everywhere. The western Pacific occasionally became a weak carbon sink, depending on ENSO and this sink was strongest at 165 degrees E during central Pacific Modoki El Nino events. We find that changes in wind speed, temperature and ENSO frequency have altered the surface carbon budget. The mean basin-wide (150 degrees E-90 degrees W and 15 degrees N-15 degrees S) new production for 2000-2020 was 1.2 +/- 0.1 PgC yr(-1) and air-sea CO2 flux was 0.5 +/- 0.1 PgC yr(-1). New production decreased at -7.7 +/- 1.6 TgC yr(-2), compared to the CO2 flux trend of -1.7 +/- 1.4 TgC yr(-2).</t>
  </si>
  <si>
    <t>[Pittman, Nicholas A.; Strutton, Peter G.; Johnson, Robert] Univ Tasmania, Inst Marine &amp; Antarctic Studies, Hobart, Tas, Australia; [Pittman, Nicholas A.; Strutton, Peter G.] Univ Tasmania, Australian Res Council Ctr Excellence Climate Ext, Hobart, Tas, Australia; [Matear, Richard J.] CSIRO, Hobart, Tas, Australia; [Sutton, Adrienne J.] NOAA, Pacific Marine Environm Lab, 7600 Sand Point Way Ne, Seattle, WA 98115 USA</t>
  </si>
  <si>
    <t>University of Tasmania; University of Tasmania; Commonwealth Scientific &amp; Industrial Research Organisation (CSIRO); National Oceanic Atmospheric Admin (NOAA) - USA</t>
  </si>
  <si>
    <t>Pittman, NA (corresponding author), Univ Tasmania, Inst Marine &amp; Antarctic Studies, Hobart, Tas, Australia.;Pittman, NA (corresponding author), Univ Tasmania, Australian Res Council Ctr Excellence Climate Ext, Hobart, Tas, Australia.</t>
  </si>
  <si>
    <t>nic.pittman@utas.edu.au</t>
  </si>
  <si>
    <t>Sutton, Adrienne/C-7725-2015; Johnson, Robert/E-7321-2012; Strutton, Peter/C-4466-2011; matear, richard/C-5133-2011</t>
  </si>
  <si>
    <t>Sutton, Adrienne/0000-0002-7414-7035; Pittman, Nicholas/0000-0002-4632-7223; Johnson, Robert/0000-0002-5915-5416; Strutton, Peter/0000-0002-2395-9471; matear, richard/0000-0002-3225-0800</t>
  </si>
  <si>
    <t>ARC Centre of Excellence for Climate Extremes [CE170100023]; Australian Government</t>
  </si>
  <si>
    <t>ARC Centre of Excellence for Climate Extremes; Australian Government(Australian Government)</t>
  </si>
  <si>
    <t>N. A. Pittman and P. G. Strutton acknowledge support from the ARC Centre of Excellence for Climate Extremes (CE170100023). This research was undertaken with the assistance of resources and services from the National Computational Infrastructure (NCI), which is supported by the Australian Government. The authors would like to thank the NASA/Goddard Space Flight Center for freely providing satellite euphotic depth data for SeaWiFS and MODIS-Aqua and all other data providers described in the methods for making their data openly accessible. This manuscript is PMEL contribution number 5263. Open access publishing facilitated by University of Tasmania, as part of the Wiley -University of Tasmania agreement via the Council of Australian University Librarians.</t>
  </si>
  <si>
    <t>e2021GB007121</t>
  </si>
  <si>
    <t>10.1029/2021GB007121</t>
  </si>
  <si>
    <t>0F6UD</t>
  </si>
  <si>
    <t>WOS:000777491400001</t>
  </si>
  <si>
    <t>Lygin, IV; Arutyunyan, DA; Bulychev, AA; Kuznetsov, KM; Minligareev, VT</t>
  </si>
  <si>
    <t>Lygin, I., V; Arutyunyan, D. A.; Bulychev, A. A.; Kuznetsov, K. M.; Minligareev, V. T.</t>
  </si>
  <si>
    <t>Instrumental Determination of the Earth's South Magnetic Pole Position During the Round-the-World Antarctic Expedition on Board the Russian Navy ORV Admiral Vladimirsky</t>
  </si>
  <si>
    <t>IZVESTIYA-PHYSICS OF THE SOLID EARTH</t>
  </si>
  <si>
    <t>Earth's magnetic field; Antarctica; South Magnetic Pole; shift velocity; instrumental determination; round-the-world Antarctic expedition; international models; oceanographic research vessel; proton-precession magnetometer; hydromagnetic survey; three-component flux-gate magnetometer; compass; magnetic declination; magnetic induction</t>
  </si>
  <si>
    <t>The round-the-world Antarctic expedition of the Russian Navy that took place from December 2019 to June 2020 on board the Russian Navy oceanographic research vessel (ORV) Admiral Vladimirsky was supported by the Russian Geographical Society and was dedicated to the 200th anniversary of the discovery of Antarctica and the 250th birthday anniversary of Admiral Ivan Kruzenshtern. One of the expedition's main objectives was to instrumentally determine the position of the South Magnetic Pole (SMP) whose latest location had been measured more than twenty years before. Planning of magnetometric research, its monitoring and processing of obtained data were carried out by members of the Chair of Geophysical Methods of the Earth's Crust Study of the MSU Department of Geology and the Fedorov Institute of Applied Geophysics. Based on a set of instrumental determinations (modular proton-precession differential magnetometers, vector three-component flux-gate magnetometers, the ship compass), the SMP position was measured to a precision of +/- 5 km. Proceeding from the 1980 and 2000 instrumental SMP determinations, it is proven that over the past 40 years, the SMP has been shifting at a consistent velocity in the same direction.</t>
  </si>
  <si>
    <t>[Lygin, I., V; Arutyunyan, D. A.; Bulychev, A. A.; Kuznetsov, K. M.] Moscow State Univ MSU, Moscow 119991, Russia; [Minligareev, V. T.] Fedorov Inst Appl Geophys FGBU IPG, Moscow 129128, Russia</t>
  </si>
  <si>
    <t>Lygin, IV (corresponding author), Moscow State Univ MSU, Moscow 119991, Russia.</t>
  </si>
  <si>
    <t>ivanlygin@mail.ru; david-20.97@mail.ru</t>
  </si>
  <si>
    <t>Arutyunyan, David/CAI-2922-2022; Arutyunyan, David/CAF-8153-2022; Kuznetsov, Kirill/GQI-2201-2022</t>
  </si>
  <si>
    <t>Arutyunyan, David/0000-0001-8322-8729</t>
  </si>
  <si>
    <t>1069-3513</t>
  </si>
  <si>
    <t>1555-6506</t>
  </si>
  <si>
    <t>IZV-PHYS SOLID EART+</t>
  </si>
  <si>
    <t>Izv.-Phys. Solid Earth</t>
  </si>
  <si>
    <t>10.1134/S1069351322020069</t>
  </si>
  <si>
    <t>0F5OH</t>
  </si>
  <si>
    <t>WOS:000777408300002</t>
  </si>
  <si>
    <t>The Polar Cap (PC) Index: PCS Version Based on Dome-C Data</t>
  </si>
  <si>
    <t>solar wind magnetosphere interaction; polar cap geomagnetic variations; polar cap index; space weather; geomagnetic storms</t>
  </si>
  <si>
    <t>IMF SECTOR STRUCTURE; NEAR-REAL TIME; GROUND MAGNETIC DATA; IDENTIFICATION; JANZHURA; FIELD</t>
  </si>
  <si>
    <t>The standard polar cap (PC) indices, PCN (North) based on magnetic data from Qaanaaq in Greenland and PCS (South) based on data from Vostok in Antarctica, have been submitted from the Arctic and Antarctic Research Institute in St. Petersburg, Russia, the Danish Meteorological Institute, and the Danish Space Research Institute in different versions. In order to consolidate PCS indices based on Vostok data or replace poor or missing index data, derivation procedures have been developed to generate alternative PCS index values based on data from Dome Concordia (Dome-C) magnetic observations from epoch 2009-2020 of solar cycle 24. The reference levels and calibration parameters needed for calculations of Dome-C-based PCS values in post-event and real-time versions are defined and explained in the present work. Assessments of the new PCS index have shown its unprecedented high relevance. Part of the methods used here, such as the quiet reference level construction and the correlation and regression procedures used for calculations of scaling parameters, deviate from corresponding features considered inadequate of the International Association for Geomagnetism and Aeronomy-endorsed PC index derivation methods.</t>
  </si>
  <si>
    <t>[Stauning, Peter] Danish Meteorol Inst, Copenhagen, Denmark</t>
  </si>
  <si>
    <t>Stauning, P (corresponding author), Danish Meteorol Inst, Copenhagen, Denmark.</t>
  </si>
  <si>
    <t>e2021SW002941</t>
  </si>
  <si>
    <t>10.1029/2021SW002941</t>
  </si>
  <si>
    <t>0F8AL</t>
  </si>
  <si>
    <t>WOS:000777576000001</t>
  </si>
  <si>
    <t>McCosker, E; Stuart-Smith, RD; Edgar, GJ; Steinberg, PD; Vergés, A</t>
  </si>
  <si>
    <t>McCosker, Erin; Stuart-Smith, Rick D.; Edgar, Graham J.; Steinberg, Peter D.; Verges, Adriana</t>
  </si>
  <si>
    <t>Sea temperature and habitat effects on juvenile reef fishes along a tropicalizing coastline</t>
  </si>
  <si>
    <t>DIVERSITY AND DISTRIBUTIONS</t>
  </si>
  <si>
    <t>citizen science; climate change; recruitment; reef fish; species distributions; temperate reefs; tropicalization</t>
  </si>
  <si>
    <t>CLIMATE-CHANGE; RANGE SHIFTS; ROCKY REEFS; MARINE; PATTERNS; ABUNDANCE; CORAL; BIODIVERSITY; RECRUITMENT; AUSTRALIA</t>
  </si>
  <si>
    <t>Aim Temperate marine systems globally are warming at accelerating rates, facilitating the poleward movement of warm-water species, which are tropicalizing higher-latitude reefs. While temperature plays a key role in structuring species distributions, less is known about how species' early life stages are responding to warming-induced changes in preferred nursery habitat availability. We aim to identify key ecological and environmental drivers of juvenile reef fishes' distributions in the context of ocean warming. Location South-eastern Australian coastline from 30 to 37 degrees S. Methods We used a decade of underwater visual census data to uncover latitudinal distribution patterns of juvenile reef fishes and habitats across 1000 km of coastline, from subtropical to temperate latitudes. We modelled how benthic habitat cover, depth, wave exposure and sea surface temperature influence distributions of warm-water and cool-water juvenile reef fishes on temperate rocky reefs. Results We found sea surface temperature was typically the most important factor influencing densities of juvenile fishes, regardless of species' thermal affinity or latitudinal range extent. Juveniles of tropical and subtropical range-expanding fishes responded more strongly to warmer temperatures and lower wave exposure, while juveniles of temperate species responded more strongly to benthic habitats. Species' responses to greater availability of temperate reef habitat-formers such as kelp and other macroalgae contrasted, being positive for temperate and negative for tropical and subtropical juvenile fishes. Main conclusions The availability of both suitable habitat and sea temperatures for species' early life stages is important considerations when predicting changes in reef fishes' distributions in the context of ocean warming. Warming-induced isotherm shifts and feedback loops constraining the persistence of key temperate reef habitat-formers will favour range-expanding tropical reef fishes colonizing higher-latitude reefs, while disadvantaging some macroalgal-associated resident temperate species. Such varying responses to warming-induced environmental changes may strongly influence the structure of emerging tropicalized reef assemblages.</t>
  </si>
  <si>
    <t>[McCosker, Erin; Steinberg, Peter D.; Verges, Adriana] Univ New South Wales, Ctr Marine Sci &amp; Innovat, Sch Biol Earth &amp; Environm Sci, Sydney, NSW, Australia; [Stuart-Smith, Rick D.; Edgar, Graham J.] Univ Tasmania, Inst Marine &amp; Antarctic Studies, Hobart, Tas, Australia; [Steinberg, Peter D.; Verges, Adriana] Sydney Inst Marine Sci, Mosman, NSW, Australia</t>
  </si>
  <si>
    <t>University of New South Wales Sydney; University of Tasmania; Sydney Institute of Marine Science</t>
  </si>
  <si>
    <t>McCosker, E (corresponding author), Univ New South Wales, Ctr Marine Sci &amp; Innovat, Sch Biol Earth &amp; Environm Sci, Sydney, NSW, Australia.</t>
  </si>
  <si>
    <t>erin.mccosker@student.unsw.edu.au</t>
  </si>
  <si>
    <t>Stuart-Smith, Rick/I-5214-2019; Verges, Adriana/B-8288-2013; Edgar, Graham/AAY-3797-2020</t>
  </si>
  <si>
    <t>Stuart-Smith, Rick/0000-0002-8874-0083; Edgar, Graham/0000-0003-0833-9001; Steinberg, Peter/0000-0002-1781-0726; McCosker, Erin/0000-0001-9420-1740</t>
  </si>
  <si>
    <t>Australian Government; Australian Research Council [DP170100023, DP19010203]; NSW Environmental Trust [2017/RD/0078]</t>
  </si>
  <si>
    <t>Australian Government(Australian Government); Australian Research Council(Australian Research Council); NSW Environmental Trust</t>
  </si>
  <si>
    <t>Australian Government; Australian Research Council, Grant/Award Number: DP170100023 and DP19010203; NSW Environmental Trust, Grant/Award Number: 2017/RD/0078</t>
  </si>
  <si>
    <t>1366-9516</t>
  </si>
  <si>
    <t>1472-4642</t>
  </si>
  <si>
    <t>DIVERS DISTRIB</t>
  </si>
  <si>
    <t>Divers. Distrib.</t>
  </si>
  <si>
    <t>10.1111/ddi.13484</t>
  </si>
  <si>
    <t>1O2UF</t>
  </si>
  <si>
    <t>WOS:000777052900001</t>
  </si>
  <si>
    <t>Lucas, EM; Nyblade, AA; Accardo, NJ; Lloyd, AJ; Wiens, DA; Aster, RC; Wilson, TJ; Dalziel, IW; Stuart, GW; O'Donnell, JP; Winberry, JP; Huerta, AD</t>
  </si>
  <si>
    <t>Lucas, Erica M.; Nyblade, Andrew A.; Accardo, Natalie J.; Lloyd, Andrew J.; Wiens, Douglas A.; Aster, Richard C.; Wilson, Terry J.; Dalziel, Ian W.; Stuart, Graham W.; O'Donnell, John Paul; Winberry, J. Paul; Huerta, Audrey D.</t>
  </si>
  <si>
    <t>Shear Wave Splitting Across Antarctica: Implications for Upper Mantle Seismic Anisotropy</t>
  </si>
  <si>
    <t>JOURNAL OF GEOPHYSICAL RESEARCH-SOLID EARTH</t>
  </si>
  <si>
    <t>shear wave splitting; anisotropy; Antarctica; upper mantle</t>
  </si>
  <si>
    <t>MARIE-BYRD-LAND; NORTHERN TRANSANTARCTIC MOUNTAINS; GAMBURTSEV SUBGLACIAL MOUNTAINS; OCEANIC UPPER-MANTLE; DRONNING MAUD LAND; WEST ANTARCTICA; EAST ANTARCTICA; STRUCTURE BENEATH; VICTORIA LAND; RIFT SYSTEM</t>
  </si>
  <si>
    <t>We examine upper mantle anisotropy across the Antarctic continent using 102 new shear wave splitting measurements obtained from teleseismic SKS, SKKS, and PKS phases combined with 107 previously published results. For the new measurements, an eigenvalue technique is used to estimate the fast polarization direction and delay time for each phase arrival, and high-quality measurements are stacked to determine the best-fit splitting parameters at each seismic station. The ensemble of splitting measurements shows largely NE-SW-oriented fast polarization directions across Antarctica, with a broadly clockwise rotation in polarization directions evident moving from west to east across the continent. Although the first-order pattern of NE-SW-oriented polarization directions is suggestive of a single plate-wide source of anisotropy, we argue the observed pattern of anisotropy more likely arises from regionally variable contributions of both lithospheric and sub-lithospheric mantle sources. Anisotropy observed in the interior of East Antarctica, a region underlain by thick lithosphere, can be attributed to relict fabrics associated with Precambrian tectonism. In contrast, anisotropy observed in coastal East Antarctica, the Transantarctic Mountains (TAM), and across much of West Antarctica likely reflects both lithospheric and sub-lithospheric mantle fabrics. While sub-lithospheric mantle fabrics are best associated with either plate motion-induced asthenospheric flow or small-scale convection, lithospheric mantle fabrics in coastal East Antarctica, the TAM, and West Antarctica generally reflect Jurassic-Cenozoic tectonic activity.</t>
  </si>
  <si>
    <t>[Lucas, Erica M.; Nyblade, Andrew A.; Accardo, Natalie J.] Penn State Univ, Dept Geosci, University Pk, PA 16802 USA; [Lloyd, Andrew J.] Columbia Univ, Lamont Doherty Earth Observ, Palisades, NY USA; [Wiens, Douglas A.] Washington Univ, Dept Earth &amp; Planetary Sci, St Louis, MO 63130 USA; [Aster, Richard C.] Colorado State Univ, Warner Coll Nat Resources, Dept Geosci, Ft Collins, CO 80523 USA; [Wilson, Terry J.] Ohio State Univ, Sch Earth Sci, Columbus, OH 43210 USA; [Dalziel, Ian W.] Univ Texas Austin, Jackson Sch Geosci, Austin, TX 78712 USA; [Stuart, Graham W.] Univ Leeds, Sch Earth &amp; Environm, Leeds, W Yorkshire, England; [O'Donnell, John Paul] Geol Survey South Australia, Adelaide, SA, Australia; [Winberry, J. Paul; Huerta, Audrey D.] Cent Washington Univ, Dept Geol Sci, Ellensburg, WA USA</t>
  </si>
  <si>
    <t>Pennsylvania Commonwealth System of Higher Education (PCSHE); Pennsylvania State University; Pennsylvania State University - University Park; Columbia University; Washington University (WUSTL); Colorado State University; University System of Ohio; Ohio State University; University of Texas System; University of Texas Austin; University of Leeds; Central Washington University</t>
  </si>
  <si>
    <t>Lucas, EM (corresponding author), Penn State Univ, Dept Geosci, University Pk, PA 16802 USA.</t>
  </si>
  <si>
    <t>eml303@psu.edu</t>
  </si>
  <si>
    <t>Huerta, Audrey D/A-8680-2009; Winberry, Paul/HLQ-2673-2023; Dalziel, Ian W. D./G-5926-2010; Facility, NERC Geophysical Equipment/G-5260-2010; Wiens, Douglas A/J-9259-2016; Aster, Richard/E-5067-2013</t>
  </si>
  <si>
    <t>Winberry, Paul/0000-0003-1205-0745; Aster, Richard/0000-0002-0821-4906; Lloyd, Andrew/0000-0002-2253-1342; Huerta, Audrey/0000-0002-0252-8496; O'Donnell, John Paul/0000-0003-1524-2312; Lucas, Erica/0000-0001-6372-3570</t>
  </si>
  <si>
    <t>National Science Foundation (NSF) [1142126, 1142518, 1141916, 1148982, 1246416, 1246151, 1249631, 1249602, 1249513, 1246666, 1246712, 1246776, 1247518]; Natural Environment Research Council [NE/L006065/1, NE/L006294/1, NE/K009958/1]; Incorporated Research Institutions for Seismology (IRIS) through the Portable Array Seismic Studies of the Continental Lithosphere (PASSCAL) Instrument Center at New Mexico Tech; SEIS-UK; NERC [NE/L006065/1, NE/L006294/1] Funding Source: UKRI</t>
  </si>
  <si>
    <t>National Science Foundation (NSF)(National Science Foundation (NSF)); Natural Environment Research Council(UK Research &amp; Innovation (UKRI)Natural Environment Research Council (NERC)); Incorporated Research Institutions for Seismology (IRIS) through the Portable Array Seismic Studies of the Continental Lithosphere (PASSCAL) Instrument Center at New Mexico Tech; SEIS-UK; NERC(UK Research &amp; Innovation (UKRI)Natural Environment Research Council (NERC))</t>
  </si>
  <si>
    <t>This work was supported by the National Science Foundation (NSF) (Grants 1142126, 1142518, 1141916, 1148982, 1246416, 1246151, 1249631, 1249602, 1249513, 1246666, 1246712, 1246776, and 1247518) and by the Natural Environment Research Council (Grants NE/L006065/1, NE/L006294/1, and NE/K009958/1). POLENET/ANET seismic instrumentation was provided and supported by the Incorporated Research Institutions for Seismology (IRIS) through the Portable Array Seismic Studies of the Continental Lithosphere (PASSCAL) Instrument Center at New Mexico Tech. UKANET seismic instrumentation was provided and supported by SEIS-UK.</t>
  </si>
  <si>
    <t>2169-9313</t>
  </si>
  <si>
    <t>2169-9356</t>
  </si>
  <si>
    <t>J GEOPHYS RES-SOL EA</t>
  </si>
  <si>
    <t>J. Geophys. Res.-Solid Earth</t>
  </si>
  <si>
    <t>e2021JB023325</t>
  </si>
  <si>
    <t>10.1029/2021JB023325</t>
  </si>
  <si>
    <t>0E3HL</t>
  </si>
  <si>
    <t>WOS:000776573500001</t>
  </si>
  <si>
    <t>Corby, T; Baily, G; Mackenzie, J; Lane, G; Dickson, E; Sime, L; Roussos, G</t>
  </si>
  <si>
    <t>Corby, Tom; Baily, Gavin; Mackenzie, Jonathan; Lane, Giles; Dickson, Erin; Sime, Louise; Roussos, George</t>
  </si>
  <si>
    <t>The Data Imaginaries of Climate Art The Manifest Data Project</t>
  </si>
  <si>
    <t>LEONARDO</t>
  </si>
  <si>
    <t>The authors discuss a series of artworks produced since 2009, including The Southern Ocean Studies (2012), The Northern Polar Studies (2014) and Carbon Topographies (2020). Through this work they explore how climate models can be employed to develop data-driven imaginaries of climate change, its impacts and causes. They argue for the experiential potential of this information for producing differently situated ways of knowing climate, framing this through a methodological approach described as data manifestation.</t>
  </si>
  <si>
    <t>[Corby, Tom; Baily, Gavin; Mackenzie, Jonathan; Lane, Giles; Dickson, Erin; Sime, Louise; Roussos, George] Univ Arts London, Manifest Data Lab, Cent St Martins, London N1C 4AA, England</t>
  </si>
  <si>
    <t>University of Arts London</t>
  </si>
  <si>
    <t>Corby, T (corresponding author), Univ Arts London, Manifest Data Lab, Cent St Martins, London N1C 4AA, England.</t>
  </si>
  <si>
    <t>t.corby@csm.arts.ac.uk; g.baily@arts.ac.uk; j.mackenzie@arts.ac.uk; giles.lane@csm.arts.ac.uk; e.dickson@csm.arts.ac.uk; lsim@bas.ac.uk; george.c.roussos@googlemail.com</t>
  </si>
  <si>
    <t>U.K. Arts and Humanities Research Council; Natural Environment Research Council, Arts Council England, Central Saint Martins; University of the Arts and the University of Westminster; AHRC [AH/S00369X/1] Funding Source: UKRI</t>
  </si>
  <si>
    <t>U.K. Arts and Humanities Research Council(UK Research &amp; Innovation (UKRI)Arts &amp; Humanities Research Council (AHRC)); Natural Environment Research Council, Arts Council England, Central Saint Martins; University of the Arts and the University of Westminster; AHRC(UK Research &amp; Innovation (UKRI)Arts &amp; Humanities Research Council (AHRC))</t>
  </si>
  <si>
    <t>This work was carried out with advice from the British Antarctic Survey and access to their archives and data resources. Research was funded by the U.K. Arts and Humanities Research Council, The Natural Environment Research Council, Arts Council England, Central Saint Martins, the University of the Arts and the University of Westminster.</t>
  </si>
  <si>
    <t>MIT PRESS</t>
  </si>
  <si>
    <t>ONE ROGERS ST, CAMBRIDGE, MA 02142-1209 USA</t>
  </si>
  <si>
    <t>0024-094X</t>
  </si>
  <si>
    <t>1530-9282</t>
  </si>
  <si>
    <t>Leonardo</t>
  </si>
  <si>
    <t>10.1162/leon_a_02136</t>
  </si>
  <si>
    <t>Art</t>
  </si>
  <si>
    <t>Arts &amp; Humanities Citation Index (A&amp;HCI)</t>
  </si>
  <si>
    <t>0F0LZ</t>
  </si>
  <si>
    <t>WOS:000777062600003</t>
  </si>
  <si>
    <t>Drinkwater, RW; Branch, TA</t>
  </si>
  <si>
    <t>Drinkwater, Ruth W.; Branch, Trevor A.</t>
  </si>
  <si>
    <t>Estimating proportions of identical twins and twin survival rates in cetaceans using fetal data</t>
  </si>
  <si>
    <t>dizygotic; fetus; monozygotic; multiplet; reproduction; twin</t>
  </si>
  <si>
    <t>Multiplet pregnancies are rare in cetaceans, and live-born multiple births even rarer. We used whaling data collected from pregnant females and held by the International Whaling Commission to examine multiplets in 16 cetacean species, finding that 0.87% (2,197 out of 252,651) of pregnancies included multiple fetuses, including 12 instances of five or more fetuses in five different species, all rorquals. For six species, we estimate the proportion of twins that are identical using Weinberg's differential rule. Identical twins are less common than fraternal twins in all species (4%-34%) except humpback whales (57%). To infer survival rates of twins to term, we fitted models to the proportion of twins by fetal length, finding that the probability of surviving twins declined exponentially to near zero with increasing fetal length for sei, fin, and blue whales; but not for sperm, humpback, and Antarctic minke whales. Because some fetuses may be missed at smaller lengths, we repeated this analysis excluding fetuses shorter than 2 ft (61 cm), finding that twin survival declined with increasing fetal length for sei, fin, blue, and Antarctic minke whales. We conclude that few multiple pregnancies (&lt;1 in 500) end in live birth, and even these pregnancies experience high mortality after birth.</t>
  </si>
  <si>
    <t>[Drinkwater, Ruth W.; Branch, Trevor A.] Univ Washington, Sch Aquat &amp; Fishery Sci, Box 355020, Seattle, WA 98195 USA</t>
  </si>
  <si>
    <t>University of Washington; University of Washington Seattle</t>
  </si>
  <si>
    <t>Drinkwater, RW (corresponding author), Univ Washington, Sch Aquat &amp; Fishery Sci, Box 355020, Seattle, WA 98195 USA.</t>
  </si>
  <si>
    <t>rdrinkwater@outlook.com</t>
  </si>
  <si>
    <t>Branch, Trevor/0000-0003-4308-8930; DRINKWATER, RUTH W/0000-0002-1645-204X</t>
  </si>
  <si>
    <t>10.1111/mms.12929</t>
  </si>
  <si>
    <t>WOS:000778612400001</t>
  </si>
  <si>
    <t>Wang, YH; Yuan, XJ; Cane, MA</t>
  </si>
  <si>
    <t>Wang, Yunhe; Yuan, Xiaojun; Cane, Mark A.</t>
  </si>
  <si>
    <t>Coupled mode of cloud, atmospheric circulation, and sea ice controlled by wave-3 pattern in Antarctic winter</t>
  </si>
  <si>
    <t>cloud; sea ice; atmospheric circulation; wave-3; Antarctic</t>
  </si>
  <si>
    <t>RADIATION PROPERTIES; ARCTIC SURFACE; RECENT TRENDS; PART I; VARIABILITY; THICKNESS; AEROSOLS; SIMULATIONS; TEMPERATURE; REANALYSES</t>
  </si>
  <si>
    <t>This study examines coupled relationships among clouds, atmospheric circulation, and sea ice in Antarctic winter. We find that the wave-3 pattern dominates the leading covariability mode among cloud, atmospheric circulation, and sea ice. Both horizontal transport and vertical motion contribute to cloud formation, resulting in maximum cloud anomalies spatially between maximum meridional wind and pressure anomalies in the coupled system. The radiative effect of the clouds related to the wave-3 pattern can generate sea ice anomalies up to 12 cm thick in one month in the Amundsen Sea. It also strengthens the sea ice anomalies that are directly induced by low-level atmospheric circulation anomalies. In addition, the radiative forcing of the leading cloud mode in the lower troposphere is suppressed by the dynamic and thermodynamic effects of the circulation anomalies. These discoveries provide a better understanding of Antarctica's interactive processes, and also offer physical evidence for climate model validations.</t>
  </si>
  <si>
    <t>[Wang, Yunhe] Chinese Acad Sci, CAS Key Lab Marine Geol &amp; Environm, Inst Oceanol, Qingdao, Peoples R China; [Yuan, Xiaojun; Cane, Mark A.] Columbia Univ, Lamont Doherty Earth Observ, New York, NY 10027 USA</t>
  </si>
  <si>
    <t>Chinese Academy of Sciences; Institute of Oceanology, CAS; Columbia University</t>
  </si>
  <si>
    <t>Yuan, XJ (corresponding author), Columbia Univ, Lamont Doherty Earth Observ, New York, NY 10027 USA.</t>
  </si>
  <si>
    <t>xyuan@ldeo.columbia.edu</t>
  </si>
  <si>
    <t>Cane, Mark A/I-8086-2012; Yuan, Xiaojun/AAI-7770-2020</t>
  </si>
  <si>
    <t>Wang, yunhe/0000-0001-8382-7094</t>
  </si>
  <si>
    <t>National Natural Science Foundation of China [42106223, 42076185]; Natural Science Foundation of Shandong Province, China [ZR2021QD059]; China Postdoctoral Science Foundation [2020TQ0322]; Open Funds for the Key Laboratory of Marine Geology and Environment, Institute of Oceanology, Chinese Academy of Sciences [MGE2021KG15, MGE2020KG04]; Key Deployment Project of the Centre for Ocean Mega-Research of Science, Chinese Academy of Sciences [COMS2020Q12]; NSF of the US [PLR-1443444]; LDEO endowment</t>
  </si>
  <si>
    <t>National Natural Science Foundation of China(National Natural Science Foundation of China (NSFC)); Natural Science Foundation of Shandong Province, China(Natural Science Foundation of Shandong Province); China Postdoctoral Science Foundation(China Postdoctoral Science Foundation); Open Funds for the Key Laboratory of Marine Geology and Environment, Institute of Oceanology, Chinese Academy of Sciences; Key Deployment Project of the Centre for Ocean Mega-Research of Science, Chinese Academy of Sciences; NSF of the US; LDEO endowment</t>
  </si>
  <si>
    <t>This work is supported by the National Natural Science Foundation of China (Grant Nos. 42106223 and 42076185), the Natural Science Foundation of Shandong Province, China (Grant No. ZR2021QD059), the China Postdoctoral Science Foundation (Grant No. 2020TQ0322), the Open Funds for the Key Laboratory of Marine Geology and Environment, Institute of Oceanology, Chinese Academy of Sciences (Grant Nos. MGE2021KG15 and MGE2020KG04), the Key Deployment Project of the Centre for Ocean Mega-Research of Science, Chinese Academy of Sciences (Grant No. COMS2020Q12), the NSF of the US (Grant No. PLR-1443444), and LDEO endowment. We also thank the providers of the observations and reanalysis products for making their data freely available.</t>
  </si>
  <si>
    <t>10.1088/1748-9326/ac5272</t>
  </si>
  <si>
    <t>0E0MN</t>
  </si>
  <si>
    <t>WOS:000776380300001</t>
  </si>
  <si>
    <t>Coghlan, AR; Blanchard, JL; Heather, FJ; Stuart-Smith, RD; Edgar, GJ; Audzijonyte, A</t>
  </si>
  <si>
    <t>Coghlan, Amy Rose; Blanchard, Julia L.; Heather, Freddie J.; Stuart-Smith, Rick D.; Edgar, Graham J.; Audzijonyte, Asta</t>
  </si>
  <si>
    <t>Community size structure varies with predator-prey size relationships and temperature across Australian reefs</t>
  </si>
  <si>
    <t>coastal ecosystems; community composition; habitat complexity; predation; predator-prey mass ratio; size spectrum</t>
  </si>
  <si>
    <t>STABLE-ISOTOPE ANALYSIS; BODY-MASS RATIOS; GLOBAL PATTERNS; FOOD-WEB; FISH; CORAL; ABUNDANCE; PREFERENCE; INDICATORS; ECOLOGY</t>
  </si>
  <si>
    <t>Climate change and fisheries exploitation are dramatically changing the abundances, species composition, and size spectra of fish communities. We explore whether variation in 'abundance size spectra', a widely studied ecosystem feature, is influenced by a parameter theorized to govern the shape of size-structured ecosystems-the relationship between the sizes of predators and their prey (predator-prey mass ratios, or PPMRs). PPMR estimates are lacking for avast number of fish species, including at the scale of trophic guilds. Using measurements of 8128 prey items in gut contents of 97 reef fish species, we established predator-prey mass ratios (PPMRs) for four major trophic guilds (piscivores, invertivores, planktivores, and herbivores) using linear mixed effects models. To assess the theoretical predictions that higher community-level PPMRs leads to shallower size spectrum slopes, we compared observations of both ecosystem metrics for similar to 15,000 coastal reef sites distributed around Australia. PPMRs of individual fishes were remarkably high (median similar to 71,000), with significant variation between different trophic guilds (similar to 890 for piscivores; similar to 83,000 for planktivores), and similar to 8700 for whole communities. Community-level PPMRs were positively related to size spectrum slopes, broadly consistent with theory, however, this pattern was also influenced by the latitudinal temperature gradient. Tropical reefs showed a stronger relationship between community-level PPMRs and community size spectrum slopes than temperate reefs. The extent that these patterns apply outside Australia and consequences for community structure and dynamics are key areas for future investigation.</t>
  </si>
  <si>
    <t>[Coghlan, Amy Rose; Blanchard, Julia L.; Heather, Freddie J.; Stuart-Smith, Rick D.; Edgar, Graham J.; Audzijonyte, Asta] Univ Tasmania, Inst Marine &amp; Antarctic Studies IMAS, Hobart, Tas, Australia; [Blanchard, Julia L.; Audzijonyte, Asta] Univ Tasmania, Ctr Marine Socioecol, Hobart, Tas, Australia</t>
  </si>
  <si>
    <t>Coghlan, AR (corresponding author), IMAS, 20 Castray Esplanade, Hobart, Tas 7004, Australia.</t>
  </si>
  <si>
    <t>amy.coghlan@utas.edu.au</t>
  </si>
  <si>
    <t>Heather, Freddie/KBA-4476-2024; Stuart-Smith, Rick/I-5214-2019; Edgar, Graham/AAY-3797-2020</t>
  </si>
  <si>
    <t>Stuart-Smith, Rick/0000-0002-8874-0083; Edgar, Graham/0000-0003-0833-9001; Coghlan, Amy Rose/0000-0001-7485-885X; Heather, Freddie J./0000-0002-1650-2617</t>
  </si>
  <si>
    <t>ARC Discovery Grant [DP170104240]</t>
  </si>
  <si>
    <t>ARC Discovery Grant(Australian Research Council)</t>
  </si>
  <si>
    <t>ARC Discovery Grant, Grant/Award Number: DP170104240</t>
  </si>
  <si>
    <t>e8789</t>
  </si>
  <si>
    <t>10.1002/ece3.8789</t>
  </si>
  <si>
    <t>0H6JQ</t>
  </si>
  <si>
    <t>WOS:000778839100001</t>
  </si>
  <si>
    <t>Leandro, LM; Linhares, AP; Mota, MAD; Fauth, G; Santos, A; Villegas-Martín, J; Vieira, CEL; Bruno, MDR; Lee, B; Baecker-Fauth, S; Lopes, FM; Ramos, MIF</t>
  </si>
  <si>
    <t>Leandro, Lilian M.; Linhares, Ana P.; De Lira Mota, Marcelo A.; Fauth, Gerson; Santos, Alessandra; Villegas-Martin, Jorge; Vieira, Carlos E. L.; Bruno, Mauro D. R.; Lee, Bridget; Baecker-Fauth, Simone; Lopes, Fernando M.; Ramos, Maria I. F.</t>
  </si>
  <si>
    <t>Multi-proxy evidence of Caribbean-sourced marine incursions in the Neogene of Western Amazonia, Brazil</t>
  </si>
  <si>
    <t>ANTARCTIC ICE-SHEET; DINOFLAGELLATE CYSTS; SOLIMOES BASIN; MIOCENE; PRODUCTIVITY; FORAMINIFERA; INDICATORS; HISTORY; CLIMATE</t>
  </si>
  <si>
    <t>The timing of continental-scale marine flooding events in Western Amazonia during the Neogene is still an unsolved question. Despite broad proxy-based evidence of such events, the pathways and duration of late Miocene marine incursions remain controversial. We provide coupled calcareous and organic microfossil and geochemical data from six onshore cores from Neogene sequences of the Solimoes Basin, Brazil. Our records support minor marine influence in the early Miocene (23.0, 21.1, 18.6, and 16.3 Ma), middle Miocene (14.9, 13.7, and 12.9 Ma) and early Pliocene (4.7, 4.2-4.1, and 3.8 Ma), and conspicuous marine incursions in the late Miocene (11.1-8.8 Ma) suggested by the consistent presence of salinity-indicative microfossils and geochemical data. Our findings challenge the view of major marine incursions in the early and middle Miocene in the studied area. We propose for the first time a new late Miocene incursion (LMI) event as the main marine flooding event in Western Amazonia during the Neogene. These onshore records are compared with three offshore cores from the Atlantic and Pacific Oceans. The similarity between microfossil assemblages of the Solimoes Basin and the Caribbean Sea, and evidence of increased runoff from the Orinoco river drainage system, strongly suggest the Caribbean Sea as the primary source area of the marine incursions, supporting a Venezuelan seaway. We further show for the first time the potential linkage between Neogene marine incursions (mainly the LMI) into the Solimoes Basin and major disturbances in the global carbon cycle.</t>
  </si>
  <si>
    <t>[Leandro, Lilian M.; De Lira Mota, Marcelo A.; Fauth, Gerson; Santos, Alessandra; Villegas-Martin, Jorge; Bruno, Mauro D. R.; Baecker-Fauth, Simone; Lopes, Fernando M.] Unisinos Univ, Inst Tecnol Paleoceanog &amp; Mudancas Climat Itt Oce, Av Unisinos 950, BR-93020190 Sao Leopoldo, RS, Brazil; [Linhares, Ana P.; Ramos, Maria I. F.] Museu Paraense Emilio Goeldi Coordenacao Ciencias, Av Perimetral 1901, BR-66077830 Belem, PA, Brazil; [Vieira, Carlos E. L.] Univ Fed Roraima, Inst Geociencias, Dept Geol, Av Cap Ene Garces 2413, BR-69310000 Boa Vista, Parana, Brazil; [Lee, Bridget] Univ Calif Riverside, Dept Earth Sci, Geol Bldg,900 Univ Ave, Riverside, CA 92521 USA</t>
  </si>
  <si>
    <t>Museu Paraense Emilio Goeldi; Universidade Federal de Roraima; University of California System; University of California Riverside</t>
  </si>
  <si>
    <t>Leandro, LM (corresponding author), Unisinos Univ, Inst Tecnol Paleoceanog &amp; Mudancas Climat Itt Oce, Av Unisinos 950, BR-93020190 Sao Leopoldo, RS, Brazil.</t>
  </si>
  <si>
    <t>leandro.lilianmaia@gmail.com</t>
  </si>
  <si>
    <t>Rodrigues Bruno, Mauro Daniel/HGC-0717-2022; De Lira Mota, Marcelo/AAX-1671-2021; Fauth, Gerson/AAE-3353-2021</t>
  </si>
  <si>
    <t>De Lira Mota, Marcelo/0000-0001-6436-0951; Rodrigues Bruno, Mauro Daniel/0000-0001-5290-9855</t>
  </si>
  <si>
    <t>Coordenacao de Aperfeicoamento de Pessoal de Nivel Superior-Brasil (IODP/CAPES) [88887.091703/2014-01]; Conselho Nacional de Desenvolvimento Cientifico e Tecnologico [308087/2019-4]</t>
  </si>
  <si>
    <t>Coordenacao de Aperfeicoamento de Pessoal de Nivel Superior-Brasil (IODP/CAPES); Conselho Nacional de Desenvolvimento Cientifico e Tecnologico(Conselho Nacional de Desenvolvimento Cientifico e Tecnologico (CNPQ))</t>
  </si>
  <si>
    <t>This study was financed by the Coordenacao de Aperfeicoamento de Pessoal de Nivel Superior-Brasil (IODP/CAPES; grant 88887.091703/2014-01). We also acknowledge the International Ocean Discovery Program (IODP) and the Geological Survey of Brazil (CPRM) for providing the core material; and the Instituto Tecnologico de Paleoceanografia e Mudancas Climaticas (itt Oceaneon, Unisinos) and Museu Paraense Emilio Goeldi for the laboratory facilities. G. Fauth thanks the Conselho Nacional de Desenvolvimento Cientifico e Tecnologico (grant 308087/2019-4). We also thank Maria Antonieta Lorente (Ellington Geological Services, LLC; Houston, Texas, USA), Richard D. Norris (University of California San Diego, USA), and Marcelo A. Carvalho (National Museum, Brazil) for their helpful suggestions. We acknowledge the critical reading and constructive and insightful queries raised by reviewers Carina Hoorn, Pierre-Olivier Antoine, and Carlos Jaramillo. We also appreciate the editorial team for their careful attention.</t>
  </si>
  <si>
    <t>10.1130/G49544.1</t>
  </si>
  <si>
    <t>0C0YN</t>
  </si>
  <si>
    <t>WOS:000775048900016</t>
  </si>
  <si>
    <t>Leung, JSY; Hartley, J; Nagy, JM; Netterfield, CB; Shariff, JA; Ade, PAR; Amiri, M; Benton, SJ; Bergman, AS; Bihary, R; Bock, JJ; Bond, JR; Bonetti, JA; Bryan, SA; Chiang, HC; Contaldi, CR; Doré, O; Duivenvoorden, AJ; Eriksen, HK; Farhang, M; Filippini, JP; Fraisse, AA; Freese, K; Galloway, M; Gambrel, AE; Gandilo, NN; Ganga, K; Gualtieri, R; Gudmundsson, JE; Halpern, M; Hasselfield, M; Hilton, G; Holmes, W; Hristov, VV; Huang, Z; Irwin, KD; Jones, WC; Karakci, A; Kuo, CL; Kermish, ZD; Li, S; Mak, DSY; Mason, PV; Megerian, K; Moncelsi, L; Morford, TA; Nolta, M; Osherson, B; Padilla, IL; Racine, B; Rahlin, AS; Reintsema, C; Ruhl, JE; Runyan, MC; Ruud, TM; Shaw, EC; Shiu, C; Soler, JD; Song, X; Trangsrud, A; Tucker, C; Tucker, RS; Turner, AD; van der List, JF; Weber, AC; Wehus, IK; Wen, S; Wiebe, DV; Young, EY</t>
  </si>
  <si>
    <t>Leung, J. S-Y; Hartley, J.; Nagy, J. M.; Netterfield, C. B.; Shariff, J. A.; Ade, P. A. R.; Amiri, M.; Benton, S. J.; Bergman, A. S.; Bihary, R.; Bock, J. J.; Bond, J. R.; Bonetti, J. A.; Bryan, S. A.; Chiang, H. C.; Contaldi, C. R.; Dore, O.; Duivenvoorden, A. J.; Eriksen, H. K.; Farhang, M.; Filippini, J. P.; Fraisse, A. A.; Freese, K.; Galloway, M.; Gambrel, A. E.; Gandilo, N. N.; Ganga, K.; Gualtieri, R.; Gudmundsson, J. E.; Halpern, M.; Hasselfield, M.; Hilton, G.; Holmes, W.; Hristov, V. V.; Huang, Z.; Irwin, K. D.; Jones, W. C.; Karakci, A.; Kuo, C. L.; Kermish, Z. D.; Li, S.; Mak, D. S. Y.; Mason, P., V; Megerian, K.; Moncelsi, L.; Morford, T. A.; Nolta, M.; Osherson, B.; Padilla, I. L.; Racine, B.; Rahlin, A. S.; Reintsema, C.; Ruhl, J. E.; Runyan, M. C.; Ruud, T. M.; Shaw, E. C.; Shiu, C.; Soler, J. D.; Song, X.; Trangsrud, A.; Tucker, C.; Tucker, R. S.; Turner, A. D.; van der List, J. F.; Weber, A. C.; Wehus, I. K.; Wen, S.; Wiebe, D., V; Young, E. Y.</t>
  </si>
  <si>
    <t>A Simulation-based Method for Correcting Mode Coupling in CMB Angular Power Spectra</t>
  </si>
  <si>
    <t>MICROWAVE BACKGROUND ANISOTROPIES; CIRCULAR-POLARIZATION</t>
  </si>
  <si>
    <t>Modern cosmic microwave background (CMB) analysis pipelines regularly employ complex time-domain filters, beam models, masking, and other techniques during the production of sky maps and their corresponding angular power spectra. However, these processes can generate couplings between multipoles from the same spectrum and from different spectra, in addition to the typical power attenuation. Within the context of pseudo-C-l based, MASTER-style analyses, the net effect of the time-domain filtering is commonly approximated by a multiplicative transfer function, F-l , that can fail to capture mode mixing and is dependent on the spectrum of the signal. To address these shortcomings, we have developed a simulation-based spectral correction approach that constructs a two-dimensional transfer matrix, J(ll'), which contains information about mode mixing in addition to mode attenuation. We demonstrate the application of this approach on data from the first flight of the Spider balloon-borne CMB experiment.</t>
  </si>
  <si>
    <t>[Leung, J. S-Y; Netterfield, C. B.; Farhang, M.; Padilla, I. L.] Univ Toronto, Dept Astron &amp; Astrophys, 50 St George St, Toronto, ON M5S 3H4, Canada; [Leung, J. S-Y] Univ Toronto, Dunlap Inst Astron &amp; Astrophys, 50 St George St, Toronto, ON M5S 3H4, Canada; [Hartley, J.; Netterfield, C. B.] Univ Toronto, Dept Phys, 60 St George St, Toronto, ON M5S 3H4, Canada; [Nagy, J. M.] Washington Univ, Dept Phys, 1 Brookings Dr, St Louis, MO 63130 USA; [Nagy, J. M.] Washington Univ, McDonnell Ctr Space Sci, 1 Brookings Dr, St Louis, MO 63130 USA; [Shariff, J. A.; Bond, J. R.; Farhang, M.; Huang, Z.; Nolta, M.] Univ Toronto, Canadian Inst Theoret Astrophys, 60 St George St, Toronto, ON M5S 3H8, Canada; [Ade, P. A. R.; Tucker, C.] Cardiff Univ, Sch Phys &amp; Astron, Cardiff CF24 3AA, Wales; [Amiri, M.; Halpern, M.; Wiebe, D., V] Univ British Columbia, Dept Phys &amp; Astron, 6224 Agr Rd, Vancouver, BC V6T 1Z1, Canada; [Benton, S. J.; Bergman, A. S.; Duivenvoorden, A. J.; Fraisse, A. A.; Jones, W. C.; Kermish, Z. D.; Li, S.; Shiu, C.; Song, X.; van der List, J. F.] Princeton Univ, Dept Phys, Jadwin Hall, Princeton, NJ 08544 USA; [Bihary, R.; Ruhl, J. E.; Wen, S.] Case Western Reserve Univ, Phys Dept, 10900 Euclid Ave,Rockefeller Bldg, Cleveland, OH 44106 USA; [Bock, J. J.; Dore, O.; Hristov, V. V.; Mason, P., V; Moncelsi, L.; Morford, T. A.; Runyan, M. C.; Trangsrud, A.; Tucker, R. S.] CALTECH, Div Phys Math &amp; Astron, MS 367-17,1200 E Calif Blvd, Pasadena, MS 36717 USA; [Bock, J. J.; Bonetti, J. A.; Dore, O.; Holmes, W.; Megerian, K.; Trangsrud, A.; Turner, A. D.; Weber, A. C.] Jet Prop Lab, Pasadena, CA 91109 USA; [Bryan, S. A.] Arizona State Univ, Sch Elect Comp &amp; Energy Engn, 650 E Tyler Mall, Tempe, AZ 85281 USA; [Chiang, H. C.] McGill Univ, Dept Phys, 3600 Rue Univ, Montreal, PQ H3A 2T8, Canada; [Chiang, H. C.] Univ KwaZulu Natal, Sch Math Stat &amp; Comp Sci, Durban, South Africa; [Contaldi, C. R.; Mak, D. S. Y.] Imperial Coll London, Blackett Lab, London SW7 2AZ, England; [Eriksen, H. K.; Galloway, M.; Karakci, A.; Racine, B.; Ruud, T. M.; Wehus, I. K.] Univ Oslo, Inst Theoret Astrophys, POB 1029 Blindern, NO-0315 Oslo, Norway; [Farhang, M.] Shahid Beheshti Univ, Dept Phys, Tehran 1983969411, Iran; [Filippini, J. P.; Osherson, B.; Shaw, E. C.] Univ Illinois, Dept Phys, 1110 W Green St, Urbana, IL 61801 USA; [Filippini, J. P.] Univ Illinois, Dept Astron, 1002 W Green St, Urbana, IL 61801 USA; [Freese, K.] Univ Texas Austin, Dept Phys, 2515 Speedway,C1600, Austin, TX 78712 USA; [Freese, K.; Gudmundsson, J. E.] Stockholm Univ, Oskar Klein Ctr Cosmoparticle Phys, Dept Phys, AlbaNova, SE-10691 Stockholm, Sweden; [Gambrel, A. E.; Rahlin, A. S.] Univ Chicago, Kavli Inst Cosmol Phys, 5640 S Ellis Ave, Chicago, IL 60637 USA; [Gandilo, N. N.] Steward Observ, 933 North Cherry Ave, Tucson, AZ 85721 USA; [Ganga, K.] Univ Paris Diderot, Sorbonne Paris Cite, Obs Paris, CEA Irfu,CNRS IN2P3,APC, Paris, France; [Gualtieri, R.] Argonne Natl Lab, High Energy Phys Div, Argonne, IL 60439 USA; [Hasselfield, M.] Penn State Univ, Dept Astron &amp; Astrophys, 520 Davey Lab, University Pk, PA 16802 USA; [Hilton, G.; Reintsema, C.] NIST, 325 Broadway Mailcode 817-03, Boulder, CO 80305 USA; [Irwin, K. D.; Kuo, C. L.; Young, E. Y.] Stanford Univ, Dept Phys, 382 Via Pueblo Mall, Stanford, CA 94305 USA; [Irwin, K. D.; Young, E. Y.] SLAC Natl Accelerator Lab, 2575 Sand Hill Rd, Menlo Pk, CA 94025 USA; [Li, S.] Princeton Univ, Dept Mech &amp; Aerosp Engn, Engn Quadrangle, Princeton, NJ 08544 USA; [Padilla, I. L.] Johns Hopkins Univ, Dept Phys &amp; Astron, 3701 San Martin Dr, Baltimore, MD 21218 USA; [Rahlin, A. S.] Fermilab Natl Accelerator Lab, POB 500, Batavia, IL 60510 USA; [Soler, J. D.] Max Planck Inst Astron, Konigstuhl 17, D-69117 Heidelberg, Germany</t>
  </si>
  <si>
    <t>University of Toronto; University of Toronto; University of Toronto; Washington University (WUSTL); Washington University (WUSTL); University of Toronto; Cardiff University; University of British Columbia; Princeton University; University System of Ohio; Case Western Reserve University; California Institute of Technology; National Aeronautics &amp; Space Administration (NASA); NASA Jet Propulsion Laboratory (JPL); Arizona State University; Arizona State University-Tempe; McGill University; University of Kwazulu Natal; Imperial College London; University of Oslo; Shahid Beheshti University; University of Illinois System; University of Illinois Urbana-Champaign; University of Illinois System; University of Illinois Urbana-Champaign; University of Texas System; University of Texas Austin; Stockholm University; Oskar Klein Centre; University of Chicago; Universite PSL; Observatoire de Paris; CEA; Centre National de la Recherche Scientifique (CNRS); Universite Paris Cite; Universite Paris Saclay; CNRS - National Institute of Nuclear and Particle Physics (IN2P3); United States Department of Energy (DOE); Argonne National Laboratory; Pennsylvania Commonwealth System of Higher Education (PCSHE); Pennsylvania State University; Pennsylvania State University - University Park; National Institute of Standards &amp; Technology (NIST) - USA; Stanford University; Stanford University; United States Department of Energy (DOE); SLAC National Accelerator Laboratory; Princeton University; Johns Hopkins University; United States Department of Energy (DOE); University of Chicago; Fermi National Accelerator Laboratory; Max Planck Society</t>
  </si>
  <si>
    <t>Leung, JSY (corresponding author), Univ Toronto, Dept Astron &amp; Astrophys, 50 St George St, Toronto, ON M5S 3H4, Canada.;Leung, JSY (corresponding author), Univ Toronto, Dunlap Inst Astron &amp; Astrophys, 50 St George St, Toronto, ON M5S 3H4, Canada.</t>
  </si>
  <si>
    <t>leung@astro.utononto.ca</t>
  </si>
  <si>
    <t>Moncelsi, Lorenzo/AAU-1009-2020; Huang, Zhiqi/JVN-7317-2024; Gualtieri, Riccardo/AAH-2961-2019; Ruhl, John/HHS-2212-2022; jones, william C/AGJ-6132-2022</t>
  </si>
  <si>
    <t>Moncelsi, Lorenzo/0000-0002-4242-3015; Huang, Zhiqi/0000-0002-1506-1063; Gualtieri, Riccardo/0000-0003-4245-2315; Ruhl, John/0000-0001-5875-4751; jones, william C/0000-0002-3636-1241; Galloway, Mathew/0000-0001-9279-137X; Tucker, Carole/0000-0002-1851-3918; Contaldi, Carlo/0000-0001-7285-0707; Nagy, Johanna/0000-0002-2036-7008; Irwin, Kent/0000-0002-2998-9743; Duivenvoorden, Adri/0000-0003-2856-2382; Li, Lun/0000-0002-8896-911X; Racine, Benjamin/0000-0001-8861-3052; Leung, Jason/0000-0001-7116-3710</t>
  </si>
  <si>
    <t>National Aeronautics and Space Administration [NNX07AL64G, NNX12AE95G, NNX17AC55G, 80NSSC21K1986]; National Science Foundation [PLR-1043515]; Natural Sciences and Engineering Research Council; Canadian Space Agency; Research Council of Norway; Swedish Research Council through the Oskar Klein Centre [638-2013-8993]; Swedish Research Council [201993959]; Swedish Space Agency [139/17]; David Dunlap family; University of Toronto; Canada Foundation for Innovation; British Columbia Knowledge Development Fund; David and Lucile Packard Foundation; UKRI Consolidated grant [ST/P000762/1, ST/N000838/1, ST/T000791/1]; Canada Foundation for Innovation under Compute Canada; Government of Ontario; Ontario Research Fund-Research Excellence; STFC [ST/P000762/1, ST/T000791/1, ST/N000838/1] Funding Source: UKRI</t>
  </si>
  <si>
    <t>National Aeronautics and Space Administration(National Aeronautics &amp; Space Administration (NASA));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Swedish Research Council(Swedish Research Council); Swedish Space Agency; David Dunlap family; University of Toronto(University of Toronto); Canada Foundation for Innovation(Canada Foundation for InnovationCGIARSpanish Government); British Columbia Knowledge Development Fund; David and Lucile Packard Foundation(The David &amp; Lucile Packard Foundation); UKRI Consolidated grant; Canada Foundation for Innovation under Compute Canada(Canada Foundation for Innovation); Government of Ontario; Ontario Research Fund-Research Excellence; STFC(UK Research &amp; Innovation (UKRI)Science &amp; Technology Facilities Council (STFC))</t>
  </si>
  <si>
    <t>SPIDER is supported in the U.S. by the National Aeronautics and Space Administration under grant Nos. NNX07AL64G, NNX12AE95G, NNX17AC55G, and 80NSSC21K1986 issued through the Science Mission Directorate and by the National Science Foundation through PLR-1043515. Logistical support for the Antarctic deployment and operations is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as well as a grant from the Swedish Research Council (dnr. 201993959) and a grant from the Swedish Space Agency (dnr. 139/17). The Dunlap Institute is funded through an endowment established by the David Dunlap family and the University of Toronto. The multiplexing readout electronics were developed with support from the Canada Foundation for Innovation and the British Columbia Knowledge Development Fund. K.F. holds the Jeff &amp; Gail Kodosky Endowed Chair at UT Austin and is grateful for that support. W.C.J. acknowledges the generous support of the David and Lucile Packard Foundation, which has been crucial to the success of the project. C.R.C. was supported by UKRI Consolidated grant Nos. ST/P000762/1, ST/N000838/1, and ST/T000791/1.; Some of the results in this paper have been derived using the HEALPix package (Gorski et al. 2005). The computations described in this paper were performed on four computing clusters: Hippo at the University of KwaZulu-Natal, Feynman at Princeton University, and the GPC and Niagara supercomputers at the SciNet HPC Consortium (Loken et al. 2010; Ponce et al. 2019). SciNet is funded by the Canada Foundation for Innovation under the auspices of Compute Canada, the Government of Ontario, Ontario Research Fund-Research Excellence, and the University of Toronto.</t>
  </si>
  <si>
    <t>10.3847/1538-4357/ac562f</t>
  </si>
  <si>
    <t>0C7WC</t>
  </si>
  <si>
    <t>Green Published, gold, Green Accepted, Green Submitted</t>
  </si>
  <si>
    <t>WOS:000775518100001</t>
  </si>
  <si>
    <t>Cordero, RR; Sepúlveda, E; Feron, S; Wang, CH; Damiani, A; Fernandoy, F; Neshyba, S; Rowe, PM; Asencio, V; Carrasco, J; Alfonso, JA; MacDonell, S; Seckmeyer, G; Carrera, JM; Jorquera, J; Llanillo, P; Dana, J; Khan, AL; Casassa, G</t>
  </si>
  <si>
    <t>Cordero, Raul R.; Sepulveda, Edgardo; Feron, Sarah; Wang, Chenghao; Damiani, Alessandro; Fernandoy, Francisco; Neshyba, Steven; Rowe, Penny M.; Asencio, Valentina; Carrasco, Jorge; Alfonso, Juan A.; MacDonell, Shelley; Seckmeyer, Gunther; Carrera, Juan M.; Jorquera, Jose; Llanillo, Pedro; Dana, Jacob; Khan, Alia L.; Casassa, Gino</t>
  </si>
  <si>
    <t>Black carbon in the Southern Andean snowpack</t>
  </si>
  <si>
    <t>snow; black carbon; Andes</t>
  </si>
  <si>
    <t>LIGHT-ABSORBING PARTICLES; MINERAL DUST; COVER; GLACIER; CIRCULATION; IMPURITIES; ABSORPTION; TRENDS; ALBEDO; CHILE</t>
  </si>
  <si>
    <t>The Andean snowpack is an important source of water for many communities. As other snow-covered regions around the world, the Andes are sensitive to black carbon (BC) deposition from fossil fuel and biomass combustion. BC darkens the snow surface, reduces the albedo, and accelerates melting. Here, we report on measurements of the BC content conducted by using the meltwater filtration (MF) technique in snow samples collected across a transect of more than 2500 km from the mid-latitude Andes to the southern tip of South America. Addressing some of the key knowledge gaps regarding the effects of the BC deposition on the Andean snow, we identified BC-impacted areas, assessed the BC-related albedo reduction, and estimated the resulting snow losses. We found that BC concentrations in our samples generally ranged from 2 to 15 ng g(-1), except for the nearly BC-free Patagonian Icefields and for the BC-impacted sites nearby Santiago (a metropolis of 6 million inhabitants). We estimate that the seasonal snowpack shrinking attributable to the BC deposition ranges from 4 mm water equivalent (w.e.) at relatively clean sites in Patagonia to 241 mm w.e. at heavily impacted sites close to Santiago.</t>
  </si>
  <si>
    <t>[Cordero, Raul R.; Sepulveda, Edgardo; Feron, Sarah; Damiani, Alessandro; Jorquera, Jose] Univ Santiago Chile, Av Bernardo OHiggins 3363, Santiago, Chile; [Feron, Sarah] Univ Groningen, NL-8911 CE Leeuwarden, Netherlands; [Wang, Chenghao] Stanford Univ, Dept Earth Syst Sci, Stanford, CA 94305 USA; [Damiani, Alessandro] Chiba Univ, Ctr Environm Remote Sensing, 1-33 Yayoicho, Chiba 2638522, Japan; [Fernandoy, Francisco] Univ Andres Bello, Vina Del Mar 980, Quillota, Chile; [Neshyba, Steven] Univ Puget Sound, Dept Chem, 1500 N Warner St, Tacoma, WA 98416 USA; [Rowe, Penny M.] NorthWest Res Associates, Redmond, WA USA; [Asencio, Valentina; Casassa, Gino] Select Carbon Pty Ltd, Perth, WA 6000, Australia; [Carrasco, Jorge] Univ Magallanes, Av Manuel Bulnes 1855, Punta Arenas, Chile; [Alfonso, Juan A.; Carrera, Juan M.] Inst Venezolano Invest Cient IVIC, Apartado 20632, Caracas, Venezuela; [MacDonell, Shelley] Ctr Estudios Avanzados Zonas Aridas CEAZA, La Serena, Chile; [Seckmeyer, Gunther] Leibniz Univ Hannover, Herrenhauser Str 2, Hannover, Germany; [Llanillo, Pedro] Alfred Wegener Inst AWI, Handelshafen 12, D-27570 Bremerhaven, Germany; [Dana, Jacob; Khan, Alia L.] Western Washington Univ, 516 High St, Bellingham, WA 98225 USA; [Khan, Alia L.] Univ Colorado, Cooperat Inst Res Environm Sci, Natl Snow &amp; Ice Data Ctr, Boulder, CO 80309 USA</t>
  </si>
  <si>
    <t>Universidad de Santiago de Chile; University of Groningen; Stanford University; Chiba University; Universidad Andres Bello; NorthWest Research Associates; Universidad de Magallanes; Leibniz University Hannover; Helmholtz Association; Alfred Wegener Institute, Helmholtz Centre for Polar &amp; Marine Research; Western Washington University; University of Colorado System; University of Colorado Boulder</t>
  </si>
  <si>
    <t>Feron, S (corresponding author), Univ Santiago Chile, Av Bernardo OHiggins 3363, Santiago, Chile.;Feron, S (corresponding author), Univ Groningen, NL-8911 CE Leeuwarden, Netherlands.</t>
  </si>
  <si>
    <t>s.c.feron@rug.nl</t>
  </si>
  <si>
    <t>MacDonell, Shelley/J-2480-2016; Carrasco, Jorge/ACG-6766-2022; Wang, Chenghao/O-7961-2017; Llanillo, Pedro/L-5877-2015</t>
  </si>
  <si>
    <t>Carrasco, Jorge/0000-0003-2154-5483; Wang, Chenghao/0000-0001-8846-4130; Cordero, Raul R./0000-0001-7607-7993; MacDonell, Shelley/0000-0001-9641-4547; Llanillo, Pedro/0000-0002-9308-501X; Feron, Sarah/0000-0002-0572-5639</t>
  </si>
  <si>
    <t>ANID [ANILLO ACT210046, FONDECYT 1191932, DFG190004, REDES180158]; CORFO [Preis 19BP-117358, 18BPE-93920, 18BPCR-89100]; Fulbright Scholarship</t>
  </si>
  <si>
    <t>ANID; CORFO; Fulbright Scholarship</t>
  </si>
  <si>
    <t>The support of ANID (ANILLO ACT210046, FONDECYT 1191932, DFG190004 and REDES180158), and CORFO (Preis 19BP-117358, 18BPE-93920 and 18BPCR-89100) is gratefully acknowledged. A L K's contribution was supported by a yFulbright Scholarship to the Chilean Antarctic Program.</t>
  </si>
  <si>
    <t>10.1088/1748-9326/ac5df0</t>
  </si>
  <si>
    <t>ZY5SF</t>
  </si>
  <si>
    <t>WOS:000772645600001</t>
  </si>
  <si>
    <t>Elechiguerra, JGP; Bartolomé, CP; Azañón, MAR</t>
  </si>
  <si>
    <t>Elechiguerra, Javier Gonzalez-Posada; Bartolome, Carlos Paredes; Ropero Azanon, Miguel Angel</t>
  </si>
  <si>
    <t>Ground deformation as a result of the foundation of a new module in the Spanish Antarctic Base Gabriel de Castilla, Deception Island, Antarctica</t>
  </si>
  <si>
    <t>BOLETIN GEOLOGICO Y MINERO</t>
  </si>
  <si>
    <t>Spanish</t>
  </si>
  <si>
    <t>Elastic strain; Geotechnics; Foundation; Permafrost; Numerical simulation</t>
  </si>
  <si>
    <t>Since its inauguration in the 1989/90 campaign, the Spanish Antarctic Base Gabriel de Castilla (BAEGC) has supported an increasing volume of scientific projects, stimulating the expansion of its facilities. The permafrost soil on which they are located is affected by changing thermal and periglacial conditions that disturb its mechanical and physical characteristics. This paper analy-zes the foundation behavior of a building (18.5x6.5x2.7 m length - width - height, around 104 kg in operation supported on 16 posts) through the geomechanical study (stresses and deformations) of the ground during the winter and southern summer seasons, supported by three types of foundations: piles, footings and slabs. These are commonly recommended as support elements in periglacial soils affected by thermal-seasonal variations. The geotechnical properties have been obtained from stress-tests on soil samples collected in the surroundings of the BAEGC, General Marva Army Engineers Laboratory (INTA). Considering the thermal variations in the tests on frozen and unfrozen samples, the geotechnical column type has been established and extended along the profile of the 2D domain. The stationary stress-strain equations with a constitutive Mohr-Coulomb rupture model have been solved using finite elements in MIDAS GTS-NX, for each season and each foundation, discretizing with a triangular or quadrangular mesh adapted to the 2D domain geometry with the foundation. The numerical results show that, in any tested case, there is no critical ground failure, and the foundation with the smallest displacement (about 0.036 m), both in summer and winter, is the 1.2 m foundation placed at 0.5 m depth on permafrost.</t>
  </si>
  <si>
    <t>[Elechiguerra, Javier Gonzalez-Posada] Ingn Econ Transporte SME MOP SA, INECO, Paseo La Habana 138, Madrid 28036, Spain; [Bartolome, Carlos Paredes; Ropero Azanon, Miguel Angel] Univ Politecn Madrid, Dpto Ingn Geolog &amp; Minera, ETSI Minas &amp; Energia, C Rios Rosas 21, Madrid 28003, Spain; [Ropero Azanon, Miguel Angel] Minist Def, Escuela Politecn Super Ejercito, C Joaquin Costa 6, Madrid 28002, Spain</t>
  </si>
  <si>
    <t>Universidad Politecnica de Madrid</t>
  </si>
  <si>
    <t>Bartolomé, CP (corresponding author), Univ Politecn Madrid, Dpto Ingn Geolog &amp; Minera, ETSI Minas &amp; Energia, C Rios Rosas 21, Madrid 28003, Spain.</t>
  </si>
  <si>
    <t>javier.elechiguerra@ineco.com; carlos.paredes@upm.es; miguelangel.ropero@alumnos.upm.es</t>
  </si>
  <si>
    <t>INST GEOLOGICA MINERO ESPANA</t>
  </si>
  <si>
    <t>MADRID</t>
  </si>
  <si>
    <t>MUSEO GEOMINERO, RIOS ROSAS, NO 23, MADRID, 28003, SPAIN</t>
  </si>
  <si>
    <t>0366-0176</t>
  </si>
  <si>
    <t>2253-6167</t>
  </si>
  <si>
    <t>BOL GEOL MIN</t>
  </si>
  <si>
    <t>Bol. Geol. Min.</t>
  </si>
  <si>
    <t>APR-JUN</t>
  </si>
  <si>
    <t>10.21701/bolgeomin/133.2/004</t>
  </si>
  <si>
    <t>F9FN6</t>
  </si>
  <si>
    <t>WOS:000985333600004</t>
  </si>
  <si>
    <t>Gonzalez, SV; Clark, GF; Johnston, EL; Turney, CSM; Fogwill, CJ; Steinberg, PD; Marzinelli, EM</t>
  </si>
  <si>
    <t>Gonzalez, Sebastian Vadillo; Clark, Graeme F.; Johnston, Emma L.; Turney, Chris S. M.; Fogwill, Christopher J.; Steinberg, Peter D.; Marzinelli, Ezequiel M.</t>
  </si>
  <si>
    <t>Spatial variation in microbial communities associated with sea-ice algae in Commonwealth Bay, East Antarctica</t>
  </si>
  <si>
    <t>MICROBIOLOGY-SGM</t>
  </si>
  <si>
    <t>algae; Antarctic sea-ice; microbiome; variability; Mertz Glacier; B09B iceberg; carbon cycle; nitrogen cycle</t>
  </si>
  <si>
    <t>BACTERIAL COMMUNITIES; PHYTOPLANKTON; ADELIE; TEMPERATURE; VARIABILITY; PATTERNS; ECOLOGY; LAND</t>
  </si>
  <si>
    <t>Antarctic sea-ice forms a complex and dynamic system that drives many ecological processes in the Southern Ocean. Sea-ice microalgae and their associated microbial communities are understood to influence nutrient flow and allocation in marine polar environments. Sea-ice microalgae and their microbiota can have high seasonal and regional (&gt;1000 km(2)) compositional and abundance variation, driven by factors modulating their growth, symbiotic interactions and function. In contrast, our knowledge of small-scale variation in these communities is limited. Understanding variation across multiple scales and its potential drivers is critical for informing on how multiple stressors impact sea-ice communities and the functions they provide. Here, we characterized bacterial communities associated with sea-ice microalgae and the potential drivers that influence their variation across a range of spatial scales (metres to &gt;10 kms) in a previously understudied area in Commonwealth Bay, East Antarctica where anomalous events have substantially and rapidly expanded local sea-ice coverage. We found a higher abundance and different composition of bacterial communities living in sea-ice microalgae closer to the shore compared to those further from the coast. Variation in community structure increased linearly with distance between samples. Ice thickness and depth to the seabed were found to be poor predictors of these communities. Further research on the small-scale environmental drivers influencing these communities is needed to fully understand how large-scale regional events can affect local function and ecosystem processes.</t>
  </si>
  <si>
    <t>[Gonzalez, Sebastian Vadillo; Marzinelli, Ezequiel M.] Univ Sydney, Sch Life &amp; Environm Sci, Sydney, NSW 2006, Australia; [Gonzalez, Sebastian Vadillo; Steinberg, Peter D.; Marzinelli, Ezequiel M.] Sydney Inst Marine Sci, 19 Chowder Bay Rd, Mosman, NSW 2088, Australia; [Clark, Graeme F.; Johnston, Emma L.; Turney, Chris S. M.; Steinberg, Peter D.] Univ New South Wales, Sch Biol Earth &amp; Environm Sci, Sydney, NSW 2025, Australia; [Turney, Chris S. M.] Univ Technol Sydney, 15 Broadway, Ultimo, NSW 2007, Australia; [Fogwill, Christopher J.] Keele Univ, Sch Geog Geol &amp; Environm, Keele ST5 5BG, Staffs, England; [Fogwill, Christopher J.] Cranfield Univ, Sch Water Energy &amp; Environm, Bldg 52a, Cranfield MK43 0AL, Beds, England; [Steinberg, Peter D.; Marzinelli, Ezequiel M.] Nanyang Technol Univ, Singapore Ctr Environm Life Sci Engn, Singapore, Singapore</t>
  </si>
  <si>
    <t>University of Sydney; Sydney Institute of Marine Science; University of New South Wales Sydney; University of Technology Sydney; Keele University; Cranfield University; Nanyang Technological University</t>
  </si>
  <si>
    <t>Gonzalez, SV (corresponding author), Univ Sydney, Sch Life &amp; Environm Sci, Sydney, NSW 2006, Australia.;Gonzalez, SV (corresponding author), Sydney Inst Marine Sci, 19 Chowder Bay Rd, Mosman, NSW 2088, Australia.</t>
  </si>
  <si>
    <t>sebastian.vadillo@sims.org.au</t>
  </si>
  <si>
    <t>Vadillo Gonzalez, Sebastian/KEJ-3530-2024; Marzinelli, Ezequiel/AAH-2906-2019; Johnston, Emma/B-7210-2009; Clark, Graeme/M-6448-2017; Turney, Chris/P-8701-2018</t>
  </si>
  <si>
    <t>Vadillo Gonzalez, Sebastian/0000-0002-3710-0406; Marzinelli, Ezequiel/0000-0002-3762-3389; Fogwill, Christopher/0000-0002-6471-1106; Johnston, Emma/0000-0002-2117-366X; Clark, Graeme/0000-0002-0230-6631; Steinberg, Peter/0000-0002-1781-0726; Turney, Chris/0000-0001-6733-0993</t>
  </si>
  <si>
    <t>University of New South Wales; SIMS; Australian Research Council [DP180104041]</t>
  </si>
  <si>
    <t>University of New South Wales; SIMS; Australian Research Council(Australian Research Council)</t>
  </si>
  <si>
    <t>This study was partially funded by the University of New South Wales. EMM thanks SIMS and Director PD Steinberg for additional support. This project was partially funded by an Australian Research Council Discovery Project (DP180104041) to EMM and PDS.</t>
  </si>
  <si>
    <t>MICROBIOLOGY SOC</t>
  </si>
  <si>
    <t>14-16 MEREDITH ST, LONDON, ENGLAND</t>
  </si>
  <si>
    <t>1350-0872</t>
  </si>
  <si>
    <t>1465-2080</t>
  </si>
  <si>
    <t>MICROBIOL-SGM</t>
  </si>
  <si>
    <t>Microbiology-(UK)</t>
  </si>
  <si>
    <t>10.1099/mic.0.001176</t>
  </si>
  <si>
    <t>O4QJ1</t>
  </si>
  <si>
    <t>Bronze, Green Submitted</t>
  </si>
  <si>
    <t>WOS:001043673100007</t>
  </si>
  <si>
    <t>Jiang, XB; Van Horn, DJ; Okie, JG; Buelow, HN; Schwartz, E; Colman, DR; Feeser, KL; Takacs-Vesbach, CD</t>
  </si>
  <si>
    <t>Jiang, Xiaoben; Van Horn, David J.; Okie, Jordan G.; Buelow, Heather N.; Schwartz, Egbert; Colman, Daniel R.; Feeser, Kelli L.; Takacs-Vesbach, Cristina D.</t>
  </si>
  <si>
    <t>Limits to the three domains of life: lessons from community assembly along an Antarctic salinity gradient</t>
  </si>
  <si>
    <t>EXTREMOPHILES</t>
  </si>
  <si>
    <t>Species richness patterns; Inter-domain response; Salinity; McMurdo Dry Valleys; Antarctica</t>
  </si>
  <si>
    <t>MCMURDO DRY VALLEYS; AMMONIA-OXIDIZING BACTERIA; RNA GENE DATABASE; ROSS SEA REGION; BETA DIVERSITY; VICTORIA LAND; SOIL; ARCHAEAL; BIODIVERSITY; TEMPERATURE</t>
  </si>
  <si>
    <t>Extremophiles exist among all three domains of life; however, physiological mechanisms for surviving harsh environmental conditions differ among Bacteria, Archaea and Eukarya. Consequently, we expect that domain-specific variation of diversity and community assembly patterns exist along environmental gradients in extreme environments. We investigated inter-domain community compositional differences along a high-elevation salinity gradient in the McMurdo Dry Valleys, Antarctica. Conductivity for 24 soil samples collected along the gradient ranged widely from 50 to 8355 mu S cm(-1). Taxonomic richness varied among domains, with a total of 359 bacterial, 2 archaeal, 56 fungal, and 69 non-fungal eukaryotic operational taxonomic units (OTUs). Richness for bacteria, archaea, fungi, and non-fungal eukaryotes declined with increasing conductivity (all P &lt; 0.05). Principal coordinate ordination analysis (PCoA) revealed significant (ANOSIM R = 0.97) groupings of low/high salinity bacterial OTUs, while OTUs from other domains were not significantly clustered. Bacterial beta diversity was unimodally distributed along the gradient and had a nested structure driven by species losses, whereas in fungi and non-fungal eukaryotes beta diversity declined monotonically without strong evidence of nestedness. Thus, while increased salinity acts as a stressor in all domains, the mechanisms driving community assembly along the gradient differ substantially between the domains.</t>
  </si>
  <si>
    <t>[Jiang, Xiaoben] Michigan State Univ, Dept Plant Soil &amp; Microbial Sci, E Lansing, MI 48824 USA; [Van Horn, David J.; Buelow, Heather N.; Colman, Daniel R.; Takacs-Vesbach, Cristina D.] Univ New Mexico, Dept Biol, MSC03 2020 1UNM, Albuquerque, NM 87131 USA; [Okie, Jordan G.] Arizona State Univ, Sch Earth &amp; Space Explorat, Tempe, AZ 85287 USA; [Schwartz, Egbert] No Arizona Univ, Dept Biol Sci, Flagstaff, AZ 86011 USA; [Feeser, Kelli L.] Los Alamos Natl Lab, Biosci Div, Los Alamos, NM 87545 USA</t>
  </si>
  <si>
    <t>Michigan State University; University of New Mexico; Arizona State University; Arizona State University-Tempe; Northern Arizona University; United States Department of Energy (DOE); Los Alamos National Laboratory</t>
  </si>
  <si>
    <t>Takacs-Vesbach, CD (corresponding author), Univ New Mexico, Dept Biol, MSC03 2020 1UNM, Albuquerque, NM 87131 USA.</t>
  </si>
  <si>
    <t>cvesbach@unm.edu</t>
  </si>
  <si>
    <t>Buelow, Heather/0000-0003-3535-4151; Feeser, Kelli/0000-0002-4144-0294</t>
  </si>
  <si>
    <t>NSF [OPP124599, OPP1142096, OPP1115245]; National Institute of General Medical Sciences of the National Institutes of HB [P30GM110907]</t>
  </si>
  <si>
    <t>NSF(National Science Foundation (NSF)); National Institute of General Medical Sciences of the National Institutes of HB</t>
  </si>
  <si>
    <t>This work was funded by NSF Grant OPP1142096 awarded to CT-V, DV, and ES. The McMurdo LTER (NSF Grant OPP1115245) provided additional support to CT-V and DV acknowledges support from NSF Grant OPP124599. The DNA sequencing reported in this publication was done by the Molecular Biology Facility in the Department of Biology and the Center for Evolutionary and Theoretical Immunology at the University of New Mexico, which is supported by the National Institute of General Medical Sciences of the National Institutes of HB under Award Number P30GM110907. The content is solely the responsibility of the authors and does not necessarily represent the official views of the National Institutes of Health.</t>
  </si>
  <si>
    <t>SPRINGER JAPAN KK</t>
  </si>
  <si>
    <t>TOKYO</t>
  </si>
  <si>
    <t>SHIROYAMA TRUST TOWER 5F, 4-3-1 TORANOMON, MINATO-KU, TOKYO, 105-6005, JAPAN</t>
  </si>
  <si>
    <t>1431-0651</t>
  </si>
  <si>
    <t>1433-4909</t>
  </si>
  <si>
    <t>Extremophiles</t>
  </si>
  <si>
    <t>10.1007/s00792-022-01262-3</t>
  </si>
  <si>
    <t>Biochemistry &amp; Molecular Biology; Microbiology</t>
  </si>
  <si>
    <t>ZU6HB</t>
  </si>
  <si>
    <t>WOS:000769941000001</t>
  </si>
  <si>
    <t>Tian, BA; Ding, MH; Putero, D; Li, CJ; Zhang, DQ; Tang, J; Zheng, XD; Bian, LG; Xiao, CD</t>
  </si>
  <si>
    <t>Tian, Biao; Ding, Minghu; Putero, Davide; Li, Chuanjin; Zhang, Dongqi; Tang, Jie; Zheng, Xiangdong; Bian, Lingen; Xiao, Cunde</t>
  </si>
  <si>
    <t>Multi-year variation of near-surface ozone at Zhongshan Station, Antarctica</t>
  </si>
  <si>
    <t>near-surface ozone (O-3); Zhongshan Station; O-3 enhancement events (OEEs)</t>
  </si>
  <si>
    <t>TROPOSPHERIC OZONE; BOUNDARY-LAYER; SOUTH-POLE; NO; VARIABILITY; PRECURSORS; TROPOPAUSE; CONCORDIA; EPISODES; AEROSOL</t>
  </si>
  <si>
    <t>With the support of the Chinese National Antarctic Research Expedition, near-surface ozone (O-3) was continuously monitored at Zhongshan Station (ZOS) (69 degrees 22 ' 12 '' S, 76 degrees 21 ' 49 '' E, 18.5 m above sea level) in East Antarctica from 2008 to 2020. The seasonal and diurnal variability of near-surface O-3 at ZOS were investigated. O-3 enhancement events (OEEs) were frequently observed in the warm season (OEEs in January accounted for 23.0% of all OEEs). The OEEs at ZOS were related to the photochemical reaction processes under the influences of O-3 and solar radiation in the stratosphere and synoptic-scale air mass transport from coastal areas (Princess Elizabeth Land, Wilkes Land, and Queen Mary Land), as evidenced by the recorded wind speed, solar shortwave irradiance, and total column ozone data and the computed potential source contribution function and concentration-weighted trajectory models. The results computed by the tool Stratosphere-to-Troposphere Exchange Flux indicated that stratosphere-to-troposphere transport had no direct impact on OEEs at ZOS. Therefore, synoptic-scale air mass transport is the main cause of OEEs in Antarctica, which is consistent with previous studies. Unlike OEEs at inland Antarctic stations, which are mainly affected by air mass transport from inland plateaus, OEEs at ZOS, a coastal station, are mainly affected by air mass transport from coastal land in East Antarctica.</t>
  </si>
  <si>
    <t>[Tian, Biao; Ding, Minghu; Zhang, Dongqi; Tang, Jie; Zheng, Xiangdong; Bian, Lingen] Chinese Acad Meteorol Sci, State Key Lab Severe Weather, Beijing 100081, Peoples R China; [Putero, Davide] Natl Res Council Italy, CNR 8211, Inst Atmospher Sci &amp; Climate, Corso Fiume 4, I-10133 Turin, Italy; [Putero, Davide] Natl Res Council Italy, ISAC, Corso Fiume 4, I-10133 Turin, Italy; [Li, Chuanjin] Chinese Acad Sci, Northwest Inst Ecoenvironm &amp; Resources, State Key Lab Cryospher Sci, Lanzhou 730000, Peoples R China; [Xiao, Cunde] Beijing Normal Univ, State Key Lab Earth Surface Proc &amp; Resource Ecol, Beijing 100875, Peoples R China</t>
  </si>
  <si>
    <t>China Meteorological Administration; Chinese Academy of Meteorological Sciences (CAMS); Consiglio Nazionale delle Ricerche (CNR); Istituto di Scienze dell'Atmosfera e del Clima (ISAC-CNR); Consiglio Nazionale delle Ricerche (CNR); Istituto di Scienze dell'Atmosfera e del Clima (ISAC-CNR); Chinese Academy of Sciences; Beijing Normal University</t>
  </si>
  <si>
    <t>dingminghu@foxmail.com</t>
  </si>
  <si>
    <t>Putero, Davide/P-1639-2018; Ding, Minghu/AFU-3600-2022</t>
  </si>
  <si>
    <t>Putero, Davide/0000-0002-9721-1036; Ding, Minghu/0000-0002-1142-6598</t>
  </si>
  <si>
    <t>National Key Research and Development Program of China [2021YFC2802504]; National Natural Science Foundation of China [42122047, 42176240]; Basic Fund of the Chinese Academy of Meteorological Sciences [2021Z006, 2019Y010]</t>
  </si>
  <si>
    <t>National Key Research and Development Program of China; National Natural Science Foundation of China(National Natural Science Foundation of China (NSFC)); Basic Fund of the Chinese Academy of Meteorological Sciences</t>
  </si>
  <si>
    <t>This work is financially supported by the National Key Research and Development Program of China (2021YFC2802504), the National Natural Science Foundation of China (42122047,42176240) and the Basic Fund of the Chinese Academy of Meteorological Sciences (2021Z006, 2019Y010). The observations were carried out during the Chinese National Antarctic Research Expedition at the Zhongshan Station. We are also grateful to NOAA for providing the HYSPLIT model and GFS meteorological files. Yaqiang Wang is the developer of MeteoInfo and provided generous help for the paper.</t>
  </si>
  <si>
    <t>10.1088/1748-9326/ac583c</t>
  </si>
  <si>
    <t>ZQ1HG</t>
  </si>
  <si>
    <t>WOS:000766862900001</t>
  </si>
  <si>
    <t>Blanco, JJ; García-Tejedor, JI; García-Población, O; Ayuso, S; López-Comazzi, A; Vrublevskyy, I; Prieto, M; Morozova, A</t>
  </si>
  <si>
    <t>Jose Blanco, Juan; Ignacio Garcia-Tejedor, Juan; Garcia-Poblacion, Oscar; Ayuso, Sindulfo; Lopez-Comazzi, Alejandro; Vrublevskyy, Ivan; Prieto, Manuel; Morozova, Anna</t>
  </si>
  <si>
    <t>Cosmic ray observations from Livingston Island</t>
  </si>
  <si>
    <t>Cosmic rays; Neutron monitors; Muon telescopes; Sun-Earth relationship</t>
  </si>
  <si>
    <t>NEUTRON MONITOR; PRESSURE</t>
  </si>
  <si>
    <t>ORCA, from the Spanish name Observatorio de Rayos Cosmicos Antartico, is a cosmic ray detector devoted to the observation of secondary cosmic rays at Juan Carlos I Spanish Antarctic Base (62 degrees 39' 46 '' S, 60 degrees 23' 20 '' W, 12 m above sea level). ORCA was installed at the beginning of January 2019 after performing a latitudinal survey from Vigo (Spain) to Livingston Island aboard the Sarmiento de Gamboa Research Vessel. ORCA was in commissioning phase from January 2019 to March 2020, being in normal operation mode from March 2020. A vertical cutoff rigidity of 2.37 GV has been computed at ORCA location and during the first year of operation, i. e. from March 2020 to March 2021. ORCA consists of three detectors stacked in a shared structure that maintains the relative distances between the detectors. A muon telescope (ORCM), a neutron monitor without any shielding around (ORCB) and a 3NM64 neutron monitor (ORCA). This configuration allows the measurement of neutron count rates at two different energy thresholds, muon count rate and muon incident directions. Measurements recorded during the first year of operation and ORCA potential capabilities are shown in this work. (C) 2022 COSPAR. Published by Elsevier B.V.</t>
  </si>
  <si>
    <t>[Jose Blanco, Juan; Ignacio Garcia-Tejedor, Juan; Garcia-Poblacion, Oscar; Ayuso, Sindulfo; Lopez-Comazzi, Alejandro; Vrublevskyy, Ivan; Prieto, Manuel] Univ Alcala, Plaza San Diego S-N, Alcala De Henares 28801, Spain; [Morozova, Anna] Univ Coimbra, Inst Astrofis &amp; Ciencias Espaco, Coimbra, Portugal</t>
  </si>
  <si>
    <t>Universidad de Alcala; Universidade de Coimbra</t>
  </si>
  <si>
    <t>Blanco, JJ (corresponding author), Univ Alcala, Plaza San Diego S-N, Alcala De Henares 28801, Spain.</t>
  </si>
  <si>
    <t>juanjo.blanco@uah.es</t>
  </si>
  <si>
    <t>Blanco-Avalos, Juan Jose/E-3627-2014; Prieto, Manuel/K-8822-2014; G. Tejedor, J. Ignacio/AAB-5573-2019; Morozova, Anna/I-2573-2015</t>
  </si>
  <si>
    <t>Blanco-Avalos, Juan Jose/0000-0002-8666-0696; Prieto, Manuel/0000-0003-3050-3445; G. Tejedor, J. Ignacio/0000-0003-1397-5950; Morozova, Anna/0000-0002-8552-8052</t>
  </si>
  <si>
    <t>Ministerio de Ciencia e Innovacion [PID2019-107806 GB-I00]</t>
  </si>
  <si>
    <t>Ministerio de Ciencia e Innovacion(Instituto de Salud Carlos IIISpanish Government)</t>
  </si>
  <si>
    <t>Thanks to the project PID2019-107806 GB-I00, funded by Ministerio de Ciencia e Innovacion. The neutron monitor data from South Pole are provided by the University of Wisconsin, River Falls. Juan Jose Blanco would like to give special thanks to Dr. Christian T. Steigies for his continued support of our research and his participation in the ORCA installation during the 2018-19 Spanish Antarctic campaign. Finally, the ORCA team wants to thank the BAE Juan Carlos I staff; without their support, the installation and operation of ORCA in Antarctica would have never been possible.</t>
  </si>
  <si>
    <t>10.1016/j.asr.2022.02.046</t>
  </si>
  <si>
    <t>MAR 2022</t>
  </si>
  <si>
    <t>2R2QN</t>
  </si>
  <si>
    <t>WOS:000820954800011</t>
  </si>
  <si>
    <t>Kim, S; Lee, MK; Shin, JY; Yoo, KC; Lee, JI; Kang, MI; Moon, HS; Prebble, JG</t>
  </si>
  <si>
    <t>Kim, Sunghan; Lee, Min Kyung; Shin, Ji Young; Yoo, Kyu-Cheul; Lee, Jae Il; Kang, Myung-Il; Moon, Heung Soo; Prebble, Joseph G.</t>
  </si>
  <si>
    <t>Variation in magnetic susceptibility in the Bellingshausen Sea continental rise since the last glacial period and implications for terrigenous material input mechanisms</t>
  </si>
  <si>
    <t>Magnetic susceptibility; Grain size; Ice-rafted debris; Coarse silt; Bellingshausen Sea</t>
  </si>
  <si>
    <t>WEST ANTARCTIC PENINSULA; SOUTHERN-OCEAN; PALMER DEEP; SCOTIA SEA; ROSS-SEA; SEDIMENT DRIFT; HIGH-LATITUDE; BARILARI BAY; GRAIN-SIZE; ICE CORES</t>
  </si>
  <si>
    <t>Magnetic susceptibility (MS) is routinely used as a proxy for terrigenous material input to Antarctic continental margin sediments. Variations in terrigenous input on glacial-interglacial timescales in this setting are related to a range of environmental changes; including to the cryosphere, atmosphere, and hydrosphere. However, the exact environmental factors and depositional processes that control MS values in sedimentary cores from the Antarctic continental margin remains unresolved. Here, we explore in detail sedimentary physical characteristics and MS values of core BS17-GC01 collected from Bellingshausen Sea continental rise, to understand how depositional process have varied during the late Quaternary. We found that input of terrigenous material increased markedly during Marine Isotope Stages (MIS) 2 and 4, compared to deposition during the adjacent interstadial and Holocene times. Variation in the bulk MS values were associated with changes in grain size. Size specific mass normalized MS measurements show the fine fraction (&lt;16 mu m) has the highest MS values, followed by the coarse silt fraction (16-63 mu m). However, because coarse silt is the predominant grain size, the increased bulk MS during MIS 2 and 4 are mainly driven by changes in this fraction. We propose that the coarse silt with high bulk MS values observed in glacial sediments were transported to the site as iceberg rafted debris, originating from the Bellingshausen Sea shelf region. In contrast, grains &gt;1 mm - a commonly applied proxy for glacial transport in this setting - were observed during MIS 1 and 3 only. We conclude these contrasting signatures of iceberg rafted debris in this Bellingshausen Sea core arise from changes in the to the erosive dynamics of the adjacent ice shelf and continental shelf on glacial/interglacial timescales.</t>
  </si>
  <si>
    <t>[Kim, Sunghan; Lee, Min Kyung; Yoo, Kyu-Cheul; Lee, Jae Il; Kang, Myung-Il; Moon, Heung Soo] Korea Polar Res Inst, Incheon 21990, South Korea; [Kim, Sunghan] Univ Sci &amp; Technol UST, Dept Polar Sci, Incheon 21990, South Korea; [Shin, Ji Young] Peking Univ, Sch Earth &amp; Space Sci, Lab Orogen Belts &amp; Crustal Evolut, Beijing, Peoples R China; [Prebble, Joseph G.] GNS Sci, Dept Surface Geosci, Lower Hutt, New Zealand</t>
  </si>
  <si>
    <t>Korea Polar Research Institute (KOPRI); University of Science &amp; Technology (UST); Peking University; GNS Science - New Zealand</t>
  </si>
  <si>
    <t>Kim, S (corresponding author), Korea Polar Res Inst, Incheon 21990, South Korea.</t>
  </si>
  <si>
    <t>delongksh@kopri.re.kr</t>
  </si>
  <si>
    <t>Shin, Ji Young/0000-0003-1646-9922</t>
  </si>
  <si>
    <t>KOPRI project [PE22090]; New Zealand Strategic Science Investment Fund: Antarctic Science Platform [ANTA1801]</t>
  </si>
  <si>
    <t>KOPRI project(Korea Polar Research Institute of Marine Research Placement (KOPRI)); New Zealand Strategic Science Investment Fund: Antarctic Science Platform</t>
  </si>
  <si>
    <t>We would like to thank the crew and scientific party of the IBR/V Araon for all their help during the gravity coring on board. We would like to thank Korea Polar Research Institute (KOPRI) laboratory mem-bers for all their help during experimental measurements. We appreciate the handling editor (Dr. Alex Dickson) , the reviewer (Dr. Stefanie Brachfeld) , and one anonymous reviewer for their important and constructive comments to improve data interpretation and manuscript structure. This research was supported by KOPRI project (PE22090) . JP was supported by the New Zealand Strategic Science Investment Fund: Antarctic Science Platform Contract ANTA1801. The data presented in this paper are presented in Supplementary Table 1.</t>
  </si>
  <si>
    <t>10.1016/j.palaeo.2022.110948</t>
  </si>
  <si>
    <t>1V8RD</t>
  </si>
  <si>
    <t>WOS:000806350900004</t>
  </si>
  <si>
    <t>Thorne, MAS</t>
  </si>
  <si>
    <t>Thorne, Michael A. S.</t>
  </si>
  <si>
    <t>Tipping cycles</t>
  </si>
  <si>
    <t>LINEAR ALGEBRA AND ITS APPLICATIONS</t>
  </si>
  <si>
    <t>Combinatorial matrix theory</t>
  </si>
  <si>
    <t>Instability in Jacobians is determined by the presence of an eigenvalue lying in the right half plane. The coefficients of the characteristic polynomial contain information related to the specific matrix elements that play a greater destabilising role. Yet the destabilising circuits, or cycles, constructed by multiplying these elements together, form only a subset of all the cycles comprising a given system. This paper looks at the destabilising cycles in three sign-restricted forms in terms of sets of the matrix elements to explore how sign structure affects how the elements contribute to instability. This leads to quite rich combinatorial structure among the destabilising cycle sets as set size grows within the coefficients of the characteristic polynomial. (c) 2022 The Author(s). Published by Elsevier Inc. This is an open access article under the CC BY license (http://creativecommons.org/licenses/by/4.0/).</t>
  </si>
  <si>
    <t>[Thorne, Michael A. S.] British Antarctic Survey, Cambridge, England</t>
  </si>
  <si>
    <t>Thorne, MAS (corresponding author), British Antarctic Survey, Cambridge, England.</t>
  </si>
  <si>
    <t>mior@bas.ac.uk</t>
  </si>
  <si>
    <t>Thorne, Michael/0000-0001-7759-612X</t>
  </si>
  <si>
    <t>Natural Environment Research Council; British Antarctic Survey Polar Science for Planet Earth Programme</t>
  </si>
  <si>
    <t>Natural Environment Research Council(UK Research &amp; Innovation (UKRI)Natural Environment Research Council (NERC)); British Antarctic Survey Polar Science for Planet Earth Programme</t>
  </si>
  <si>
    <t>The author wishes to thank a referee for useful comments and suggestions that helped improve the paper. This study is part of the British Antarctic Survey Polar Science for Planet Earth Programme. It was funded by The Natural Environment Research Council, a part of UK Research and Innovation.</t>
  </si>
  <si>
    <t>0024-3795</t>
  </si>
  <si>
    <t>1873-1856</t>
  </si>
  <si>
    <t>LINEAR ALGEBRA APPL</t>
  </si>
  <si>
    <t>Linear Alg. Appl.</t>
  </si>
  <si>
    <t>10.1016/j.laa.2022.03.019</t>
  </si>
  <si>
    <t>1V9CP</t>
  </si>
  <si>
    <t>WOS:000806382200003</t>
  </si>
  <si>
    <t>Li, J; Gu, XQ; Zhang, Q; Fu, LP; Tan, JJ; Zhao, LY</t>
  </si>
  <si>
    <t>Li, Jiang; Gu, Xiaoqian; Zhang, Qian; Fu, Liping; Tan, Jiaojiao; Zhao, Luying</t>
  </si>
  <si>
    <t>Biochemical Characterization of a Carrageenase, Car1383, Derived From Associated Bacteria of Antarctic Macroalgae</t>
  </si>
  <si>
    <t>carrageenase; Antarctic macroalgae; associated bacteria; metagenome; site-directed mutagenesis</t>
  </si>
  <si>
    <t>KAPPA-CARRAGEENASE; MARINE BACTERIUM; IOTA-CARRAGEENASE; ACTIVE-SITE; PURIFICATION; ACID; OLIGOSACCHARIDES; POLYSACCHARIDES; CHROMATOGRAPHY; EXPRESSION</t>
  </si>
  <si>
    <t>A carrageenase gene, car1383, was obtained from the metagenome of Antarctic macroalgae-associated bacteria. The amino acid sequence of its product showed up to 33% similarity with other carrageenases and contained a GH16-family motif. The recombinant Car1383 was heterologously expressed in Eschericia coli and exhibited maximal activity at 50 degrees C and pH 6.0, with a K-m of 6.51 mg/ml and a V-max of 55.77 U/mg. Its activity was enhanced by some cations (Na+, K+, and Fe2+), but inhibited or inactivated by others (Sr2+, Ca2+, Ni2+, Ba2+, Mn2+, Cu2+, Fe3+, and Mg2+). Car1383 degraded carrageenan into neocarrabiose and neocarratetraose. Site-directed mutagenesis indicated that putative active sites, E-190 and E-195, conserved sites, W-183 and G(255), play important roles in Car1383 activity. This study provides a new candidate for the industrial preparation of bioactive algal oligosaccharides.</t>
  </si>
  <si>
    <t>[Li, Jiang; Zhang, Qian; Fu, Liping; Zhao, Luying] Minist Nat Resources, Inst Oceanog 1, Key Lab Ecol Environm Sci &amp; Technol, Qingdao, Peoples R China; [Gu, Xiaoqian; Tan, Jiaojiao] Chinese Acad Sci, Inst Oceanol, CAS Key Lab Expt Marine Biol, Qingdao, Peoples R China</t>
  </si>
  <si>
    <t>First Institute of Oceanography, Ministry of Natural Resources; Ministry of Natural Resources of the People's Republic of China; Chinese Academy of Sciences; Institute of Oceanology, CAS</t>
  </si>
  <si>
    <t>Li, J (corresponding author), Minist Nat Resources, Inst Oceanog 1, Key Lab Ecol Environm Sci &amp; Technol, Qingdao, Peoples R China.</t>
  </si>
  <si>
    <t>lijiang@fio.org.cn</t>
  </si>
  <si>
    <t>fu, liping/HGV-1950-2022</t>
  </si>
  <si>
    <t>Impact and Response of Antarctic Seas to Climate Change [RFSOCC2020-2022]</t>
  </si>
  <si>
    <t>Impact and Response of Antarctic Seas to Climate Change</t>
  </si>
  <si>
    <t>Funding This work was supported by Impact and Response of Antarctic Seas to Climate Change (RFSOCC2020-2022).</t>
  </si>
  <si>
    <t>MAR 31</t>
  </si>
  <si>
    <t>10.3389/fmicb.2022.851182</t>
  </si>
  <si>
    <t>0W6KS</t>
  </si>
  <si>
    <t>WOS:000789133600001</t>
  </si>
  <si>
    <t>Garcia, LAA; Descamps, S; Herzke, D; Chastel, O; Carravieri, A; Cherel, Y; Labadie, P; Budzinski, H; Munoz, G; Bustamante, P; Polder, A; Gabrielsen, GW; Bustnes, JO; Borga, K</t>
  </si>
  <si>
    <t>Alfaro Garcia, Laura Andrea; Descamps, Sebastien; Herzke, Dorte; Chastel, Olivier; Carravieri, Alice; Cherel, Yves; Labadie, Pierre; Budzinski, Helene; Munoz, Gabriel; Bustamante, Paco; Polder, Anuschka; Gabrielsen, Geir Wing; Bustnes, Jan Ove; Borga, Katrine</t>
  </si>
  <si>
    <t>Bioaccumulation of Per and Polyfluoroalkyl Substances in Antarctic Breeding South Polar Skuas (Catharacta maccormicki) and Their Prey</t>
  </si>
  <si>
    <t>biomagnification; PFAS; seabirds; Thalassoica antarctica; Pygoscelis adeliae</t>
  </si>
  <si>
    <t>PERSISTENT ORGANIC POLLUTANTS; TROPHIC MAGNIFICATION FACTORS; PERFLUOROALKYL SUBSTANCES; PERFLUOROOCTANE SULFONATE; ADELIE LAND; PERFLUORINATED COMPOUNDS; PENGUINS; PLASMA; CHEMICALS; PETRELS</t>
  </si>
  <si>
    <t>Per and polyfluoroalkyl substances (PFASs) are found in Antarctic wildlife, with high levels in the avian top predator south polar skua (Catharacta maccormicki). As increasing PFAS concentrations were found in the south polar skua during the breeding season in Antarctica, we hypothesised that available prey during the breeding period contributes significantly to the PFAS contamination in skuas. To test this, we compared PFAS in south polar skuas and their main prey from two breeding sites on opposite sides of the Antarctic continent: Antarctic petrel (Thalassoica antarctica) stomach content, eggs, chicks, and adults from Svarthamaren in Dronning Maud Land and Adelie penguin chicks (Pygoscelis adeliae) from Dumont d'Urville in Adelie Land. Of the 22 PFAS analysed, seven were present in the majority of samples, except petrel stomach content [only perfluoroundecanoate (PFUnA) present] and Adelie penguins (only four compounds present), with increasing concentrations from the prey to the skuas. The biomagnification factors (BMFs) were higher at Dumont d'Urville than Svarthamaren. When adjusted to reflect one trophic level difference, the BMFs at Svarthamaren remained the same, whereas the ones at Dumont d'Urville doubled. At both the colonies, the skua PFAS pattern was dominated by perfluorooctanesulfonic acid (PFOS), followed by PFUnA, but differed with the presence of branched PFOS and perfluorotetradecanoate (PFTeA) and lack of perfluorononanoate (PFNA) and perfluorodecanoate (PFDA) at Dumont d'Urville. At Svarthamaren, the pattern in the prey was comparable to the skuas, but with a higher relative contribution of PFTeA in prey. At Dumont d'Urville, the pattern in the prey differed from the skuas, with the domination of PFUnA and the general lack of PFOS in prey. Even though the PFAS levels are low in Antarctic year-round resident prey, the three lines of evidence (pattern, BMF difference, and BMF adjusted to one trophic level) suggest that the Antarctic petrel are the significant source of PFAS in the Svarthamaren skuas, whereas the skuas in Dumont d'Urville have other important sources to PFAS than Adelie penguin, either in the continent or external on the inter-breeding foraging grounds far from Antarctica.</t>
  </si>
  <si>
    <t>[Alfaro Garcia, Laura Andrea; Borga, Katrine] Dept Biosci, Oslo, Norway; [Descamps, Sebastien; Gabrielsen, Geir Wing] Norwegian Polar Res Inst, Fram Ctr, Tromso, Norway; [Herzke, Dorte] Norwegian Inst Air Res NILU, Tromso, Norway; [Chastel, Olivier; Carravieri, Alice; Cherel, Yves] Rochelle Univ, Ctr Etud Biol Chize CEBC, UMR 7372, CNRS, Chize, France; [Carravieri, Alice; Bustamante, Paco] Univ Rochelle, UMR 7266, CNRS, Littoral Environm &amp; Soc LIENSs, La Rochelle, France; [Budzinski, Helene; Munoz, Gabriel] Univ Bordeaux, UMR EPOC LPTC 5805, Talence, France; [Labadie, Pierre; Budzinski, Helene] CNRS, UMR 5805, Environm &amp; Paleoenvironnements Ocean &amp; Continentau, Talence, France; [Bustamante, Paco] Inst Univ France IUF, Paris, France; [Polder, Anuschka] Norwegian Univ Life Sci, Dept Paraclin Sci, As, Norway; [Bustnes, Jan Ove] Norwegian Inst Nat Res NINA, Fram Ctr, Tromso, Norway</t>
  </si>
  <si>
    <t>Norwegian Polar Institute; NILU; Centre National de la Recherche Scientifique (CNRS); CNRS - Institute of Ecology &amp; Environment (INEE); Centre National de la Recherche Scientifique (CNRS); CNRS - Institute of Ecology &amp; Environment (INEE); Centre National de la Recherche Scientifique (CNRS); Universite de Bordeaux; Centre National de la Recherche Scientifique (CNRS); CNRS - National Institute for Earth Sciences &amp; Astronomy (INSU); Institut Universitaire de France; Norwegian University of Life Sciences; Norwegian Institute Nature Research</t>
  </si>
  <si>
    <t>Borga, K (corresponding author), Dept Biosci, Oslo, Norway.</t>
  </si>
  <si>
    <t>katrine.borga@ibv.uio.no</t>
  </si>
  <si>
    <t>Bustamante, Paco/G-5833-2011; Gabrielsen, Geir Wing/JDC-6415-2023</t>
  </si>
  <si>
    <t>Bustamante, Paco/0000-0003-3877-9390; Herzke, Dorte/0000-0001-9620-3053</t>
  </si>
  <si>
    <t>Norwegian Research Council [243763, 247698]; Norwegian Climate and Environment Ministry [QZA-15/0137]; Institut Polaire Francais Paul Emile Victor (IPEV) [109]; Contrat de Projet Etat-Region (CPER); European Regional Development Fund (FEDER); Institut Universitaire de France (IUF); ANR PolarTOP</t>
  </si>
  <si>
    <t>Norwegian Research Council(Research Council of Norway); Norwegian Climate and Environment Ministry; Institut Polaire Francais Paul Emile Victor (IPEV); Contrat de Projet Etat-Region (CPER); European Regional Development Fund (FEDER)(European Union (EU)); Institut Universitaire de France (IUF); ANR PolarTOP(Agence Nationale de la Recherche (ANR))</t>
  </si>
  <si>
    <t>This study at Svarthamaren was funded by the Norwegian Research Council project no. 243763 (Polar Ecotox), 247698 (IceBird) and the Norwegian Climate and Environment Ministry (Arctic 2030-Toxkart no. QZA-15/0137). The Institut Polaire Francais Paul Emile Victor (IPEV) (ProgramNffi 109, C Barbraud) and ANR PolarTOP (O Chastel) funded the work in Adelie Land. We thank the Contrat de Projet Etat-Region (CPER) and the European Regional Development Fund (FEDER) for funding the IRMS of LIENSs. We also thank the Institut Universitaire de France (IUF) for support to PB as a senior member.</t>
  </si>
  <si>
    <t>10.3389/fmars.2022.819525</t>
  </si>
  <si>
    <t>0V9JC</t>
  </si>
  <si>
    <t>WOS:000788654300001</t>
  </si>
  <si>
    <t>Sun, WK; Zhou, XH; Zhou, DX; Sun, YF</t>
  </si>
  <si>
    <t>Sun, Weikang; Zhou, Xinghua; Zhou, Dongxu; Sun, Yanfei</t>
  </si>
  <si>
    <t>Advances and Accuracy Assessment of Ocean Tide Models in the Antarctic Ocean</t>
  </si>
  <si>
    <t>the Antarctic Ocean; CATS 2008; EOT20; TPXO9; FES 2014; accuracy assessment</t>
  </si>
  <si>
    <t>DISSIPATION; ENERGY; GAUGE; SEA</t>
  </si>
  <si>
    <t>Ocean tides in polar regions play an important role in the study of sea ice dynamics and floating ice shelves. The accuracy of existing ocean tide models in shallow waters and polar seas is much lower than that in open deep oceans. This study summarized the advances of state-of-the-art global tide models in the Antarctic Ocean, the construction of tide models around Circum-Antarctica, and five typical regions: Antarctic Peninsula, Ross Sea, Filchner-Ronne Ice Shelf (FRIS), Weddell Sea, and Amery Ice Shelf (AIS). The accuracy of FES 2014, TPXO9, EOT20, CATS 2008, and regional tide models in the Antarctic Ocean and typical areas was evaluated using tidal records and satellite altimetry data. EOT20 and ANTPEN04.01 models have higher accuracy in the Antarctic Peninsula, and the root sum square (RSS) values are 8.29 and 7.46 cm, respectively. TPXO9 has the highest accuracy in the Weddell Sea and FRIS and AIS and RSS values are 18.33 and 12.77 cm, respectively. TPXO9 and RIS_Optimal models have higher accuracy in the Ross Sea and Ross Ice Shelf (RIS), RSS values are 5.62 and 6.21 cm, respectively. The accuracy of FES 2014, TPXO9, CATS 2008, and the regional tide model in the Drake Passage, Kerguelen Islands, and Adelie-Mertz was evaluated using satellite altimetry data. The RSS values are less than 4 cm. By using the altimetry data at Sentinel-3A single-satellite crossovers in terms of the STD of the SLA, the comparison of the STDs show that FES2014 is the best.</t>
  </si>
  <si>
    <t>[Sun, Weikang; Zhou, Xinghua] Shandong Univ Sci &amp; Technol, Coll Geodesy &amp; Geomatics, Qingdao, Peoples R China; [Sun, Weikang; Zhou, Xinghua; Zhou, Dongxu] Minist Nat Resources, Inst Oceanog 1, Marine Survey Res Ctr, Qingdao, Peoples R China; [Sun, Yanfei] Qingdao West Coast Basic Geog Informat Ctr Co Ltd, Qingdao, Peoples R China</t>
  </si>
  <si>
    <t>Shandong University of Science &amp; Technology; Ministry of Natural Resources of the People's Republic of China; First Institute of Oceanography, Ministry of Natural Resources</t>
  </si>
  <si>
    <t>Zhou, DX (corresponding author), Minist Nat Resources, Inst Oceanog 1, Marine Survey Res Ctr, Qingdao, Peoples R China.</t>
  </si>
  <si>
    <t>zhoudongxu@fio.org.cn</t>
  </si>
  <si>
    <t>Sun, Yanfei/I-7946-2018; zhou, xt/GWZ-9212-2022; Zhou, Dongxu/HJI-5524-2023; Zhou, Xiangfeng/KDO-8724-2024; zhou, xing/GQP-4516-2022</t>
  </si>
  <si>
    <t>National Natural Science Foundation of China [FES2014, 41706115]; Natural Science Foundation of Shandong Province [42104035, ZR2020QD087]; [ZR2017QD011]</t>
  </si>
  <si>
    <t>National Natural Science Foundation of China(National Natural Science Foundation of China (NSFC)); Natural Science Foundation of Shandong Province(Natural Science Foundation of Shandong Province);</t>
  </si>
  <si>
    <t>This research was funded by the National Natural Science Foundation of China (Grant Numbers 41706115 and 42104035) and the Natural Science Foundation of Shandong Province (Grant Numbers ZR2020QD087 and ZR2017QD011).</t>
  </si>
  <si>
    <t>10.3389/feart.2022.757821</t>
  </si>
  <si>
    <t>0V9MR</t>
  </si>
  <si>
    <t>WOS:000788663700001</t>
  </si>
  <si>
    <t>Press, AJ; Constable, AJ</t>
  </si>
  <si>
    <t>Press, A. J.; Constable, A. J.</t>
  </si>
  <si>
    <t>Conservation Law in Antarctica and the Southern Ocean: the Antarctic Treaty System, conservation, and environmental protection</t>
  </si>
  <si>
    <t>Antarctica; Southern Ocean; conservation; Antarctic Treaty; CCAMLR; Antarctic Treaty System; Committee for Environmental Protection</t>
  </si>
  <si>
    <t>MARINE LIVING RESOURCES; CONVENTION; MANAGEMENT; FISHERIES</t>
  </si>
  <si>
    <t>The Antarctic Treaty System provides the corpus of law that governs the obligations of its Parties to protect and conserve the Antarctic environment. The System consists principally of the Antarctic Treaty (the Treaty), the Convention on the Conservation of Antarctic Marine Living Resources (CAMLR Convention), and the Protocol on Environmental Protection to the Antarctic Treaty (Environmental Protocol). The Antarctic Treaty establishes the Antarctic Treaty Consultative Meeting - the body that makes decisions under the provisions of the Treaty and Environmental Protocol. The CAMLR Convention establishes the Commission for the Conservation of Antarctic Marine Living Resources (CCAMLR) - its decision-making body. Together, these two international bodies are responsible for the modern-day conservation and environmental management regimes for Antarctica and the Southern Ocean. This paper looks at the scope of law developed under the Antarctic Treaty System and its evolution; and at the interaction between the different components of the Antarctic Treaty System. The paper also forecasts some of the future challenges to conservation and environmental protection in Antarctica and the Southern Ocean.</t>
  </si>
  <si>
    <t>[Press, A. J.] Univ Tasmania, Inst Marine &amp; Antarctic Studies, Hobart, Tas, Australia; [Press, A. J.] Univ Tasmania, Australian Antarctic Program Partnership, Hobart, Tas, Australia; [Constable, A. J.] Univ Tasmania, Ctr Marine Socioecol, Hobart, Tas, Australia</t>
  </si>
  <si>
    <t>University of Tasmania; University of Tasmania; University of Tasmania</t>
  </si>
  <si>
    <t>Press, AJ (corresponding author), Univ Tasmania, Inst Marine &amp; Antarctic Studies, Hobart, Tas, Australia.;Press, AJ (corresponding author), Univ Tasmania, Australian Antarctic Program Partnership, Hobart, Tas, Australia.</t>
  </si>
  <si>
    <t>tony.press@utas.edu.au</t>
  </si>
  <si>
    <t>Press, Anthony/0000-0002-3233-8933</t>
  </si>
  <si>
    <t>10.1080/10357718.2022.2057920</t>
  </si>
  <si>
    <t>WOS:000780802600001</t>
  </si>
  <si>
    <t>Yamamoto, M; Clemens, SC; Seki, O; Tsuchiya, Y; Huang, YS; O'ishi, R; Abe-Ouchi, A</t>
  </si>
  <si>
    <t>Yamamoto, Masanobu; Clemens, Steven C.; Seki, Osamu; Tsuchiya, Yuko; Huang, Yongsong; O'ishi, Ryouta; Abe-Ouchi, Ayako</t>
  </si>
  <si>
    <t>Increased interglacial atmospheric CO2 levels followed the mid-Pleistocene Transition</t>
  </si>
  <si>
    <t>MIDDLE PLEISTOCENE TRANSITION; CARBON-DIOXIDE CONCENTRATION; VOSTOK ICE CORE; BORON ISOTOPE; ANTARCTIC ICE; ARABIAN SEA; MULTI-PROXY; CLIMATE; RECORD; EVOLUTION</t>
  </si>
  <si>
    <t>Atmospheric CO2 and polar ice volume have been strongly coupled over the past 805,000 years. However, the prior extent of coupling, during times of lower-amplitude ice-volume variability, is unknown because continuous high-resolution CO2 records are lacking. We reconstructed the past 1,460,000 years of atmospheric CO2 (similar to 1,700year sample resolution) by taking advantage of the unique relationship between CO2 concentration and leaf-wax delta C-13 resulting from changes in the extent of C-3 and C-4 vegetation in East India. Notably, reconstructed interglacial CO2 concentrations were lower before the transition to large volume variability during the mid-Pleistocene Transition (900,000 years ago). Prior to the mid-Pleistocene Transition, CO2 exhibited a secular trend similar to that of deep-ocean carbon isotopes. At orbital time scales, phase analysis indicates that the CO2 lead relative to ice volume changed to a lag during the mid-Pleistocene Transition. Combined, these findings suggest that deep-ocean circulation controlled the long-term CO2 trend, and that interaction between CO2, continental ice and deep-ocean circulation was reorganized during the mid-Pleistocene Transition, involving a decrease in carbon storage in the deep Pacific.</t>
  </si>
  <si>
    <t>[Yamamoto, Masanobu] Hokkaido Univ, Fac Environm Earth Sci, Sapporo, Hokkaido, Japan; [Yamamoto, Masanobu; Seki, Osamu; Tsuchiya, Yuko] Hokkaido Univ, Grad Sch Environm Sci, Sapporo, Hokkaido, Japan; [Clemens, Steven C.; Huang, Yongsong] Brown Univ, Dept Earth Environm &amp; Planetary Sci, Providence, RI 02912 USA; [Seki, Osamu] Hokkaido Univ, Inst Low Temp Sci, Sapporo, Hokkaido, Japan; [O'ishi, Ryouta; Abe-Ouchi, Ayako] Univ Tokyo, Atmosphere &amp; Ocean Res Inst, Kashiwa, Chiba, Japan</t>
  </si>
  <si>
    <t>Hokkaido University; Hokkaido University; Brown University; Hokkaido University; University of Tokyo</t>
  </si>
  <si>
    <t>Yamamoto, M (corresponding author), Hokkaido Univ, Fac Environm Earth Sci, Sapporo, Hokkaido, Japan.;Yamamoto, M (corresponding author), Hokkaido Univ, Grad Sch Environm Sci, Sapporo, Hokkaido, Japan.</t>
  </si>
  <si>
    <t>myama@ees.hokudai.ac.jp</t>
  </si>
  <si>
    <t>Abe-Ouchi, Ayako A/M-6359-2013; Yamamoto, Masanobu/A-6990-2012</t>
  </si>
  <si>
    <t>Abe-Ouchi, Ayako A/0000-0003-1745-5952; Yamamoto, Masanobu/0000-0003-1312-825X; Huang, Yongsong/0000-0002-9287-4543; Clemens, Steven/0000-0002-1136-7815; O'ishi, Ryouta/0000-0002-1001-9309</t>
  </si>
  <si>
    <t>JSPS [17H06104, JPMXS05R2900001, 19H05595]; US NSF [OCE1634774]; MEXT [17H06323]; ArCS project (MEXT, Japan) [JPMXD1300000000]; JAMSTEC Exp 353 post-cruise study; Grants-in-Aid for Scientific Research [17H06323, 17H06104, 19H05595] Funding Source: KAKEN</t>
  </si>
  <si>
    <t>JSPS(Ministry of Education, Culture, Sports, Science and Technology, Japan (MEXT)Japan Society for the Promotion of Science); US NSF(National Science Foundation (NSF)); MEXT(Ministry of Education, Culture, Sports, Science and Technology, Japan (MEXT)); ArCS project (MEXT, Japan); JAMSTEC Exp 353 post-cruise study; Grants-in-Aid for Scientific Research(Ministry of Education, Culture, Sports, Science and Technology, Japan (MEXT)Japan Society for the Promotion of ScienceGrants-in-Aid for Scientific Research (KAKENHI))</t>
  </si>
  <si>
    <t>This research used samples provided by IODP expedition 353. We thank Y. Sazuka, A. Muto and K. Ono for analytical assistance, and Y. Chikaraishi for providing the end-member value of wild C4 plants. M.Y. was funded by JSPS grants JPMXS05R2900001 and 19H05595 and JAMSTEC Exp 353 post-cruise study. S.C.C. was supported by US NSF OCE1634774. A.A.-O. was supported by JSPS grant 17H06104, MEXT grant 17H06323 and JAMSTEC to use the Earth Simulator supercomputer. R.O. was supported by ArCS project JPMXD1300000000 (MEXT, Japan).</t>
  </si>
  <si>
    <t>10.1038/s41561-022-00918-1</t>
  </si>
  <si>
    <t>0M2UG</t>
  </si>
  <si>
    <t>WOS:000777374800002</t>
  </si>
  <si>
    <t>Strating, R</t>
  </si>
  <si>
    <t>Strating, Rebecca</t>
  </si>
  <si>
    <t>Assessing the maritime 'rules-based order' in Antarctica</t>
  </si>
  <si>
    <t>Antarctica; UNCLOS; maritime order; Australia</t>
  </si>
  <si>
    <t>CONTINENTAL-SHELF; AUSTRALIA; CHINA; SECURITY; SEA; LAW</t>
  </si>
  <si>
    <t>International Relations has become increasingly interested in maritime order as the oceans have emerged as a key site of strategic competition. The South China Sea has become totemic of contests between 'free' and 'closed' visions of the seas, and is viewed by some as a litmus test for China's efforts to re-write the 'rules-based order' in other maritime domains. This article examines the maritime 'rules-based order' in Antarctica, critically examining how and why the United Nations Convention on the Law of the Sea (UNCLOS) matters for the Antarctic region, the Southern Ocean and mechanisms of regional governance. This article contributes to understanding the complexity of maritime order in Antarctica by using Australia's maritime claims as a case study. Australia is the largest claimant state in Antarctica, with the Australian Antarctic Territory (AAT) constituting 42% of the landmass. This paper examines Australia's contentious maritime jurisdiction and its 'normative hedging' strategy that simultaneously asserts maritime claims and defends collective governance mechanisms, despite the apparent dissonance between these two positions. It argues that the Antarctic region has its own unique 'rules-based order' and geographic realities that complicate cross-regional comparisons, and that even so-called 'like-minded' states interpret maritime rules in different ways.</t>
  </si>
  <si>
    <t>[Strating, Rebecca] La Trobe Univ, La Trobe Asia, DMW Bldg Level 1,Kingsbury Dr, Melbourne, Vic 3086, Australia</t>
  </si>
  <si>
    <t>Melbourne Genomics Health Alliance; La Trobe University</t>
  </si>
  <si>
    <t>Strating, R (corresponding author), La Trobe Univ, La Trobe Asia, DMW Bldg Level 1,Kingsbury Dr, Melbourne, Vic 3086, Australia.</t>
  </si>
  <si>
    <t>b.strating@latrobe.edu.au</t>
  </si>
  <si>
    <t>Strating, rebecca/0000-0002-7695-130X</t>
  </si>
  <si>
    <t>10.1080/10357718.2022.2056874</t>
  </si>
  <si>
    <t>WOS:000777153000001</t>
  </si>
  <si>
    <t>Arthur, JF; Stokes, CR; Jamieson, SSR; Carr, JR; Leeson, AA; Verjans, V</t>
  </si>
  <si>
    <t>Arthur, Jennifer F.; Stokes, Chris R.; Jamieson, Stewart S. R.; Carr, J. Rachel; Leeson, Amber A.; Verjans, Vincent</t>
  </si>
  <si>
    <t>Large interannual variability in supraglacial lakes around East Antarctica</t>
  </si>
  <si>
    <t>SURFACE MASS-BALANCE; ICE-SHELF; SEASONAL EVOLUTION; OUTLET GLACIERS; SNOW COVER; MELTWATER; CLIMATE; MELT; MODEL; GREENLAND</t>
  </si>
  <si>
    <t>Antarctic supraglacial lakes (SGLs) have been linked to ice shelf collapse and the subsequent acceleration of inland ice flow, but observations of SGLs remain relatively scarce and their interannual variability is largely unknown. This makes it difficult to assess whether some ice shelves are close to thresholds of stability under climate warming. Here, we present the first observations of SGLs across the entire East Antarctic Ice Sheet over multiple melt seasons (2014-2020). Interannual variability in SGL volume is &gt;200% on some ice shelves, but patterns are highly asynchronous. More extensive, deeper SGLs correlate with higher summer (December-January-February) air temperatures, but comparisons with modelled melt and runoff are complex. However, we find that modelled January melt and the ratio of November firn air content to summer melt are important predictors of SGL volume on some potentially vulnerable ice shelves, suggesting large increases in SGLs should be expected under future atmospheric warming. Antarctic supraglacial lakes (SGLs) have been linked to ice-shelf collapse and the subsequent acceleration of inland ice flow, but observations of SGLs remain relatively scarce and their interannual variability is largely unknown. This new study shows that lake area and volume vary substantially from year-to-year around the East Antarctic Ice Sheet and between ice shelves.</t>
  </si>
  <si>
    <t>[Arthur, Jennifer F.; Stokes, Chris R.; Jamieson, Stewart S. R.] Univ Durham, Dept Geog, Durham DH1 3LE, England; [Carr, J. Rachel] Newcastle Univ, Sch Geog Polit &amp; Sociol, Newcastle Upon Tyne NE1 7RU, Tyne &amp; Wear, England; [Leeson, Amber A.] Univ Lancaster, Lancaster Environm Ctr, Data Sci Inst, Lancaster LA1 4YW, England; [Verjans, Vincent] Georgia Inst Technol, Sch Earth &amp; Atmospher Sci, Atlanta, GA 30332 USA</t>
  </si>
  <si>
    <t>Durham University; Newcastle University - UK; Lancaster University; University System of Georgia; Georgia Institute of Technology</t>
  </si>
  <si>
    <t>Arthur, JF (corresponding author), Univ Durham, Dept Geog, Durham DH1 3LE, England.</t>
  </si>
  <si>
    <t>jennifer.arthur@durham.ac.uk</t>
  </si>
  <si>
    <t>Stokes, Chris R/A-1957-2011; Leeson, Amber/JFA-1001-2023; Jamieson, Stewart/B-8330-2013</t>
  </si>
  <si>
    <t>Arthur, Jennifer/0000-0001-8753-7211; Jamieson, Stewart/0000-0002-9036-2317; Leeson, Amber/0000-0001-8720-9808; Verjans, Vincent/0000-0002-3928-9556</t>
  </si>
  <si>
    <t>IAPETUS Natural Environment Research Council (NERC) Doctoral Training Partnership [NE/L002590/1]; NERC [NE/R000824/1]; NERC [NE/R000824/1] Funding Source: UKRI</t>
  </si>
  <si>
    <t>IAPETUS Natural Environment Research Council (NERC) Doctoral Training Partnership(UK Research &amp; Innovation (UKRI)Natural Environment Research Council (NERC)); NERC(UK Research &amp; Innovation (UKRI)Natural Environment Research Council (NERC)); NERC(UK Research &amp; Innovation (UKRI)Natural Environment Research Council (NERC))</t>
  </si>
  <si>
    <t>J.F.A. was funded by the IAPETUS Natural Environment Research Council (NERC) Doctoral Training Partnership (grant number NE/L002590/1). C.R.S. and S.S.R.J. were supported by NERC grant NE/R000824/1. We would like to thank Mahsa Moussavi for helpful discussions and for provision of masked Landsat 8 scenes (see Data Availability). We acknowledge MAR data from Xavier Fettweis (xavier.fettweis@uliege.be) and the Norwegian Polar Institute's Quantarctica package (Matsuoka et al., 2021, doi: 10.1016/j.envsoft.2021.105015).</t>
  </si>
  <si>
    <t>10.1038/s41467-022-29385-3</t>
  </si>
  <si>
    <t>0E9RC</t>
  </si>
  <si>
    <t>WOS:000777008300028</t>
  </si>
  <si>
    <t>Phillips, LM; Leihy, RI; Chown, SL</t>
  </si>
  <si>
    <t>Phillips, Laura M.; Leihy, Rachel, I; Chown, Steven L.</t>
  </si>
  <si>
    <t>Improving species-based area protection in Antarctica</t>
  </si>
  <si>
    <t>biodiversity; evidence-based decision-making; nomenclature; systematic conservation planning; type localities; biodiversidad; localidades tipo; planeacion sistematica de la conservacion; nomenclatura; toma de decisiones basada en evidencias</t>
  </si>
  <si>
    <t>CONSERVATION; HISTORY; DISTRIBUTIONS; EXPANSION; ISLANDS</t>
  </si>
  <si>
    <t>Area protection is a major mechanism deployed for environmental conservation in Antarctica. Yet, the Antarctic protected areas network is widely acknowledged as inadequate, in part because the criteria for area protection south of 60 degrees S are not fully applied. The most poorly explored of these criteria is the type locality of species, which provides the primary legal means for Antarctic species-based area protection and a method for conserving species even if little is known about their habitat or distribution. The type locality criterion has not been systematically assessed since its incorporation into the Protocol on Environmental Protection to the Antarctic Treaty in 1991, so the extent to which the criterion is being met or might be useful for area protection is largely unknown. To address the matter, we created and analyzed a comprehensive database of Antarctic type localities of terrestrial and lacustrine lichens, plants, and animals. We compiled the database via a literature search of key taxonomic and geographic terms and then analyzed the distance between type localities identifiable to a &lt;= 25km(2) resolution and current Antarctic Specially Protected Areas (ASPAs) and human infrastructure. We used a distance-clustering approach for localities outside current ASPAs to determine candidate protected areas that could contain these unprotected localities. Of the 386 type localities analyzed, 108 were within or overlapped current ASPAs. Inclusion of the remaining 278 type localities in the ASPA network would require the designation of a further 105 protected areas. Twenty-four of these areas included human infrastructure disturbance. Given the slow rate of ASPA designation, growing pace of human impacts on the continent, and the management burden associated with ASPAs, we propose ways in which the type locality criterion might best be deployed. These include a comprehensive, systematic conservation planning approach and an alternative emphasis on the habitat of species, rather than on a single locality.</t>
  </si>
  <si>
    <t>[Phillips, Laura M.; Leihy, Rachel, I; Chown, Steven L.] Monash Univ, Sch Biol Sci, Securing Antarcticas Environm Future, Melbourne, Vic 3800, Australia</t>
  </si>
  <si>
    <t>Monash University; Melbourne Genomics Health Alliance</t>
  </si>
  <si>
    <t>Phillips, LM (corresponding author), Monash Univ, Sch Biol Sci, Securing Antarcticas Environm Future, Melbourne, Vic 3800, Australia.</t>
  </si>
  <si>
    <t>laura.phillips@monash.edu</t>
  </si>
  <si>
    <t>Chown, Steven/ABD-7646-2021; Chown, Steven/H-3347-2011</t>
  </si>
  <si>
    <t>Chown, Steven/0000-0001-6069-5105; Phillips, Laura/0000-0003-4297-5132; Leihy, Rachel/0000-0001-9672-625X</t>
  </si>
  <si>
    <t>Australian Antarctic Science Grant [4482]; ARC SRIEAS Grant [SR200100005]; Australian Research Council [SR200100005] Funding Source: Australian Research Council</t>
  </si>
  <si>
    <t>Australian Antarctic Science Grant; ARC SRIEAS Grant(Australian Research Council); Australian Research Council(Australian Research Council)</t>
  </si>
  <si>
    <t>We dedicate this work to the memory of D.W.H. Walton, an Antarctic polymath, conservation pioneer, and much-missed colleague. M. McGeoch commented on an earlier version of this work. This research was funded by Australian Antarctic Science Grant 4482 and ARC SRIEAS Grant SR200100005 Securing Antarctica's Environmental Future.</t>
  </si>
  <si>
    <t>e13885</t>
  </si>
  <si>
    <t>10.1111/cobi.13885</t>
  </si>
  <si>
    <t>3G4RM</t>
  </si>
  <si>
    <t>WOS:000776260300001</t>
  </si>
  <si>
    <t>Frankowski, K; Miyazaki, K; Brenneis, G</t>
  </si>
  <si>
    <t>Frankowski, Karina; Miyazaki, Katsumi; Brenneis, Georg</t>
  </si>
  <si>
    <t>A microCT-based atlas of the central nervous system and midgut in sea spiders (Pycnogonida) sheds first light on evolutionary trends at the family level</t>
  </si>
  <si>
    <t>FRONTIERS IN ZOOLOGY</t>
  </si>
  <si>
    <t>Chelicerata; Pantopoda; Neuroanatomy; Ventral nerve cord; Digestive system; Evolution; Phylogeny; 3D reconstruction; X-ray tomography</t>
  </si>
  <si>
    <t>FEMALE REPRODUCTIVE-SYSTEM; ARTHROPODA; PHYLOGENY; GENUS; CALLIPALLENIDAE; MORPHOLOGY; NEURONS; CORD; NEUROPHYLOGENY; ULTRASTRUCTURE</t>
  </si>
  <si>
    <t>Background Pycnogonida (sea spiders) is the sister group of all other extant chelicerates (spiders, scorpions and relatives) and thus represents an important taxon to inform early chelicerate evolution. Notably, phylogenetic analyses have challenged traditional hypotheses on the relationships of the major pycnogonid lineages (families), indicating external morphological traits previously used to deduce inter-familial affinities to be highly homoplastic. This erodes some of the support for phylogenetic information content in external morphology and calls for the study of additional data classes to test and underpin in-group relationships advocated in molecular analyses. In this regard, pycnogonid internal anatomy remains largely unexplored and taxon coverage in the studies available is limited. Results Based on micro-computed X-ray tomography and 3D reconstruction, we created a comprehensive atlas of in-situ representations of the central nervous system and midgut layout in all pycnogonid families. Beyond that, immunolabeling for tubulin and synapsin was used to reveal selected details of ganglionic architecture. The ventral nerve cord consistently features an array of separate ganglia, but some lineages exhibit extended composite ganglia, due to neuromere fusion. Further, inter-ganglionic distances and ganglion positions relative to segment borders vary, with an anterior shift in several families. Intersegmental nerves target longitudinal muscles and are lacking if the latter are reduced. Across families, the midgut displays linear leg diverticula. In Pycnogonidae, however, complex multi-branching diverticula occur, which may be evolutionarily correlated with a reduction of the heart. Conclusions Several gross neuroanatomical features are linked to external morphology, including intersegmental nerve reduction in concert with trunk segment fusion, or antero-posterior ganglion shifts in partial correlation to trunk elongation/compaction. Mapping on a recent phylogenomic phylogeny shows disjunct distributions of these traits. Other characters show no such dependency and help to underpin closer affinities in sub-branches of the pycnogonid tree, as exemplified by the tripartite subesophageal ganglion of Pycnogonidae and Rhynchothoracidae. Building on this gross anatomical atlas, future studies should now aim to leverage the full potential of neuroanatomy for phylogenetic interrogation by deciphering pycnogonid nervous system architecture in more detail, given that pioneering work on neuron subsets revealed complex character sets with unequivocal homologies across some families.</t>
  </si>
  <si>
    <t>[Frankowski, Karina; Brenneis, Georg] Univ Greifswald, Zool Inst &amp; Museum, AG Cytol &amp; Evolut Biol, Soldmannstr 23, D-17489 Greifswald, Germany; [Miyazaki, Katsumi] Niigata Univ, Fac Sci, Dept Environm Sci, 8050 Ikarashi 2 No Cho, Niigata 9502181, Japan</t>
  </si>
  <si>
    <t>Universitat Greifswald; Niigata University</t>
  </si>
  <si>
    <t>Brenneis, G (corresponding author), Univ Greifswald, Zool Inst &amp; Museum, AG Cytol &amp; Evolut Biol, Soldmannstr 23, D-17489 Greifswald, Germany.</t>
  </si>
  <si>
    <t>georg.brenneis@posteo.de</t>
  </si>
  <si>
    <t>Brenneis, Georg/0000-0003-1202-1899; Frankowski, Karina/0000-0001-6305-5832</t>
  </si>
  <si>
    <t>Projekt DEAL; Deutsche Forschungsgemeinschaft (DFG) [BR5039/3-1]; Assemble Plus grants as part of the European Union's Horizon 2020 research and innovation program [730984]; Alfred-Wegener-Institut Helmholtz-Zentrum fur Polar-und Meeresforschung [AWI_PS124_05, AWI_PS124_11]</t>
  </si>
  <si>
    <t>Projekt DEAL; Deutsche Forschungsgemeinschaft (DFG)(German Research Foundation (DFG)); Assemble Plus grants as part of the European Union's Horizon 2020 research and innovation program; Alfred-Wegener-Institut Helmholtz-Zentrum fur Polar-und Meeresforschung</t>
  </si>
  <si>
    <t>Open Access funding enabled and organized by Projekt DEAL. The project was funded by the Deutsche Forschungsgemeinschaft (DFG; grant-no. BR5039/3-1). Animal collection at Station Biologique de Roscoff (Sorbonne Universite) and Rothera Research Station (British Antarctic Survey) was funded by Assemble Plus grants to G.B. as part of the European Union's Horizon 2020 research and innovation program under grant agreement no. 730984. G.B.'s participation at the Antarctic RV Polarstern cruise PS124 was funded by the Alfred-Wegener-Institut Helmholtz-Zentrum fur Polar-und Meeresforschung (grant nos. AWI_PS124_05 and AWI_PS124_11).</t>
  </si>
  <si>
    <t>1742-9994</t>
  </si>
  <si>
    <t>FRONT ZOOL</t>
  </si>
  <si>
    <t>Front. Zool.</t>
  </si>
  <si>
    <t>10.1186/s12983-022-00459-8</t>
  </si>
  <si>
    <t>0E8KN</t>
  </si>
  <si>
    <t>WOS:000776923600001</t>
  </si>
  <si>
    <t>Beck, LJ; Schobesberger, S; Sipilä, M; Kerminen, VM; Kulmala, M</t>
  </si>
  <si>
    <t>Beck, Lisa J.; Schobesberger, Siegfried; Sipila, Mikko; Kerminen, Veli-Matti; Kulmala, Markku</t>
  </si>
  <si>
    <t>Estimation of sulfuric acid concentration using ambient ion composition and concentration data obtained with atmospheric pressure interface time-of-flight ion mass spectrometer</t>
  </si>
  <si>
    <t>PARTICLE FORMATION RATES; NUCLEATION; AEROSOL; PROXY; OH</t>
  </si>
  <si>
    <t>Sulfuric acid (H2SO4, SA) is the key compound in atmospheric new particle formation. Therefore, it is crucial to observe its concentration with sensitive instrumentation, such as chemical ionisation (CI) inlets coupled to atmospheric pressure interface time-of-flight (APi-TOF) mass spectrometers. However, there are environmental conditions for which and physical reasons why chemical ionisation cannot be used, for example in certain remote places or during flight measurements with limitations regarding chemicals. Here, we propose a theoretical method to estimate the SA concentration based on ambient ion composition and concentration measurements that are achieved by APi-TOF alone. We derive a theoretical expression to estimate the SA concentration and validate it with accurate CI-APi-TOF observations. Our validation shows that the developed estimate works well during daytime in a boreal forest (R-2 = 0.85); however, it underestimates the SA concentration in, e.g. the Antarctic atmosphere during new particle formation events where the dominating pathway for nucleation involves sulfuric acid and a base (R-2 = 0.48).</t>
  </si>
  <si>
    <t>[Beck, Lisa J.; Sipila, Mikko; Kerminen, Veli-Matti; Kulmala, Markku] Univ Helsinki, Inst Atmospher &amp; Earth Syst Res Phys, Helsinki 00014, Finland; [Schobesberger, Siegfried] Univ Eastern Finland, Dept Appl Phys, Kuopio 70211, Finland; [Kulmala, Markku] Beijing Univ Chem Technol BUCT, Beijing Adv Innovat Ctr Soft Matter Sci &amp; Engn, Aerosol &amp; Haze Lab, Beijing, Peoples R China; [Kerminen, Veli-Matti; Kulmala, Markku] Nanjing Univ, Sch Atmospher Sci, Joint Int Res Lab Atmospher &amp; Earth Syst Sci, Nanjing, Peoples R China</t>
  </si>
  <si>
    <t>University of Helsinki; University of Eastern Finland; Beijing University of Chemical Technology; Nanjing University</t>
  </si>
  <si>
    <t>Beck, LJ; Kulmala, M (corresponding author), Univ Helsinki, Inst Atmospher &amp; Earth Syst Res Phys, Helsinki 00014, Finland.;Kulmala, M (corresponding author), Beijing Univ Chem Technol BUCT, Beijing Adv Innovat Ctr Soft Matter Sci &amp; Engn, Aerosol &amp; Haze Lab, Beijing, Peoples R China.;Kulmala, M (corresponding author), Nanjing Univ, Sch Atmospher Sci, Joint Int Res Lab Atmospher &amp; Earth Syst Sci, Nanjing, Peoples R China.</t>
  </si>
  <si>
    <t>lisa.beck@helsinki.fi; markku.kulmala@helsinki.fi</t>
  </si>
  <si>
    <t>Schobesberger, Siegfried/L-4454-2014; Kerminen, Veli-Matti/M-9026-2014; Kulmala, Markku/I-7671-2016; Sipila, Mikko/G-3024-2010</t>
  </si>
  <si>
    <t>Schobesberger, Siegfried/0000-0002-5777-4897; Kerminen, Veli-Matti/0000-0002-0706-669X; Kulmala, Markku/0000-0003-3464-7825; Sipila, Mikko/0000-0002-8594-7003; Beck, Lisa J./0000-0003-3700-5895</t>
  </si>
  <si>
    <t>Academy of Finland [337549, 302958, 1325656, 310682, 316114, 325647, 296628]; Quantifying carbon sink, CarbonSinkC and their interaction with air quality INAR project - Jane and Aatos Erkko Foundation; European Research Council (ERC) project ATM-GTP [742206]; European Research Council (ERC) project GASPARCON [714621]; Academy of Finland (AKA) [296628] Funding Source: Academy of Finland (AKA)</t>
  </si>
  <si>
    <t>Academy of Finland(Research Council of Finland); Quantifying carbon sink, CarbonSinkC and their interaction with air quality INAR project - Jane and Aatos Erkko Foundation; European Research Council (ERC) project ATM-GTP(European Research Council (ERC)); European Research Council (ERC) project GASPARCON(European Research Council (ERC)); Academy of Finland (AKA)(Research Council of Finland)</t>
  </si>
  <si>
    <t>This research has been supported by the Academy of Finland (grant nos. 337549, 302958, 1325656, 310682, 316114, 325647 and 296628), the Quantifying carbon sink, CarbonSinkC and their interaction with air quality INAR project funded by the Jane and Aatos Erkko Foundation, the European Research Council (ERC) project ATM-GTP (contract no. 742206) and GASPARCON (grant no. 714621).</t>
  </si>
  <si>
    <t>10.5194/amt-15-1957-2022</t>
  </si>
  <si>
    <t>0D5ZX</t>
  </si>
  <si>
    <t>WOS:000776074500001</t>
  </si>
  <si>
    <t>Press, AJ; Bergin, A</t>
  </si>
  <si>
    <t>Press, Anthony J.; Bergin, Anthony</t>
  </si>
  <si>
    <t>Coming into the Cold: China's interests in the Antarctic</t>
  </si>
  <si>
    <t>Antarctica; Antarctic Treaty; China; Indo-Pacific Partnership; geopolitics; USA; France; Japan; India; peace</t>
  </si>
  <si>
    <t>QUESTION; NATIONS</t>
  </si>
  <si>
    <t>China took its first tentative steps into the Antarctic around 1980, travelling South with other nations' Antarctic programs. Australia hosted the first Chinese scientists to travel to East Antarctica to conduct research in the early 1980s. China signed the Antarctic Treaty in 1983 and became a Treaty Consultative Party in 1985. Since its first small forays, China's Antarctic activities have grown considerably: it now has two permanently occupied Antarctic stations, other Antarctic facilities and is currently building a station on in the Ross Sea region. China's Antarctic science program is broad; it has economic activities in the region include fisheries and tourism, and has expressed longer-term interest in resource extraction. In recent years, China has become an assertive participant in Antarctic governance. This paper analyses the geopolitical origins of the Antarctic Treaty, China's growing Antarctic presence, and the implications this has for the region, including the policies and strategies of Australia and key Indo-Pacific partner states in the Antarctic.</t>
  </si>
  <si>
    <t>[Press, Anthony J.] Univ Tasmania, Inst Marine &amp; Antarctic Studies, Hobart, Tas, Australia; [Bergin, Anthony] Australian Strateg Policy Inst, Canberra, ACT, Australia</t>
  </si>
  <si>
    <t>Press, AJ (corresponding author), Univ Tasmania, Inst Marine &amp; Antarctic Studies, Hobart, Tas, Australia.</t>
  </si>
  <si>
    <t>Australian Research Council [DP190101214]</t>
  </si>
  <si>
    <t>Research conducted by author AJP presented in this paper was supported through funding from the Australian Research Council Discovery Projects scheme: Project DP190101214 -Geopolitical Change and the Antarctic Treaty System.</t>
  </si>
  <si>
    <t>10.1080/10357718.2022.2057921</t>
  </si>
  <si>
    <t>WOS:000776140300001</t>
  </si>
  <si>
    <t>LaRue, M; Brooks, C; Wege, M; Salas, L; Gardiner, N</t>
  </si>
  <si>
    <t>LaRue, Michelle; Brooks, Cassandra; Wege, Mia; Salas, Leonardo; Gardiner, Natasha</t>
  </si>
  <si>
    <t>High-resolution satellite imagery meets the challenge of monitoring remote marine protected areas in the Antarctic and beyond</t>
  </si>
  <si>
    <t>CONSERVATION LETTERS</t>
  </si>
  <si>
    <t>CCAMLR; crabeater seal; marine conservation; penguins; remote sensing; seabirds; Southern Ocean; Weddell seal</t>
  </si>
  <si>
    <t>WEDDELL SEALS; MANAGEMENT; SCIENCE; MPAS</t>
  </si>
  <si>
    <t>Remote, high-latitude oceans can prove challenging for the designation and implementation of marine protected areas (MPAs), partly due to issues in monitoring inaccessible localities and large spatial scales. A lack of protection combined with damage from growing human activities has contributed to the degradation of some of the Earth's richest marine biodiversity and highlights the urgent need to support improved marine conservation. High-resolution satellite imagery (VHR; 0.3-0.6 m spatial resolution) provides a much-needed tool for monitoring sentinel species in remote oceans, which would strengthen current and future MPA research and monitoring programs across the globe. This perspective specifies how recent advances in VHR studies have contributed to knowledge regarding occurrence, habitat suitability, and abundance of mesopredators in the Southern Ocean. We demonstrate how knowledge gained through VHR offers a cost-effective and easily accessible method for collecting previously unobtainable data to inform a representative network of Southern Ocean MPAs, and how the Commission for the Conservation of Antarctic Marine Living Resources (CCAMLR) could utilize this technology. As VHR and automated detection algorithms continue to improve, we showcase a promising opportunity to use these methods to complement current research and monitoring efforts, thus strengthening MPA efforts in the Southern Ocean and beyond.</t>
  </si>
  <si>
    <t>[LaRue, Michelle; Wege, Mia; Gardiner, Natasha] Univ Canterbury, Sch Earth &amp; Environm, Gateway Antarct, Christchurch, New Zealand; [LaRue, Michelle] Univ Minnesota, Dept Earth &amp; Environm Sci, Minneapolis, MN USA; [Brooks, Cassandra] Univ Colorado, Dept Environm Studies, Boulder, CO 80309 USA; [Wege, Mia] Univ Pretoria, Dept Zool &amp; Entomol, Pretoria, South Africa; [Salas, Leonardo] Point Blue Conservat Sci, Petaluma, CA USA; [Gardiner, Natasha] Antarct New Zealand, Christchurch, New Zealand</t>
  </si>
  <si>
    <t>University of Canterbury; University of Minnesota System; University of Minnesota Twin Cities; University of Colorado System; University of Colorado Boulder; University of Pretoria</t>
  </si>
  <si>
    <t>LaRue, M (corresponding author), Univ Canterbury, Sch Earth &amp; Environm, Gateway Antarct, Christchurch, New Zealand.</t>
  </si>
  <si>
    <t>michelle.larue@canterbury.acnz</t>
  </si>
  <si>
    <t>Wege, Mia/B-1103-2016</t>
  </si>
  <si>
    <t>Wege, Mia/0000-0002-9022-3069; Gardiner, Natasha/0000-0002-2743-3039</t>
  </si>
  <si>
    <t>1755-263X</t>
  </si>
  <si>
    <t>CONSERV LETT</t>
  </si>
  <si>
    <t>Conserv. Lett.</t>
  </si>
  <si>
    <t>e12884</t>
  </si>
  <si>
    <t>10.1111/conl.12884</t>
  </si>
  <si>
    <t>3Z2VO</t>
  </si>
  <si>
    <t>WOS:000776495200001</t>
  </si>
  <si>
    <t>Coleine, C; Delgado-Baquerizo, M; Albanese, D; Singh, BK; Stajich, JE; Selbmann, L; Egidi, E</t>
  </si>
  <si>
    <t>Coleine, Claudia; Delgado-Baquerizo, Manuel; Albanese, Davide; Singh, Brajesh K.; Stajich, Jason E.; Selbmann, Laura; Egidi, Eleonora</t>
  </si>
  <si>
    <t>Rocks support a distinctive and consistent mycobiome across contrasting dry regions of Earth</t>
  </si>
  <si>
    <t>drylands; extremophiles; environmental factors; climate change</t>
  </si>
  <si>
    <t>FUNGI; CLIMATE; LIFE; COLONIZATION; PHYLOGENY; ABUNDANCE; VALLEY</t>
  </si>
  <si>
    <t>Rock-dwelling fungi play critical ecological roles in drylands, including soil formation and nutrient cycling; we found that the main drivers structuring their distribution were spatial distance and, to a larger extent, climatic factors regulating moisture and temperature, suggesting that these paramount and unique microorganisms might be particularly sensitive to increases in temperature and desertification. Rock-dwelling fungi play critical ecological roles in drylands, including soil formation and nutrient cycling; however, we know very little about the identity, function and environmental preferences of these important organisms, and the mere existence of a consistent rock mycobiome across diverse arid regions of the planet remains undetermined. To address this knowledge gap, we conducted a meta-analysis of rock fungi and spatially associated soil communities, surveyed across 28 unique sites spanning four major biogeographic regions (North America, Arctic, Maritime and Continental Antarctica) including contrasting climates, from cold and hot deserts to semiarid drylands. We show that rocks support a consistent and unique mycobiome that was different from that found in surrounding soils. Lichenized fungi from class Lecanoromycetes were consistently indicative of rocks across contrasting regions, together with ascomycetous representatives of black fungi in Arthoniomycetes, Dothideomycetes and Eurotiomycetes. In addition, compared with soil, rocks had a lower proportion of saprobes and plant symbiotic fungi. The main drivers structuring rock fungi distribution were spatial distance and, to a larger extent, climatic factors regulating moisture and temperature (i.e. mean annual temperature and mean annual precipitation), suggesting that these paramount and unique communities might be particularly sensitive to increases in temperature and desertification.</t>
  </si>
  <si>
    <t>[Coleine, Claudia; Selbmann, Laura] Univ Tuscia, Dept Ecol &amp; Biol Sci, I-01100 Viterbo, Italy; [Delgado-Baquerizo, Manuel] CSIC, Inst Recursos Nat &amp; Agrobiol Sevilla IRNAS, Lab Biodiversidad &amp; Funcionamiento Ecosistem, Av Reina Mercedes 10, E-41012 Seville, Spain; [Delgado-Baquerizo, Manuel] Univ Pablo Olavide, Unidad Asociada CSIC UPO BioFun, Seville 41013, Spain; [Albanese, Davide] Fdn Edmund Mach FEM, Res &amp; Innovat Ctr, Via E Mach 1, I-38098 San Michele All Adige, TN, Italy; [Singh, Brajesh K.; Egidi, Eleonora] Western Sydney Univ, Global Ctr Land Based Innovat, Penrith, NSW 2750, Australia; [Singh, Brajesh K.; Egidi, Eleonora] Western Sydney Univ, Hawkesbury Inst Environm, Penrith, NSW 2750, Australia; [Stajich, Jason E.] Univ Calif Riverside, Dept Microbiol &amp; Plant Pathol, Riverside, CA 92521 USA; [Stajich, Jason E.] Univ Calif Riverside, Inst Integrat Genome Biol, Riverside, CA 92521 USA; [Selbmann, Laura] Italian Antarctic Natl Museum MNA, Mycel Sect, I-16100 Genoa, Italy</t>
  </si>
  <si>
    <t>Tuscia University; Consejo Superior de Investigaciones Cientificas (CSIC); CSIC - Instituto de Recursos Naturales y Agrobiologia de Sevilla (IRNAS); Universidad Pablo de Olavide; Fondazione Edmund Mach; Western Sydney University; Western Sydney University; University of California System; University of California Riverside; University of California System; University of California Riverside</t>
  </si>
  <si>
    <t>Coleine, C; Selbmann, L (corresponding author), Largo Univ Snc, I-01100 Viterbo, Italy.</t>
  </si>
  <si>
    <t>coleine@unitus.it; selbmann@unitus.it</t>
  </si>
  <si>
    <t>Singh, Brajesh/R-6321-2019; Selbmann, Laura/L-3056-2013; Egidi, Eleonora/AAG-7513-2020; Delgado-Baquerizo, Manuel/L-3653-2017; DELGADO-BAQUERIZO, MANUEL/GLS-0346-2022; Coleine, Claudia/AAE-1889-2020; Stajich, Jason Eric/C-7297-2008</t>
  </si>
  <si>
    <t>Singh, Brajesh/0000-0003-4413-4185; Selbmann, Laura/0000-0002-8967-3329; Egidi, Eleonora/0000-0002-1211-2355; Delgado-Baquerizo, Manuel/0000-0002-6499-576X; DELGADO-BAQUERIZO, MANUEL/0000-0002-6499-576X; Coleine, Claudia/0000-0002-9289-6179; Stajich, Jason Eric/0000-0002-7591-0020</t>
  </si>
  <si>
    <t>Italian National Antarctic Research Program (PNRA); PNRA postdoctoral fellowship; Australian Research Council DECRA DECRA (Discovery Early Career Researcher Award) fellowship [DE210101822]; Spanish Ministry of Science and Innovation [PID2020-115813RA-I00]; Junta de Andalucia [P20_00879]; Australian Research Council [DP190103714]; Australian Research Council [DE210101822] Funding Source: Australian Research Council</t>
  </si>
  <si>
    <t>Italian National Antarctic Research Program (PNRA)(Ministry of Education, Universities and Research (MIUR)); PNRA postdoctoral fellowship; Australian Research Council DECRA DECRA (Discovery Early Career Researcher Award) fellowship(Australian Research Council); Spanish Ministry of Science and Innovation(Spanish Government); Junta de Andalucia(Junta de Andalucia); Australian Research Council(Australian Research Council); Australian Research Council(Australian Research Council)</t>
  </si>
  <si>
    <t>CC and LS acknowledge funding from the Italian National Antarctic Research Program (PNRA). CC was supported by a PNRA postdoctoral fellowship. JES is a CIFAR fellow in the Fungal Kingdom: Threats and Opportunities program. EE was supported by an Australian Research Council DECRA (Discovery Early Career Researcher Award) fellowship (DE210101822). MD-B was supported by a project from the Spanish Ministry of Science and Innovation (PID2020-115813RA-I00) and a project PAIDI 2020 from the Junta de Andalucia (P20_00879). Microbial distribution and colonization research in B.K.S. lab is funded by Australian Research Council (DP190103714).</t>
  </si>
  <si>
    <t>fiac030</t>
  </si>
  <si>
    <t>10.1093/femsec/fiac030</t>
  </si>
  <si>
    <t>0D9EC</t>
  </si>
  <si>
    <t>WOS:000776289800001</t>
  </si>
  <si>
    <t>Pinti, J; Visser, AW; Serra-Pompei, C; Andersen, KH; Ohman, MD; Kiorboe, T</t>
  </si>
  <si>
    <t>Pinti, Jerome; Visser, Andre W.; Serra-Pompei, Camila; Andersen, Ken H.; Ohman, Mark D.; Kiorboe, Thomas</t>
  </si>
  <si>
    <t>Fear and loathing in the pelagic: How the seascape of fear impacts the biological carbon pump</t>
  </si>
  <si>
    <t>LIMNOLOGY AND OCEANOGRAPHY</t>
  </si>
  <si>
    <t>DIEL VERTICAL MIGRATION; MEDIATED INDIRECT INTERACTIONS; ZOOPLANKTON FECAL PELLETS; KRILL EUPHAUSIA-SUPERBA; ANTARCTIC KRILL; OCEAN CARBON; SINKING RATES; MARINE SNOW; ANIMAL PERSONALITY; DOMOIC ACID</t>
  </si>
  <si>
    <t>The biological carbon pump transports photosynthetically fixed carbon from surface waters to depths. It removes carbon from the atmosphere and sequesters it in the deep ocean, playing an important role in global climate regulation. As the biological carbon pump is directly related to biological processes, it is heavily influenced by the biomass and trophic interactions between populations in the ecosystem. However, behavioral responses and adaptations to predation risk change trophic interactions, potentially having larger impacts than direct effects on trophic interactions and population abundances. Thus, predation risk may play an important role in shaping the biological carbon pump's strength (how much carbon leaves the euphotic zone) and efficiency (what fraction of detritus reaches a certain depth without being degraded). Except in the case of active carbon transport by vertically migrating organisms, this role of risk is not generally recognized. Here, we synthesize the existing knowledge on the consequences of anti-predation responses on the biological carbon pump. First, we consider a generic anti-predation response and investigate the different direct, indirect, and cascading effects that the response can induce. Then, we focus on pelagic anti-predation responses and detail how they can specifically alter the different components of the pump. Finally, we discuss points to consider in biological carbon pump studies and highlight directions for future research. In particular, there is a need for more quantitative research to evaluate the importance of anti-predation responses in shaping the biological carbon pump.</t>
  </si>
  <si>
    <t>[Pinti, Jerome; Visser, Andre W.; Serra-Pompei, Camila; Andersen, Ken H.; Kiorboe, Thomas] Tech Univ Denmark, VKR Ctr Ocean Life, Lyngby, Denmark; [Serra-Pompei, Camila] MIT, Dept Earth Atmospher &amp; Planetary Sci, Cambridge, MA USA; [Ohman, Mark D.] Univ Calif San Diego, Scripps Inst Oceanog, La Jolla, CA USA</t>
  </si>
  <si>
    <t>Technical University of Denmark; Massachusetts Institute of Technology (MIT); University of California System; University of California San Diego; Scripps Institution of Oceanography</t>
  </si>
  <si>
    <t>Pinti, J (corresponding author), Univ Delaware, Coll Earth Ocean &amp; Environm, Lewes, DE 19958 USA.</t>
  </si>
  <si>
    <t>jpinti@udel.edu</t>
  </si>
  <si>
    <t>; Visser, Andre/G-6317-2015; Kiorboe, Thomas/G-3190-2011</t>
  </si>
  <si>
    <t>Andersen, Ken Haste/0000-0002-8478-3430; Visser, Andre/0000-0002-1604-7263; Pinti, Jerome/0000-0002-0664-0936; Kiorboe, Thomas/0000-0002-3265-336X</t>
  </si>
  <si>
    <t>Gordon and Betty Moore Foundation [5479]; Centre for Ocean Life - Villum Foundation; U.S. National Science Foundation</t>
  </si>
  <si>
    <t>Gordon and Betty Moore Foundation(Gordon and Betty Moore Foundation); Centre for Ocean Life - Villum Foundation; U.S. National Science Foundation(National Science Foundation (NSF))</t>
  </si>
  <si>
    <t>We thank Fredrik Ryderheim, Peter Franks and Erik Selander for providing pictures for Fig. 1, and Tim DeVries for providing us with the transport matrix that was used for the simulations in Box 2. This work was supported by the Gordon and Betty Moore Foundation (Grant #5479), by the Centre for Ocean Life, a VKR Centre of excellence funded by the Villum Foundation, and by the U.S. National Science Foundation through support to MDO for the California Current Ecosystem LTER site. We thank Emma Cavan and an anonymous reviewer for their contributions that helped us improve this manuscript.</t>
  </si>
  <si>
    <t>0024-3590</t>
  </si>
  <si>
    <t>1939-5590</t>
  </si>
  <si>
    <t>LIMNOL OCEANOGR</t>
  </si>
  <si>
    <t>Limnol. Oceanogr.</t>
  </si>
  <si>
    <t>10.1002/lno.12073</t>
  </si>
  <si>
    <t>2A9CY</t>
  </si>
  <si>
    <t>WOS:000776829100001</t>
  </si>
  <si>
    <t>Zidarova, R; Ivanov, P; Hineva, E; Dzhembekova, N</t>
  </si>
  <si>
    <t>Zidarova, Ralitsa; Ivanov, Plamen; Hineva, Elitsa; Dzhembekova, Nina</t>
  </si>
  <si>
    <t>Diversity and habitat preferences of benthic diatoms from South Bay (Livingston Island, Antarctica)</t>
  </si>
  <si>
    <t>PLANT ECOLOGY AND EVOLUTION</t>
  </si>
  <si>
    <t>Antarctica; diatoms; epilithon; habitats; marine benthos; species diversity; taxonomy</t>
  </si>
  <si>
    <t>KING-GEORGE-ISLAND; POTTER COVE; POLYMERIC SUBSTANCES; SHETLAND ISLANDS; FINE MORPHOLOGY; ADMIRALTY BAY; SP NOV.; MARINE; GENUS; BACILLARIOPHYCEAE</t>
  </si>
  <si>
    <t>Background and aims - Despite a long research history, knowledge of Antarctic marine benthic diatoms is fragmentary. This study reports on marine benthic diatoms from South Bay, Livingston Island, focusing on diatoms living on hard substrata, and species distribution across different coastal habitats. Material and methods - Samples were collected from tidal pools (19), intertidal cobbles (9), artificial substrata installed at various depths (10), coastal rocks (2), and bottom sediments at depths &gt; 20 m (2). Species identifications and community analyses were done using LM with additional information obtained using SEM. nMDS based on diatom abundance data was applied to display differences between the samples by habitat/substratum type and sampling month. The significance of the habitat/substratum type and sampling month on diatom communities was checked with PERMANOVA. Similarity/dissimilarity within and between sample groups and their contributing species were explored with SIMPER. Key results - In total, 133 diatom taxa were recorded, of which 110 are benthic. A large number of taxa could not be certainly identified. Taxonomic remarks and ecology and distribution data for some rarely reported species with convoluted taxonomic and nomenclatural histories are given. One new combination is proposed. Diatom communities were influenced by the habitat/substratum type, but not by seasonality. Significant differences existed between communities in tidal pools and those on cobbles, artificial substrata, and sediments, and between those on sediments and artificial substrata. Navicula aff. perminuta dominated on cobbles and often on artificial substrata. Species forming mucilage tubes, tree-like colonies, and chains of cells embedded in mucilage were restricted to tidal pools. Conclusion - Benthic diatom communities from South Bay are highly diverse and species show distinct distributions in the coastal habitats, but the scarce studies and often confusing nomenclature history of the taxa make their identification challenging, and potentially common species for the region remain unknown.</t>
  </si>
  <si>
    <t>[Zidarova, Ralitsa; Hineva, Elitsa; Dzhembekova, Nina] Bulgarian Acad Sci, Inst Oceanol, Dept Marine Biol &amp; Ecol, Varna, Bulgaria; [Ivanov, Plamen] Bulgarian Acad Sci, Dept Aquat Ecosyst, Inst Biodivers &amp; Ecosyst Res, Sofia, Bulgaria</t>
  </si>
  <si>
    <t>Bulgarian Academy of Sciences; Bulgarian Academy of Sciences</t>
  </si>
  <si>
    <t>Zidarova, R (corresponding author), Bulgarian Acad Sci, Inst Oceanol, Dept Marine Biol &amp; Ecol, Varna, Bulgaria.</t>
  </si>
  <si>
    <t>Dzhembekova, Nina/HTN-3019-2023; Zidarova, Ralitsa/I-3793-2017</t>
  </si>
  <si>
    <t>Dzhembekova, Nina/0000-0001-9620-6422; Zidarova, Ralitsa/0000-0002-6451-0099</t>
  </si>
  <si>
    <t>National Center for Polar Studies, Bulgaria [80-10-239/2018, 70.25175/2019]; Bulgarian Antarctic Institute</t>
  </si>
  <si>
    <t>National Center for Polar Studies, Bulgaria; Bulgarian Antarctic Institute</t>
  </si>
  <si>
    <t>This study was funded by the National Center for Polar Studies, Bulgaria (contracts 80-10-239/2018 and 70.25175/2019). Sampling campaigns at South Bay, Livingston Island were logistically supported by the Bulgarian Antarctic Institute. We thank the staff of the St. Kliment Ohridski Base and the members of the 27th and 28th Bulgarian Antarctic Expeditions for their enthusiastic support in our field work. W. are very grateful to two anonymous reviewers, the communicating editor Bart Van de Vijver, and the production editor Natacha Beau for their valuable comments and suggestions, which all greatly improved the manuscript.</t>
  </si>
  <si>
    <t>SOC ROYAL BOTAN BELGIQUE</t>
  </si>
  <si>
    <t>MEISE</t>
  </si>
  <si>
    <t>NIEUWELAAN 38, B-1860 MEISE, BELGIUM</t>
  </si>
  <si>
    <t>2032-3913</t>
  </si>
  <si>
    <t>2032-3921</t>
  </si>
  <si>
    <t>PLANT ECOL EVOL</t>
  </si>
  <si>
    <t>Plant Ecol. Evol.</t>
  </si>
  <si>
    <t>MAR 30</t>
  </si>
  <si>
    <t>10.5091/plecevo.84534</t>
  </si>
  <si>
    <t>8N3JJ</t>
  </si>
  <si>
    <t>WOS:000925044400006</t>
  </si>
  <si>
    <t>Goeyers, C; Vitt, DH; Van de Vijver, B</t>
  </si>
  <si>
    <t>Goeyers, Charlotte; Vitt, Dale H.; Van de Vijver, Bart</t>
  </si>
  <si>
    <t>Taxonomic and biogeographical analysis of diatom assemblages from historic bryophyte samples from Campbell Island (sub-Antarctic)</t>
  </si>
  <si>
    <t>Antarctic realm; bryophytes; Campbell Island; diatoms; Maritime Antarctica; moss; new species; sub-Antarctica</t>
  </si>
  <si>
    <t>FRESH-WATER DIATOMS; LA POSSESSION CROZET; NEW-ZEALAND; MACQUARIE ISLAND; BACILLARIOPHYTA; COMMUNITIES; REVISION; HABITATS; FLORA; LAKES</t>
  </si>
  <si>
    <t>Background and aims - The past two decades, the non-marine diatom flora in the sub-Aantarctic region has been intensively revised. Historic collections provide excellent tools for answering taxonomic, community-related, and biogeographical questions. This study analysed the moss-inhabiting diatom flora from sub-Antarctic Campbell Island in samples collected in 1969-1970 and retrieved from the British Antarctic Survey herbarium (Cambridge, UK). With this study we attempt to expand our, till now sparse, knowledge on the moss-inhabiting diatom flora in the southern Pacific Ocean. Material and methods - In total, the diatom composition in 32 moss samples has been analysed using Light Microscopy (LM) and Scanning Electron Microscopy (SEM). A biogeographical analysis and community analysis of the Campbell Island diatom flora were conducted. Key results - Analysis of the Campbell Island diatom flora revealed the presence of 141 taxa belonging to 45 genera. The species composition in the dominant genera Planothidium, Humidophila, and Psammothidium, the presence of Epithemia, Rhopalodia, Cocconeis, uncommon in the sub-Antarctic region, and many unidentified taxa point to the uniqueness of the Campbell Island diatom flora. The biogeographical analysis showed an overall low similarity with the other sub-Antarctic and the Maritime Antarctic islands. Four different diatom assemblages were distinguished following the community analysis. Moisture level and habitat type seem to be the main factors shaping the Campbell Island diatom assemblages. Conclusion - The results of the Campbell Island diatom analysis highlight the importance of historic herbarium material. Since the examined flora is largely composed of unknown (presumably new) species, it is vital to analyse additional (historic) samples to complete the assessment of the moss diatom assemblages from Campbell Island.</t>
  </si>
  <si>
    <t>[Goeyers, Charlotte; Van de Vijver, Bart] Meise Bot Garden, Res Dept, Meise, Belgium; [Goeyers, Charlotte; Van de Vijver, Bart] Univ Antwerp, Dept Biol, ECOSPHERE, Antwerp, Belgium; [Vitt, Dale H.] Southern Illinois Univ, Sch Biol Sci Plant Biol, Carbondale, IL USA</t>
  </si>
  <si>
    <t>University of Antwerp; Southern Illinois University System; Southern Illinois University</t>
  </si>
  <si>
    <t>Goeyers, C (corresponding author), Meise Bot Garden, Res Dept, Meise, Belgium.;Goeyers, C (corresponding author), Univ Antwerp, Dept Biol, ECOSPHERE, Antwerp, Belgium.</t>
  </si>
  <si>
    <t>charlotte.goeyer@plantentuinmeise.be</t>
  </si>
  <si>
    <t>Van de Vijver, Bart/0000-0002-6244-1886</t>
  </si>
  <si>
    <t>10.5091/plecevo.84543</t>
  </si>
  <si>
    <t>WOS:000925044400007</t>
  </si>
  <si>
    <t>Gillin, EJ</t>
  </si>
  <si>
    <t>Gillin, Edward J.</t>
  </si>
  <si>
    <t>THE INSTRUMENTS OF EXPEDITIONARY SCIENCE AND THE REWORKINGOF NINETEENTH-CENTURY MAGNETIC EXPERIMENT</t>
  </si>
  <si>
    <t>NOTES AND RECORDS-THE ROYAL SOCIETY JOURNAL OF THE HISTORY OF SCIENCE</t>
  </si>
  <si>
    <t>terrestrial magnetism; survey science; experiment; Magnetic Crusade; navy; standardization</t>
  </si>
  <si>
    <t>During the mid-nineteenth century, British naval expeditions navigated the world as part of the most extensive scientific undertaking of the age. Between 1839 and the early 1850s, the British government orchestrated a global surveying of the Earth's magnetic phenomena: this was a philosophical enterprise of unprecedented state support and geographical extent. But to conduct this investigation relied on the use of immensely delicate instruments, known as 'dipping needles'. The most celebrated of these were those of Robert Were Fox, designed and built in Cornwall. Yet these devices were difficult to physically maintain and ensuring accuracy throughout a magnetic experiment was challenging. In 2020, Crosbie Smith and I took an original Fox dipping needle on a voyage from Falmouth to Cape Town, retracing the routes of survey expeditions, including James Clark Ross's 1839-43 Antarctic venture. The article offers an account of our experiences, combined with historical reports of the instrument's past performances. It explores the instrumental challenges involved in nineteenth-century global experimental investigation. The great problem for the British magnetic survey was of coordinating standardized experimental measurements over vast expanses of space and time. As this article argues, this was very much a question of instrumental management, both of dipping needles and of human performers.</t>
  </si>
  <si>
    <t>[Gillin, Edward J.] UCL, Bartlett Sch Sustainable Construct, 1-19 Torrington Pl, London W1T 7AA, England</t>
  </si>
  <si>
    <t>University of London; University College London</t>
  </si>
  <si>
    <t>Gillin, EJ (corresponding author), UCL, Bartlett Sch Sustainable Construct, 1-19 Torrington Pl, London W1T 7AA, England.</t>
  </si>
  <si>
    <t>e.gillin@ucl.ac.uk</t>
  </si>
  <si>
    <t>Gillin, Edward/0000-0001-9449-9292</t>
  </si>
  <si>
    <t>0035-9149</t>
  </si>
  <si>
    <t>1743-0178</t>
  </si>
  <si>
    <t>NOTES REC</t>
  </si>
  <si>
    <t>Notes Rec.</t>
  </si>
  <si>
    <t>SEP 20</t>
  </si>
  <si>
    <t>10.1098/rsnr.2022.0002</t>
  </si>
  <si>
    <t>5C0FO</t>
  </si>
  <si>
    <t>WOS:000783932200001</t>
  </si>
  <si>
    <t>Heiser, S; Amsler, CD; Brothers, CJ; Amsler, MO; Shilling, AJ; Bozarth, L; Davis, CB; McClintock, JB; Baker, BJ</t>
  </si>
  <si>
    <t>Heiser, Sabrina; Amsler, Charles D.; Brothers, Cecilia J.; Amsler, Margaret O.; Shilling, Andrew J.; Bozarth, Lauren; Davis, Carmen B.; McClintock, James B.; Baker, Bill J.</t>
  </si>
  <si>
    <t>Who Cares More about Chemical Defenses - the Macroalgal Producer or Its Main Grazer?</t>
  </si>
  <si>
    <t>JOURNAL OF CHEMICAL ECOLOGY</t>
  </si>
  <si>
    <t>Chemogroup; Plocamium; Amphipod; Reproductive output; Feeding rate</t>
  </si>
  <si>
    <t>RED ALGA PLOCAMIUM; DOMINANT SUBTIDAL MACROALGAE; WESTERN ANTARCTIC PENINSULA; MARINE NATURAL-PRODUCTS; GEOGRAPHIC-VARIATION; DELISEA-PULCHRA; HALOGENATED FURANONES; HERBIVORE RESISTANCE; COSTS; DIVERSITY</t>
  </si>
  <si>
    <t>The consequences of defensive secondary metabolite concentrations and interspecific metabolite diversity on grazers have been extensively investigated. Grazers which prefer certain food sources are often found in high abundance on their host and as a result, understanding the interaction between the two is important to understand community structure. The effects of intraspecific diversity, however, on the grazer are not well understood. Within a single, localized geographic area, the Antarctic red seaweed Plocamium sp. produces 15 quantitatively and qualitatively distinct mixtures of halogenated monoterpenes (chemogroups). Plocamium sp. is strongly chemically defended which makes it unpalatable to most grazers, except for the amphipod Paradexamine fissicauda. We investigated differences in the feeding and growth rates of both Plocamium sp. and P. fissicauda, in addition to grazer reproductive output, in relation to different chemogroups. Some chemogroups significantly reduced the grazer's feeding rate compared to other chemogroups and a non-chemically defended control. The growth rate of Plocamium sp. did not differ between chemogroups and the growth rates of P. fissicauda also did not show clear patterns between the feeding treatments. Reproductive output, however, was significantly reduced for amphipods on a diet of algae possessing one of the chemogroups when compared to a non-chemically defended control. Hence, intraspecific chemodiversity benefits the producer since certain chemogroups are consumed at a slower rate and the grazer's reproductive output is reduced. Nevertheless, the benefits outweigh the costs to the grazer as it can still feed on its host and closely associates with the alga for protection from predation.</t>
  </si>
  <si>
    <t>[Heiser, Sabrina; Amsler, Charles D.; Amsler, Margaret O.; Bozarth, Lauren; Davis, Carmen B.; McClintock, James B.] Univ Alabama Birmingham, Dept Biol, 1300 Univ Blvd, Birmingham, AL 35233 USA; [Brothers, Cecilia J.] Walla Walla Univ, Dept Biol, 204 S Coll Ave, College Pl, WA 99324 USA; [Shilling, Andrew J.; Baker, Bill J.] Univ S Florida, Dept Chem, 4202 E Fowler Ave, Tampa, FL 33620 USA</t>
  </si>
  <si>
    <t>Heiser, S (corresponding author), Univ Alabama Birmingham, Dept Biol, 1300 Univ Blvd, Birmingham, AL 35233 USA.</t>
  </si>
  <si>
    <t>heiser@uab.edu</t>
  </si>
  <si>
    <t>Heiser, Sabrina/HJH-9098-2023; Baker, Bill/N-4312-2019</t>
  </si>
  <si>
    <t>Heiser, Sabrina/0000-0003-3307-3233;</t>
  </si>
  <si>
    <t>National Science Foundation from the Antarctic Organisms and Ecosystems Program [PLR-1341333, PLR-1341339]; Endowed University Professorship in Polar and Marine Biology</t>
  </si>
  <si>
    <t>National Science Foundation from the Antarctic Organisms and Ecosystems Program(National Science Foundation (NSF)NSF - Directorate for Geosciences (GEO)); Endowed University Professorship in Polar and Marine Biology</t>
  </si>
  <si>
    <t>This research was made possible with the National Science Foundation awards PLR-1341333 (C.D. A. and J. B.M.) and PLR-1341339 (B.J.B.) from the Antarctic Organisms and Ecosystems Program. J.B.M. acknowledges the support of an Endowed University Professorship in Polar and Marine Biology provided by the University of Alabama at Birmingham.</t>
  </si>
  <si>
    <t>0098-0331</t>
  </si>
  <si>
    <t>1573-1561</t>
  </si>
  <si>
    <t>J CHEM ECOL</t>
  </si>
  <si>
    <t>J. Chem. Ecol.</t>
  </si>
  <si>
    <t>10.1007/s10886-022-01358-2</t>
  </si>
  <si>
    <t>Biochemistry &amp; Molecular Biology; Ecology</t>
  </si>
  <si>
    <t>1A7VK</t>
  </si>
  <si>
    <t>WOS:000775737700001</t>
  </si>
  <si>
    <t>Bradley, AT; Williams, CR; Jenkins, A; Arthern, R</t>
  </si>
  <si>
    <t>Bradley, Alexander T.; Rosie Williams, C.; Jenkins, Adrian; Arthern, Robert</t>
  </si>
  <si>
    <t>Asymptotic analysis of subglacial plumes in stratified environments</t>
  </si>
  <si>
    <t>PROCEEDINGS OF THE ROYAL SOCIETY A-MATHEMATICAL PHYSICAL AND ENGINEERING SCIENCES</t>
  </si>
  <si>
    <t>plumes; Antarctica; ice-shelves; ice-sheets; melting</t>
  </si>
  <si>
    <t>ICE-SHELF; TURBULENT ENTRAINMENT; THWAITES GLACIER; WEST ANTARCTICA; GROUNDING LINE; OCEAN; DYNAMICS; RETREAT; DRIVEN; CONVECTION</t>
  </si>
  <si>
    <t>Accurate predictions of basal melt rates on ice shelves are necessary for precise projections of the future behaviour of ice sheets. The computational expense associated with completely resolving the cavity circulation using an ocean model makes this approach unfeasible for multi-century simulations, and parametrizations of melt rates are required. At present, some of the most advanced melt rate parametrizations are based on a one-dimensional approximation to the melt rate that emerges from the theory of subglacial plumes applied to ice shelves with constant basal slopes and uniform ambient ocean conditions; in this work, we present an asymptotic analysis of the corresponding equations in which non-constant basal slopes and typical ambient conditions are imposed. This analysis exploits the small aspect ratio of ice shelf bases, the relatively weak thermal driving and the relative slenderness of the region separating warm, salty water at depth and cold, fresh water at the surface in the ambient ocean. We construct an approximation to the melt rate that is based on this analysis, which shows good agreement with numerical solutions in a wide variety of cases, suggesting a path towards improved predictions of basal melt rates in ice-sheet models.</t>
  </si>
  <si>
    <t>[Bradley, Alexander T.; Rosie Williams, C.; Arthern, Robert] British Antarctic Survey, Cambridge, England; [Jenkins, Adrian] Northumbria Univ, Dept Geog &amp; Environm Sci, Newcastle Upon Tyne, Tyne &amp; Wear, England</t>
  </si>
  <si>
    <t>UK Research &amp; Innovation (UKRI); Natural Environment Research Council (NERC); NERC British Antarctic Survey; Northumbria University</t>
  </si>
  <si>
    <t>Bradley, AT (corresponding author), British Antarctic Survey, Cambridge, England.</t>
  </si>
  <si>
    <t>aleey@bas.ac.uk</t>
  </si>
  <si>
    <t>Bradley, Alex/GRO-6619-2022; Jenkins, Adrian/IUN-2406-2023</t>
  </si>
  <si>
    <t>Bradley, Alexander/0000-0001-8381-5317; Jenkins, Adrian/0000-0002-9117-0616</t>
  </si>
  <si>
    <t>NERC [NE/S010475/1]; NERC [NE/S010475/1] Funding Source: UKRI</t>
  </si>
  <si>
    <t>NERC(UK Research &amp; Innovation (UKRI)Natural Environment Research Council (NERC)); NERC(UK Research &amp; Innovation (UKRI)Natural Environment Research Council (NERC))</t>
  </si>
  <si>
    <t>A.T.B. is supported by the NERC grant no. NE/S010475/1.</t>
  </si>
  <si>
    <t>1364-5021</t>
  </si>
  <si>
    <t>1471-2946</t>
  </si>
  <si>
    <t>P ROY SOC A-MATH PHY</t>
  </si>
  <si>
    <t>Proc. R. Soc. A-Math. Phys. Eng. Sci.</t>
  </si>
  <si>
    <t>10.1098/rspa.2021.0846</t>
  </si>
  <si>
    <t>ZP0GO</t>
  </si>
  <si>
    <t>WOS:000766105300002</t>
  </si>
  <si>
    <t>Galeotti, S; Florindo, F; Lanci, L</t>
  </si>
  <si>
    <t>Galeotti, Simone; Florindo, Fabio; Lanci, Luca</t>
  </si>
  <si>
    <t>Cyclochronology of the Global Stratotype Section and Point for the Eocene/Oligocene boundary</t>
  </si>
  <si>
    <t>Eocene/Oligocene Boundary; Massignano Global Stratotype Section and; Point; Astrochronology</t>
  </si>
  <si>
    <t>EOCENE-OLIGOCENE BOUNDARY; ANTARCTIC GLACIATION; CALCITE COMPENSATION; BOTTACCIONE SECTION; MIDDLE EOCENE; CLIMATE; RECORD; MAGNETOSTRATIGRAPHY; TRANSITION; TIMESCALE</t>
  </si>
  <si>
    <t>Spectral analyses of high-resolution records from the upper Eocene-lower Oligocene from the Massignano section, GSSP for the Eocene/Oligocene (E/O) boundary, and the nearby Massicore reveal orbitally controlled fluctuations in the percent concentration of calcium carbonate (wt% CaCO3) and magnetic susceptibility. Extraction of orbital components provides a consistent cyclochronology for the two sites that straddles the E/O boundary. Detection of longer-term modulation in the short eccentricity enabled tuning to the astronomical solution and development of a robust astrochronology for the E/O boundary transition in the GSSP section. Correlation with astrochronologically dated records allowed us to identify the local sedimentary response to the global paleoclimatic and palaeoceanographic events that characterize the greenhouse-icehouse transition during the late Eocene-early Oligocene.</t>
  </si>
  <si>
    <t>[Galeotti, Simone; Lanci, Luca] Univ Urbino, Dept Pure &amp; Appl Sci, Carlo Bo Via Ca Le Suore 2,Campus Sci, I-61029 Urbino, Italy; [Florindo, Fabio] Ist Nazl Geofis &amp; Vulcanol, Via Vigna Murata 605, I-00143 Rome, Italy; [Galeotti, Simone; Florindo, Fabio; Lanci, Luca] Inst Climate Change Solut, Via Sorchio Snc, I-61040 Frontone, Italy</t>
  </si>
  <si>
    <t>University of Urbino; Istituto Nazionale Geofisica e Vulcanologia (INGV)</t>
  </si>
  <si>
    <t>Galeotti, S (corresponding author), Univ Urbino, Dept Pure &amp; Appl Sci, Carlo Bo Via Ca Le Suore 2,Campus Sci, I-61029 Urbino, Italy.</t>
  </si>
  <si>
    <t>simone.galeotti@uniurb.it; fabio.florindo@ingv.it; luca.lanci@uniurb.it</t>
  </si>
  <si>
    <t>Florindo, Fabio/F-4119-2010</t>
  </si>
  <si>
    <t>Florindo, Fabio/0000-0002-6058-9748</t>
  </si>
  <si>
    <t>Department of Pure and Applied Sciences of the University of Urbino</t>
  </si>
  <si>
    <t>We are grateful to an anonymous reviewer and the editor for their thoughtful comments, which resulted in an improved manuscript. Financial support for this research was provided by the Department of Pure and Applied Sciences of the University of Urbino to SG.</t>
  </si>
  <si>
    <t>10.1016/j.palaeo.2022.110958</t>
  </si>
  <si>
    <t>WOS:000806350900001</t>
  </si>
  <si>
    <t>Green, ME; Appleyard, SA; White, WT; Tracey, SR; Heupel, MR; Ovenden, JR</t>
  </si>
  <si>
    <t>Green, M. E.; Appleyard, S. A.; White, W. T.; Tracey, S. R.; Heupel, M. R.; Ovenden, J. R.</t>
  </si>
  <si>
    <t>Updated connectivity assessment for the scalloped hammerhead (Sphyrna lewini) in Pacific and Indian Oceans using a multi-marker genetic approach</t>
  </si>
  <si>
    <t>Elasmobranch; SNP; Microsatellite; Mitochondrial DNA; Conservation</t>
  </si>
  <si>
    <t>R-PACKAGE; GLOBAL PHYLOGEOGRAPHY; POPULATION-STRUCTURE; SHARK; SOFTWARE; CARCHARHINIFORMES; PERFORMANCE; ASSIGNMENT; DISPERSAL; MOVEMENTS</t>
  </si>
  <si>
    <t>Patterns of genetic connectivity can be used to define the geographic boundaries of fishes and underpin management decisions. This study used a genetic multi-marker approach to investigate the population structure of scalloped hammerheads (Sphyrna lewini) in the Indo-Pacific. Samples from 541 S. lewini were collected from 12 locations across the Indo-Pacific. Samples were analysed using two regions of the mitochondrial genome, nine microsatellite loci and two sets of Single Nucleotide Polymorphisms (SNP). Our study has four key findings; (1) genetic structure of S. lewini across the Indo-Pacific is affected by oceanic basins and can be separated into four distinct regions. (2) Within the central Indo-Pacific, connectivity is facilitated along continental shelves and strong signals of Isolation-By-Distance (IBD) were observed. (3) Mitochondrial haplotypes previously thought only to exist in the Atlantic Ocean are observed in Indo-Pacific populations, suggesting the haplotype should be reconsidered as more widespread than initially thought. (4) Results from microsatellites and SNPs largely agree, however a few differences are apparent with SNPs identifying more discrete population subdivision. Our findings suggest management at the spatial scales and boundaries identified in this study will necessitate international and national cooperation to conserve S. lewini populations.</t>
  </si>
  <si>
    <t>[Green, M. E.; Appleyard, S. A.; White, W. T.] CSIRO Oceans &amp; Atmosphere, Hobart, Tas 7001, Australia; [Green, M. E.; Tracey, S. R.] Univ Tasmania, Inst Marine &amp; Antarctic Studies, Private Bag 49, Hobart, Tas 7001, Australia; [Green, M. E.; Tracey, S. R.] Univ Tasmania, Ctr Marine Socioecol, Private Bag 49, Hobart, Tas 7001, Australia; [Appleyard, S. A.; White, W. T.] CSIRO Australian Natl Fish Collect, Natl Res Collect Australia, Hobart, Tas 7001, Australia; [Heupel, M. R.] Univ Tasmania, Integrated Marine Observing Syst IMOS, Private Bag 110, Hobart, Tas 7000, Australia; [Ovenden, J. R.] Univ Queensland, Sch Biomed Sci, Mol Fisheries Lab, Chancellors Pl, Brisbane, Qld 4072, Australia</t>
  </si>
  <si>
    <t>Commonwealth Scientific &amp; Industrial Research Organisation (CSIRO); University of Tasmania; University of Tasmania; Commonwealth Scientific &amp; Industrial Research Organisation (CSIRO); University of Tasmania; University of Queensland</t>
  </si>
  <si>
    <t>Green, ME (corresponding author), CSIRO Oceans &amp; Atmosphere, Hobart, Tas 7001, Australia.</t>
  </si>
  <si>
    <t>madeline.green@utas.edu.au</t>
  </si>
  <si>
    <t>Ovenden, Jennifer/A-3717-2010; Appleyard, Sharon/D-6076-2012; Tracey, Sean/J-7446-2014</t>
  </si>
  <si>
    <t>Ovenden, Jennifer/0000-0001-7538-1504; Green, Madeline Elizabeth/0000-0002-5037-2043; Appleyard, Sharon/0000-0002-3105-1690; Tracey, Sean/0000-0002-6735-5899</t>
  </si>
  <si>
    <t>Australian Centre for International Agricultural Research (ACIAR) [FIS/2012/102]; National Fish-eries Authority Papua New Guinea (NFA); Australian National Environmental Science Program (NESP); University of Tasmania (UTAS); Holsworth Wildlife Research Endowment [HWRE2016R2050]; CSIR-O-University of Tasmania Ph.D. Program in Quantitative Marine Science Elite Scholarship</t>
  </si>
  <si>
    <t>Australian Centre for International Agricultural Research (ACIAR)(Australian Ctr Intl Agr Res); National Fish-eries Authority Papua New Guinea (NFA); Australian National Environmental Science Program (NESP); University of Tasmania (UTAS); Holsworth Wildlife Research Endowment; CSIR-O-University of Tasmania Ph.D. Program in Quantitative Marine Science Elite Scholarship</t>
  </si>
  <si>
    <t>Declaration of Funding This project was funded by the Australian Centre for International Agricultural Research (ACIAR; Project FIS/2012/102) , National Fish-eries Authority Papua New Guinea (NFA) , the Australian National Environmental Science Program (NESP) , the University of Tasmania (UTAS) and the Holsworth Wildlife Research Endowment (Grant num-ber HWRE2016R2050) . M. E. Green was supported by the CSIR-O-University of Tasmania Ph.D. Program in Quantitative Marine Science Elite Scholarship.</t>
  </si>
  <si>
    <t>10.1016/j.fishres.2022.106305</t>
  </si>
  <si>
    <t>1U5MH</t>
  </si>
  <si>
    <t>WOS:000805456200010</t>
  </si>
  <si>
    <t>Charton, J; Schimmelpfennig, I; Jomelli, V; Delpech, G; Blard, PH; Braucher, R; Verfaillie, D; Favier, V; Rinterknecht, V; Goosse, H; Crosta, X; Chassiot, L; Martin, L; Guillaume, D; Legentil, C</t>
  </si>
  <si>
    <t>Charton, Joanna; Schimmelpfennig, Irene; Jomelli, Vincent; Delpech, Guillaume; Blard, Pierre-Henri; Braucher, Regis; Verfaillie, Deborah; Favier, Vincent; Rinterknecht, Vincent; Goosse, Hugues; Crosta, Xavier; Chassiot, Leo; Martin, Leo; Guillaume, Damien; Legentil, Claude</t>
  </si>
  <si>
    <t>ASTER Team</t>
  </si>
  <si>
    <t>New cosmogenic nuclide constraints on Late Glacial and Holocene glacier fluctuations in the sub-Antarctic Indian Ocean (Kerguelen Islands, 49°S)</t>
  </si>
  <si>
    <t>Glacier fluctuations; Paleoclimate; Cl-36 CRE dating; Be-10 CRE dating; Late glacial; Antarctic cold reversal; Holocene; Southern mid-latitudes; Sub-Antarctic; Kerguelen islands</t>
  </si>
  <si>
    <t>BE-10 PRODUCTION-RATE; SNOW SHIELDING FACTORS; COOK ICE CAP; SOUTHERN-HEMISPHERE; EXPOSURE AGES; HALF-LIFE; CL-36; PATAGONIA; CLIMATE; ALPS</t>
  </si>
  <si>
    <t>Cosmogenic nuclide dating of glacial landforms on the Kerguelen Archipelago (49 degrees S, 69 degrees E) gives the opportunity to study multi-millennial glacier fluctuations within the sub-Antarctic sector of the Indian Ocean. We here dated such geomorphic features to provide time constraints over the last 17,000 years using in situ-produced Cl-36 in three glacial valleys: Val Travers valley, Ampere Glacier valley and Arago Glacier valley. For the first time, a combination of in situ-produced Cl-36 and Be-10 dating and Al-26/Be-10 ratios analysis was performed in the quartz-bearing syenite boulders of the Arago Glacier site. In addition, a Bayesian approach was computed to obtain a better constraint on moraine dating. Glacial advances occurred during the Late Glacial at 16.0 +/- 1.9 ka and at 12.9 +/- 1.7 ka in Val Travers, and at 13.6 +/- 1.8 ka in Arago Glacier valley, probably linked to the Heinrich Stadial 1 and/or Antarctic Cold Reversal events, respectively. This suggests that all glaciers at this latitude were broadly sensitive to the large-scale climatic signal of the Antarctic Cold Reversal. So far, no Early nor Mid-Holocene moraines have been found in the glacial valleys on Kerguelen, indicating that the glaciers had probably receded significantly during these periods. This is in agreement with previously determined C-14 ages from peat bogs, which suggest extensive deglaciation during several millennia of the Holocene period. Samples from glacially-polished bedrock surfaces (ranging from similar to 4.4 ka to similar to 14 ka) at Ampere Glacier site also suggest that this valley was ice free for several millennia during the Holocene. Finally, glaciers seem to have re-advanced only during the Late Holocene, especially within the last millennium, at similar to 1 ka, similar to 430 yr and -300 yr. A comparison of this new dataset with the available 10 Be ages from other southern mid-latitude regions during the Holocene allows the identification of three different glacier evolution patterns. We suspect that variations of Kerguelen glaciers, which are located in the Southern Indian Ocean, were controlled by the combined effects of sea surface temperature related to the variations of the Antarctic Polar Front and fluctuations of precipitation related to long-term variations of the Southern Annular Mode. (C) 2022 Elsevier Ltd. All rights reserved.</t>
  </si>
  <si>
    <t>[Charton, Joanna; Schimmelpfennig, Irene; Jomelli, Vincent; Braucher, Regis; Verfaillie, Deborah; Rinterknecht, Vincent] Aix Marseille Univ, CNRS, IRD, INRAE,CEREGE, Aix En Provence, France; [Delpech, Guillaume] Univ Paris Saclay, CNRS, GEOPS, Paris, France; [Blard, Pierre-Henri] Univ Lorraine, CNRS, CRPG, Nancy, France; [Verfaillie, Deborah; Goosse, Hugues] Catholic Univ Louvain, Earth &amp; Life Inst, Louvain La Neuve, Belgium; [Rinterknecht, Vincent] Univ Grenoble Alpes, CNRS, Inst Geosci IEnvironm, Grenoble, France; [Crosta, Xavier] Univ Bordeaux, UMR CNRS 5805 EPOC, Bordeaux, France; [Chassiot, Leo] Univ Laval, Dept Geog, Quebec City, PQ, Canada; [Martin, Leo] Univ Utrecht, Fac Geosci, Utrecht, Netherlands; [Guillaume, Damien] Univ Lyon, CNRS, UJM St Etienne, UCBL,ENSL,LGL TPE UMR5276, Lyon, France; [Legentil, Claude] Univ Paris 1 Pantheon Sorbonne, CNRS, Lab Geog Phys, Paris, France; [ASTER Team] Aix Marseille Univ, CNRS, IRD, INRAE,CEREGE, Aix En Provence, France</t>
  </si>
  <si>
    <t>INRAE; Centre National de la Recherche Scientifique (CNRS); Institut de Recherche pour le Developpement (IRD); Aix-Marseille Universite; Universite Paris Saclay; Universite Paris Cite; Centre National de la Recherche Scientifique (CNRS); Centre National de la Recherche Scientifique (CNRS); Universite de Lorraine; Universite Catholique Louvain; Centre National de la Recherche Scientifique (CNRS); Communaute Universite Grenoble Alpes; Universite Grenoble Alpes (UGA); Universite de Bordeaux; Laval University; Utrecht University; Universite Claude Bernard Lyon 1; Centre National de la Recherche Scientifique (CNRS); CNRS - National Institute for Earth Sciences &amp; Astronomy (INSU); Ecole Normale Superieure de Lyon (ENS de LYON); Universite Paris-Est-Creteil-Val-de-Marne (UPEC); Centre National de la Recherche Scientifique (CNRS); INRAE; Centre National de la Recherche Scientifique (CNRS); Institut de Recherche pour le Developpement (IRD); Aix-Marseille Universite</t>
  </si>
  <si>
    <t>Charton, J (corresponding author), Aix Marseille Univ, CNRS, IRD, INRAE,CEREGE, Aix En Provence, France.</t>
  </si>
  <si>
    <t>charton@cerege.fr</t>
  </si>
  <si>
    <t>, Braucher/Q-5971-2017; Favier, Vincent/T-1936-2017; rinterknecht, vincent/A-9229-2010; , B/HZK-8896-2023</t>
  </si>
  <si>
    <t>, Braucher/0000-0002-4637-4302; Chassiot, Leo/0000-0002-3722-7124</t>
  </si>
  <si>
    <t>LabEx DynamiTe [ANR-11-LABX-0046]; French INSU LEFE Glacepreker project; IPEV Kesaaco 1048 project; INSU/CNRS; ANR through the 'Projets thematiques d'excellence' programme for the 'Equipements d'excellence' ASTER-CEREGE action and IRD</t>
  </si>
  <si>
    <t>LabEx DynamiTe; French INSU LEFE Glacepreker project; IPEV Kesaaco 1048 project; INSU/CNRS(Centre National de la Recherche Scientifique (CNRS)); ANR through the 'Projets thematiques d'excellence' programme for the 'Equipements d'excellence' ASTER-CEREGE action and IRD(Agence Nationale de la Recherche (ANR))</t>
  </si>
  <si>
    <t>This work has received financial support from the LabEx DynamiTe (ANR-11-LABX-0046) Les Envahisseurs as part of the 'Investissements d'Avenir' programme. This paper was also supported by the French INSU LEFE Glacepreker project and by the IPEV Kesaaco 1048 project. The 36Cl, 10Be and 26Al measurements were performed at the ASTER national accelerator mass spectrometry facility (CEREGE, Aix-en-Provence) that is supported by the INSU/CNRS, the ANR through the 'Projets thematiques d'excellence' programme for the 'Equipements d'excellence' ASTER-CEREGE action and IRD. We are very thankful for the compositional analyses at SARM/CRPG (Nancy, France). We also acknowledge the work of Fatima Mokadem, Laetitia Leanni and Valery Guillou, who helped processing data.</t>
  </si>
  <si>
    <t>10.1016/j.quascirev.2022.107461</t>
  </si>
  <si>
    <t>1H0JK</t>
  </si>
  <si>
    <t>WOS:000796231900002</t>
  </si>
  <si>
    <t>Komyakova, V; Jaffrés, JBD; Strain, EMA; Cullen-Knox, C; Fudge, M; Langhamer, O; Bender, A; Yaakub, SM; Wilson, E; Allan, BJM; Sella, I; Haward, M</t>
  </si>
  <si>
    <t>Komyakova, Valeriya; Jaffres, Jasmine B. D.; Strain, Elisabeth M. A.; Cullen-Knox, Coco; Fudge, Maree; Langhamer, Olivia; Bender, Anke; Yaakub, Siti M.; Wilson, Eloise; Allan, Bridie J. M.; Sella, Ido; Haward, Marcus</t>
  </si>
  <si>
    <t>Conceptualisation of multiple impacts interacting in the marine environment using marine infrastructure as an example</t>
  </si>
  <si>
    <t>Marine arti ficial structures; Anthropogenic impacts; Marine policy; Green marine engineering; Agent-based models; Conservation and management</t>
  </si>
  <si>
    <t>COASTAL DEFENSE STRUCTURES; WIND TURBINE FOUNDATIONS; NATURAL ROCKY SHORES; TEMPERATE REEF FISH; GREAT-BARRIER-REEF; ARTIFICIAL REEFS; LIGHT POLLUTION; HABITAT COMPLEXITY; CLIMATE-CHANGE; CORAL COVER</t>
  </si>
  <si>
    <t>The human population is increasingly reliant on the marine environment for food, trade, tourism, transport, communication and other vital ecosystem services. These services require extensive marine infrastructure, all of which have direct or indirect ecological impacts on marine environments. The rise in global marine infrastructure has led to light, noise and chemical pollution, as well as facilitation of biological invasions. As a result, marine systems and associated species are under increased pressure from habitat loss and degradation, formation of ecological traps and increased mortality, all of which can lead to reduced resilience and consequently increased invasive species establishment. Whereas the cumulative bearings of collective human impacts on marine populations have previously been demonstrated, the multiple impacts associated with marine infrastructure have not been well explored. Here, building on ecological literature, we explore the impacts that are associated with marine infrastructure, conceptualising the notion of correlative, interactive and cumulative effects of anthropogenic activities on the marine environment. By reviewing the range of mitigation approaches that are currently available, we consider the role that eco-engineering, marine spatial planning and agent-based modelling plays in complementing the design and placement of marine structures to incorporate the existing connectivity pathways, ecological principles and complexity of the environment. Because the effect of human-induced, rapid environmental change is predicted to increase in response to the growth of the human population, this study demonstrates that the development and implementation of legislative framework, innovative technologies and nature-informed solutions are vital, preventative measures to mitigate the multiple impacts associated with marine infrastructure.</t>
  </si>
  <si>
    <t>[Komyakova, Valeriya; Strain, Elisabeth M. A.; Fudge, Maree; Wilson, Eloise; Haward, Marcus] Univ Tasmania, Inst Marine &amp; Antarctic Studies, Hobart, Tas 7001, Australia; [Komyakova, Valeriya; Strain, Elisabeth M. A.; Cullen-Knox, Coco; Fudge, Maree; Wilson, Eloise; Haward, Marcus] Univ Tasmania, Ctr Marine Socioecol, Hobart, Tas 7053, Australia; [Jaffres, Jasmine B. D.] C&amp;R Consulting, Townsville, Qld, Australia; [Jaffres, Jasmine B. D.] James Cook Univ, Coll Sci &amp; Engn, Townsville, Qld, Australia; [Fudge, Maree] Univ Tasmania, Coll Business &amp; Econ, Hobart, Tas, Australia; [Langhamer, Olivia; Bender, Anke] Uppsala Univ, Dept Elect Engn, Div Elect, Uppsala, Sweden; [Yaakub, Siti M.] DHI Water &amp; Environm S, Sustainabil &amp; Climate Solut Dept, Singapore, Singapore; [Allan, Bridie J. M.] Univ Otago, Dept Marine Sci, Dunedin 9016, New Zealand; [Sella, Ido] ECOncrete Tech, Tel Aviv, Israel; [Haward, Marcus] Blue Econ Cooperat Res Ctr, POB 897, Launceston, Tas 7250, Australia</t>
  </si>
  <si>
    <t>University of Tasmania; University of Tasmania; James Cook University; University of Tasmania; Uppsala University; Danish Hydraulic Institute (DHI); University of Otago; University of Western Australia</t>
  </si>
  <si>
    <t>Komyakova, V (corresponding author), Inst Marine &amp; Antarctic Studies IMAS, 20 Castray Esplanade, Battery Point, Tas 7004, Australia.</t>
  </si>
  <si>
    <t>valeriya.komyakova@utas.edu.au</t>
  </si>
  <si>
    <t>Strain, Elisabeth/U-3520-2017; Langhamer, Olivia/J-3425-2012; Komyakova, Valeriya/H-4632-2013; Mokhtara, Charafeddine/ACV-5174-2022; Jaffrés, Jasmine B. D./B-4607-2011; Haward, Marcus/G-3369-2014</t>
  </si>
  <si>
    <t>Mokhtara, Charafeddine/0000-0002-4643-3798; Jaffrés, Jasmine B. D./0000-0003-2567-539X; Fudge, Maree/0000-0003-1327-0053</t>
  </si>
  <si>
    <t>10.1016/j.scitotenv.2022.154748</t>
  </si>
  <si>
    <t>1F0MZ</t>
  </si>
  <si>
    <t>WOS:000794872600007</t>
  </si>
  <si>
    <t>Roberts, SJ; McCulloch, RD; Emmings, JF; Davies, SJ; Van Nieuwenhuyze, W; Sterken, M; Heirman, K; Van Wichelen, J; Diaz, C; Van de Vyver, E; Whittle, A; Vyverman, W; Hodgson, DA; Verleyen, E</t>
  </si>
  <si>
    <t>Roberts, Stephen J.; McCulloch, Robert D.; Emmings, Joseph F.; Davies, Sarah J.; Van Nieuwenhuyze, Wim; Sterken, Mieke; Heirman, Katrien; Van Wichelen, Jeroen; Diaz, Carolina; Van de Vyver, Evelien; Whittle, Alex; Vyverman, Wim; Hodgson, Dominic A.; Verleyen, Elie</t>
  </si>
  <si>
    <t>Late Glacial and Holocene Palaeolake History of the ultima Esperanza Region of Southern Patagonia</t>
  </si>
  <si>
    <t>Last Glacial Maximum (LGM); palaeoclimate; palaeolimnology; glaciation; lake-level changes; Patagonia; Southern Hemisphere westerly winds (SWW)</t>
  </si>
  <si>
    <t>TORRES DEL PAINE; HEMISPHERE WESTERLY WINDS; ANTARCTIC COLD REVERSAL; MODE-LIKE CHANGES; ANNULAR MODE; NORTHWESTERN PATAGONIA; CHILEAN PATAGONIA; ATMOSPHERIC CO2; ENVIRONMENTAL VARIABLES; PLANKTONIC DIATOMS</t>
  </si>
  <si>
    <t>We undertook multi-proxy analyses on two sediment cores from Lago Pato, a small lake basin at 51 degrees S topographically separated from Lago del Toro in Torres del Paine (TdP), to provide insights into glacier dynamics and lake-level change in the TdP and ultima Esperanza region over the last similar to 30,000 cal a BP (30 ka). Lago Pato is situated in a region overridden by the Southern Patagonian Ice Field during the Last Glacial and in a transitional climatic zone of Southern Patagonia sensitive to seasonal- to millennial-scale changes in the Southern Hemisphere Westerly Winds (SWW). Results show that a deep ice-dammed and enlarged palaeolake encompassed Lago del Toro and Lago Pato c. 30-20 ka after the ice had retreated from local-Last Glacial Maximum (l-LGM) limits at c. 48-34 ka and during the build-up to the global-Last Glacial Maximum (g-LGM), c. 26-19 ka. Gaps in both sediment records between c. 20-13.4 ka and c. 20-10 ka suggest hiatuses in sediment accumulation during the g-LGM and Antarctic Cold Reversal (ACR) readvances and/or removal by lake lowering or flushing during the Late Glacial-early Holocene. The palaeolake level dropped from &gt;100 m a.s.l. to similar to 40-50 m a.s.l. towards the end of the ACR c. 13.4-13.0 ka, creating a shallower glaciolacustrine environment dammed by an ice tongue in the Estancia Puerto Consuelo-ultima Esperanza fjord. Further lowering of the enlarged palaeolake level occurred when the ice thinned to &lt;40 m a.s.l., eventually isolating Lago Pato from Lago del Toro and glaciogenic sediment input at c. 11.7 ka. After isolation, the ecology and water levels in Lago Pato became sensitive to regional climate shifts. The shallow, stable, and highly anoxic environment that developed after c. 11.7 ka is associated with weaker (or poleward shifted) SWW at 51 degrees S and was replaced at c. 10 ka by an increasingly productive shallow-littoral lake with a variable lake-level and periodic shifts in anoxic-oxic bottom water conditions and ratios of benthic-planktonic diatoms. A more open Nothofagus forest, established at c. 8.6-7.5 ka, and more arid conditions c. 7.5-5.7 cal ka BP are linked to another phase of weaker (or poleward shifted) SWW at 51 degrees S. More persistently wet conditions from c. 5.7 ka, with extensive closed Nothofagus forests and planktonic diatoms dominant, are associated with stronger (or equatorward shifted) SWW over 51 degrees S. The abrupt return of benthic-to-tychoplanktonic diatoms after c. 3 ka reflects enhanced SWW at 51 degrees S. Increasingly stable lacustrine and littoral wetland conditions established in the last similar to 500 years reflect weaker SWW and lasted until recent decades.</t>
  </si>
  <si>
    <t>[Roberts, Stephen J.; Whittle, Alex; Hodgson, Dominic A.] British Antarctic Survey, Nat Environm Res Council, Cambridge, England; [McCulloch, Robert D.] Ctr Invest Ecosistemas Patagonia CIEP, Coyhaique, Chile; [Emmings, Joseph F.] British Geol Survey, Nottingham, England; [Davies, Sarah J.] Aberystwyth Univ, Dept Geog &amp; Earth Sci, Aberystwyth, Dyfed, Wales; [Van Nieuwenhuyze, Wim; Sterken, Mieke; Van Wichelen, Jeroen; Van de Vyver, Evelien; Vyverman, Wim; Verleyen, Elie] Univ Ghent, Protistol &amp; Aquat Ecol, Ghent, Belgium; [Heirman, Katrien] TNO, Geol Survey Netherlands, Utrecht, Netherlands; [Van Wichelen, Jeroen] Herman Teirlinckgebouw, Res Inst Nat &amp; Forest, Brussels, Belgium; [Diaz, Carolina] Univ Chile, Inst Ecol &amp; Biodivers IEB, Santiago, Chile; [Van de Vyver, Evelien] Flanders Environm Agcy, Aalst, Belgium</t>
  </si>
  <si>
    <t>UK Research &amp; Innovation (UKRI); Natural Environment Research Council (NERC); NERC British Antarctic Survey; UK Research &amp; Innovation (UKRI); Natural Environment Research Council (NERC); NERC British Geological Survey; Aberystwyth University; Ghent University; Netherlands Organization Applied Science Research; Research Institute for Nature &amp; Forest; Universidad de Chile</t>
  </si>
  <si>
    <t>Roberts, SJ (corresponding author), British Antarctic Survey, Nat Environm Res Council, Cambridge, England.</t>
  </si>
  <si>
    <t>sjro@bas.ac.uk</t>
  </si>
  <si>
    <t>Davies, Sarah/ITT-3963-2023; Emmings, Joseph/IZD-4535-2023</t>
  </si>
  <si>
    <t>Emmings, Joseph/0000-0003-2084-0501; Van Wichelen, Jeroen/0000-0002-0255-9591; McCulloch, Robert/0000-0001-5542-3703</t>
  </si>
  <si>
    <t>Natural Environment Research Council (NERC) through the British Antarctic Survey (BAS); UGent BOF bilateral collaboration project; Programa Regional [R17A10002, R20F0002 (PATSER) ANID]</t>
  </si>
  <si>
    <t>Natural Environment Research Council (NERC) through the British Antarctic Survey (BAS); UGent BOF bilateral collaboration project; Programa Regional</t>
  </si>
  <si>
    <t>This project was funded by the Natural Environment Research Council (NERC) through the British Antarctic Survey (BAS) and an UGent BOF bilateral collaboration project. RMcC was supported by Programa Regional R17A10002 and R20F0002 (PATSER) ANID.</t>
  </si>
  <si>
    <t>MAR 29</t>
  </si>
  <si>
    <t>10.3389/feart.2022.813396</t>
  </si>
  <si>
    <t>1B5DY</t>
  </si>
  <si>
    <t>Green Published, Green Accepted, gold, Green Submitted</t>
  </si>
  <si>
    <t>WOS:000792458500001</t>
  </si>
  <si>
    <t>Espejo, C; Wilson, R; Pye, RJ; Ratcliffe, JC; Ruiz-Aravena, M; Willms, E; Wolfe, BW; Hamede, R; Hill, AF; Jones, ME; Woods, GM; Lyons, AB</t>
  </si>
  <si>
    <t>Espejo, Camila; Wilson, Richard; Pye, Ruth J.; Ratcliffe, Julian C.; Ruiz-Aravena, Manuel; Willms, Eduard; Wolfe, Barrett W.; Hamede, Rodrigo; Hill, Andrew F.; Jones, Menna E.; Woods, Gregory M.; Lyons, A. Bruce</t>
  </si>
  <si>
    <t>Cathelicidin-3 Associated With Serum Extracellular Vesicles Enables Early Diagnosis of a Transmissible Cancer</t>
  </si>
  <si>
    <t>exosomes; microvesicles; innate immunity; liquid biopsy; animal models; early cancer detection; proteomics; cathelicidins</t>
  </si>
  <si>
    <t>TISSUE GROWTH-FACTOR; PREDICTS POOR-PROGNOSIS; FACIAL TUMOR DISEASE; EXOSOMES; EXPRESSION; BIOMARKERS; CELLS</t>
  </si>
  <si>
    <t>The identification of practical early diagnostic biomarkers is a cornerstone of improved prevention and treatment of cancers. Such a case is devil facial tumor disease (DFTD), a highly lethal transmissible cancer afflicting virtually an entire species, the Tasmanian devil (Sarcophilus harrisii). Despite a latent period that can exceed one year, to date DFTD diagnosis requires visual identification of tumor lesions. To enable earlier diagnosis, which is essential for the implementation of effective conservation strategies, we analyzed the extracellular vesicle (EV) proteome of 87 Tasmanian devil serum samples using data-independent acquisition mass spectrometry approaches. The antimicrobial peptide cathelicidin-3 (CATH3), released by innate immune cells, was enriched in serum EV samples of both devils with clinical DFTD (87.9% sensitivity and 94.1% specificity) and devils with latent infection (i.e., collected while overtly healthy, but 3-6 months before subsequent DFTD diagnosis; 93.8% sensitivity and 94.1% specificity). Although high expression of antimicrobial peptides has been mostly related to inflammatory diseases, our results suggest that they can be also used as accurate cancer biomarkers, suggesting a mechanistic role in tumorous processes. This EV-based approach to biomarker discovery is directly applicable to improving understanding and diagnosis of a broad range of diseases in other species, and these findings directly enhance the capacity of conservation strategies to ensure the viability of the imperiled Tasmanian devil population.</t>
  </si>
  <si>
    <t>[Espejo, Camila; Lyons, A. Bruce] Univ Tasmania, Coll Hlth &amp; Med, Tasmanian Sch Med, Hobart, Tas, Australia; [Wilson, Richard] Univ Tasmania, Cent Sci Lab, Hobart, Tas, Australia; [Pye, Ruth J.; Woods, Gregory M.] Univ Tasmania, Coll Hlth &amp; Med, Menzies Inst Med Res, Hobart, Tas, Australia; [Ratcliffe, Julian C.] La Trobe Univ, Bioimaging Platform, Bundoora, Vic, Australia; [Ruiz-Aravena, Manuel; Hamede, Rodrigo; Jones, Menna E.] Univ Tasmania, Sch Nat Sci, Hobart, Tas, Australia; [Ruiz-Aravena, Manuel] Montana State Univ, Dept Microbiol &amp; Cell Biol, Bozeman, MT 59717 USA; [Willms, Eduard; Hill, Andrew F.] La Trobe Univ, La Trobe Inst Mol Sci, Sch Agr Biomed &amp; Environm, Dept Biochem &amp; Chem, Bundoora, Vic, Australia; [Wolfe, Barrett W.] Univ Tasmania, Inst Marine &amp; Antarctic Studies, Hobart, Tas, Australia; [Hamede, Rodrigo] Ctr Rech Ecol &amp; Evolut Canc, CANECEV, Montpellier, France; [Hill, Andrew F.] Victoria Univ, Inst Hlth &amp; Sport, Footscray, Vic, Australia</t>
  </si>
  <si>
    <t>University of Tasmania; University of Tasmania; University of Tasmania; Menzies Institute for Medical Research; La Trobe University; University of Tasmania; Montana State University System; Montana State University Bozeman; La Trobe University; University of Tasmania; Universite de Montpellier; Victoria University</t>
  </si>
  <si>
    <t>Espejo, C (corresponding author), Univ Tasmania, Coll Hlth &amp; Med, Tasmanian Sch Med, Hobart, Tas, Australia.</t>
  </si>
  <si>
    <t>camila.espejo@utas.edu.au</t>
  </si>
  <si>
    <t>Ruiz-Aravena, Manuel/G-8093-2015; Woods, Greg M/J-7533-2014; Hill, Andrew F./GZL-4124-2022; Wilson, Richard R/H-8429-2012; Wolfe, Barrett William/W-3509-2019</t>
  </si>
  <si>
    <t>Ruiz-Aravena, Manuel/0000-0001-8463-7858; Hill, Andrew F./0000-0001-5581-2354; Wolfe, Barrett William/0000-0002-9406-0578; Jones, Menna/0000-0001-7558-9022; Pye, Ruth/0000-0002-1001-3329</t>
  </si>
  <si>
    <t>10.3389/fimmu.2022.858423</t>
  </si>
  <si>
    <t>0O9KU</t>
  </si>
  <si>
    <t>WOS:000783843200001</t>
  </si>
  <si>
    <t>van Dalum, CT; van de Berg, WJ; van den Broeke, MR</t>
  </si>
  <si>
    <t>van Dalum, Christiaan T.; van de Berg, Willem Jan; van den Broeke, Michiel R.</t>
  </si>
  <si>
    <t>Sensitivity of Antarctic surface climate to a new spectral snow albedo and radiative transfer scheme in RACMO2.3p3</t>
  </si>
  <si>
    <t>MASS-BALANCE; NARROW-BAND; ICE-SHEET; TEMPERATURE; ABSORPTION; EVOLUTION; FEEDBACK; GLACIER; AREA</t>
  </si>
  <si>
    <t>This study investigates the sensitivity of modeled surface melt and subsurface heating on the Antarctic ice sheet to a new spectral snow albedo and radiative transfer scheme in the Regional Atmospheric Climate Model (RACMO), version 2.3p3 (Rp3). We tune Rp3 to observations by performing several sensitivity experiments and assess the impact on temperature and melt by incrementally changing one parameter at a time. When fully tuned, Rp3 compares well with in situ and remote sensing observations of surface mass and energy balance, melt, near-surface and (sub)surface temperature, albedo and snow grain specific surface area. Near-surface snow temperature is especially sensitive to the prescribed fresh snow specific surface area and fresh dry snow metamorphism. These processes, together with the refreezing water grain size and subsurface heating, are important for melt around the margins of the Antarctic ice sheet. Moreover, small changes in the albedo and the aforementioned processes can lead to an order of magnitude overestimation of melt, locally leading to runoff and a reduced surface mass balance.</t>
  </si>
  <si>
    <t>[van Dalum, Christiaan T.; van de Berg, Willem Jan; van den Broeke, Michiel R.] Univ Utrecht, Inst Marine &amp; Atmospher Res, Utrecht, Netherlands</t>
  </si>
  <si>
    <t>Utrecht University</t>
  </si>
  <si>
    <t>van Dalum, CT (corresponding author), Univ Utrecht, Inst Marine &amp; Atmospher Res, Utrecht, Netherlands.</t>
  </si>
  <si>
    <t>c.t.vandalum@uu.nl</t>
  </si>
  <si>
    <t>Van den Broeke, Michiel R./F-7867-2011; van de Berg, Willem Jan/H-4385-2011</t>
  </si>
  <si>
    <t>Van den Broeke, Michiel R./0000-0003-4662-7565; van de Berg, Willem Jan/0000-0002-8232-2040; van Dalum, Christiaan Timo/0009-0008-6944-364X</t>
  </si>
  <si>
    <t>Horizon 2020 (PROTECT grant) [869304]</t>
  </si>
  <si>
    <t>Horizon 2020 (PROTECT grant)</t>
  </si>
  <si>
    <t>This research has been supported by Horizon 2020 (PROTECT grant no. 869304).</t>
  </si>
  <si>
    <t>10.5194/tc-16-1071-2022</t>
  </si>
  <si>
    <t>0E2NG</t>
  </si>
  <si>
    <t>WOS:000776520100001</t>
  </si>
  <si>
    <t>Noisette, F; Pansch, C; Wall, M; Wahl, M; Hurd, CL</t>
  </si>
  <si>
    <t>Noisette, Fanny; Pansch, Christian; Wall, Marlene; Wahl, Martin; Hurd, Catriona L.</t>
  </si>
  <si>
    <t>Role of hydrodynamics in shaping chemical habitats and modulating the responses of coastal benthic systems to ocean global change</t>
  </si>
  <si>
    <t>GLOBAL CHANGE BIOLOGY</t>
  </si>
  <si>
    <t>acidification; boundary layer; deoxygenation; engineer species; global change mitigation; hypoxia; micro-environment; refugia; water motion</t>
  </si>
  <si>
    <t>INORGANIC CARBON ACQUISITION; DIFFUSIVE BOUNDARY-LAYER; TEMPERATE MAERL BEDS; WATER MOTION; MACROCYSTIS-PYRIFERA; KELP FOREST; GIANT-KELP; COMMUNITY METABOLISM; ECOSYSTEM ENGINEERS; INSITU MEASUREMENTS</t>
  </si>
  <si>
    <t>Marine coastal zones are highly productive, and dominated by engineer species (e.g. macrophytes, molluscs, corals) that modify the chemistry of their surrounding seawater via their metabolism, causing substantial fluctuations in oxygen, dissolved inorganic carbon, pH, and nutrients. The magnitude of these biologically driven chemical fluctuations is regulated by hydrodynamics, can exceed values predicted for the future open ocean, and creates chemical patchiness in subtidal areas at various spatial (mu m to meters) and temporal (minutes to months) scales. Although the role of hydrodynamics is well explored for planktonic communities, its influence as a crucial driver of benthic organism and community functioning is poorly addressed, particularly in the context of ocean global change. Hydrodynamics can directly modulate organismal physiological activity or indirectly influence an organism's performance by modifying its habitat. This review addresses recent developments in (i) the influence of hydrodynamics on the biological activity of engineer species, (ii) the description of chemical habitats resulting from the interaction between hydrodynamics and biological activity, (iii) the role of these chemical habitat as refugia against ocean acidification and deoxygenation, and (iv) how species living in such chemical habitats may respond to ocean global change. Recommendations are provided to integrate the effect of hydrodynamics and environmental fluctuations in future research, to better predict the responses of coastal benthic ecosystems to ongoing ocean global change.</t>
  </si>
  <si>
    <t>[Noisette, Fanny] Univ Quebec Rimouski, Inst Sci Mer, Rimouski, PQ G5L 3A1, Canada; [Noisette, Fanny; Pansch, Christian; Wall, Marlene; Wahl, Martin] GEOMAR Helmholtz Ctr Ocean Res, Dept Marine Ecol, Kiel, Germany; [Noisette, Fanny; Hurd, Catriona L.] Univ Tasmania, Inst Marine &amp; Antarctic Studies, Hobart, Tas, Australia; [Pansch, Christian] Abo Akad Univ, Dept Environm &amp; Marine Biol, Turku, Finland; [Wall, Marlene] Alfred Wegener Inst, Helmholtz Ctr Polar &amp; Marine Res, Benthopelag Proc, Bremerhaven, Germany</t>
  </si>
  <si>
    <t>University of Quebec; Universite du Quebec a Rimouski; Helmholtz Association; GEOMAR Helmholtz Center for Ocean Research Kiel; University of Tasmania; Abo Akademi University; Helmholtz Association; Alfred Wegener Institute, Helmholtz Centre for Polar &amp; Marine Research</t>
  </si>
  <si>
    <t>Noisette, F (corresponding author), Univ Quebec Rimouski, Inst Sci Mer, Rimouski, PQ G5L 3A1, Canada.</t>
  </si>
  <si>
    <t>fanny_noisette@uqar.ca</t>
  </si>
  <si>
    <t>Hurd, Catriona L/J-2411-2013; Pansch, Christian/GRR-3061-2022; Wahl, Martin/D-2038-2016</t>
  </si>
  <si>
    <t>Pansch, Christian/0000-0001-8442-4502; Wall, Marlene/0000-0003-2885-1301; NOISETTE, Fanny/0000-0002-9672-2870; Wahl, Martin/0000-0001-8703-3857</t>
  </si>
  <si>
    <t>Marie Skodowska-Curie Outgoing Individual Fellowship within the H2020 European Community Framework Programme [701366]; German Research Foundation (DFG) [PA 2643/2/348431475]; GEOMAR; DFG project: Exploring functional interfaces: extreme biologically-driven fluctuations may amplify or buffer environmental stress on organisms associated with marine macrophytes [SA 2791/3-1]; ProjektDEAL; Marie Curie Actions (MSCA) [701366] Funding Source: Marie Curie Actions (MSCA)</t>
  </si>
  <si>
    <t>Marie Skodowska-Curie Outgoing Individual Fellowship within the H2020 European Community Framework Programme(European Union (EU)); German Research Foundation (DFG)(German Research Foundation (DFG)); GEOMAR; DFG project: Exploring functional interfaces: extreme biologically-driven fluctuations may amplify or buffer environmental stress on organisms associated with marine macrophytes; ProjektDEAL; Marie Curie Actions (MSCA)(Marie Curie Actions)</t>
  </si>
  <si>
    <t>F. Noisette was supported by a Marie Skodowska-Curie Outgoing Individual Fellowship within the H2020 European Community Framework Programme (Grant Agreement number: 701366). CP was supported by the German Research Foundation (DFG) project: The neglected role of environmental fluctuations as a modulator of stress and driver of rapid evolution (Grant Number: PA 2643/2/348431475), and through GEOMAR. MW was funded through the DFG project: Exploring functional interfaces: extreme biologically-driven fluctuations may amplify or buffer environmental stress on organisms associated with marine macrophytes (Grant Number: SA 2791/3-1). Open access funding enabled and organized by ProjektDEAL.</t>
  </si>
  <si>
    <t>1354-1013</t>
  </si>
  <si>
    <t>1365-2486</t>
  </si>
  <si>
    <t>GLOBAL CHANGE BIOL</t>
  </si>
  <si>
    <t>Glob. Change Biol.</t>
  </si>
  <si>
    <t>10.1111/gcb.16165</t>
  </si>
  <si>
    <t>1F3PR</t>
  </si>
  <si>
    <t>WOS:000774638100001</t>
  </si>
  <si>
    <t>Grilly, E; Reid, K; Thanassekos, S</t>
  </si>
  <si>
    <t>Grilly, Emily; Reid, Keith; Thanassekos, Stephane</t>
  </si>
  <si>
    <t>Long-distance movements of Antarctic toothfish (Dissostichus mawsoni) as inferred from tag-recapture data</t>
  </si>
  <si>
    <t>JOURNAL OF FISH BIOLOGY</t>
  </si>
  <si>
    <t>Antarctic toothfish; ecology; fisheries; movements; Southern Ocean; tag recapture</t>
  </si>
  <si>
    <t>PATAGONIAN TOOTHFISH; ELEGINOIDES SMITT; LIFE-HISTORY; FISH; ENVIRONMENTS; BIOLOGY; ECOLOGY; GROWTH; POLAR; HEARD</t>
  </si>
  <si>
    <t>Examining the causes and consequences of animal movement is fundamental to understanding the ecology of any species. This analysis focuses on Antarctic toothfish movements in the Southern Ocean as inferred from tagging data collected from 2001 to 2019 with a focus on the characteristics of long-distance movements, defined as an individual recaptured greater than 200 km from their release location. The results of this analysis indicate that while adult Antarctic toothfish are generally quite sedentary a small proportion (similar to 7%) move long distances, consistent with findings from previous studies examining movements of toothfish. There appears to be no relationship between time at liberty and long-distance movements, no strong influence of sex and results indicate a distinct bias in the direction of long-distance travel from release to recapture towards a counter-clockwise direction. Frequency and scale of long-distance movements are likely influenced by localized physical oceanographic processes and life-history traits. Knowledge of these movements patterns remains highly important for stock assessments arid the design of spatial and temporal fisheries management regimes.</t>
  </si>
  <si>
    <t>[Grilly, Emily; Reid, Keith; Thanassekos, Stephane] Commiss Conservat Antarctic Marine Living Resourc, 181 Macquarie St, Hobart, Tas 7000, Australia</t>
  </si>
  <si>
    <t>Grilly, E (corresponding author), Commiss Conservat Antarctic Marine Living Resourc, 181 Macquarie St, Hobart, Tas 7000, Australia.</t>
  </si>
  <si>
    <t>ejgrilly@gmail.com</t>
  </si>
  <si>
    <t>0022-1112</t>
  </si>
  <si>
    <t>1095-8649</t>
  </si>
  <si>
    <t>J FISH BIOL</t>
  </si>
  <si>
    <t>J. Fish Biol.</t>
  </si>
  <si>
    <t>10.1111/jfb.14941</t>
  </si>
  <si>
    <t>1K4HU</t>
  </si>
  <si>
    <t>WOS:000774530900001</t>
  </si>
  <si>
    <t>Kaiser, R; White, R</t>
  </si>
  <si>
    <t>Kaiser, Rebecca; White, Rob</t>
  </si>
  <si>
    <t>What happens on the ice, stays on the ice: transgression and layered silence in Antarctica</t>
  </si>
  <si>
    <t>CURRENT ISSUES IN CRIMINAL JUSTICE</t>
  </si>
  <si>
    <t>Antarctica; extreme environments; harm; isolated and confined environments; silence; tolerance; transgression</t>
  </si>
  <si>
    <t>FOLK CRIME; ADAPTATION</t>
  </si>
  <si>
    <t>This article explores the nature of transgression in Antarctica, an isolated and extreme environment. Drawing upon interviews with Antarctic expeditioners, the paper examines harms and crimes of Australian Antarctic bases, some of which are unique to this physical and social environment. The article then considers how and why there is greater tolerance of 'deviant' behaviour in this setting and the layers of 'silence' that accompany various transgressions. This is interpreted through the conceptual lens of folk crime. Living and working in Antarctica, where everyone is dependent upon the same community, means that the contours of transgression, tolerance and silence by expeditioners is shaped by its unusual context and circumstance.</t>
  </si>
  <si>
    <t>[Kaiser, Rebecca; White, Rob] Univ Tasmania, Sch Social Sci, Private Bag 22, Hobart, Tas 7001, Australia</t>
  </si>
  <si>
    <t>White, R (corresponding author), Univ Tasmania, Sch Social Sci, Private Bag 22, Hobart, Tas 7001, Australia.</t>
  </si>
  <si>
    <t>r.d.white@utas.edu.au</t>
  </si>
  <si>
    <t>Kaiser, Rebecca/HHN-8088-2022</t>
  </si>
  <si>
    <t>Kaiser, Rebecca/0000-0002-0435-0097</t>
  </si>
  <si>
    <t>1034-5329</t>
  </si>
  <si>
    <t>2206-9542</t>
  </si>
  <si>
    <t>CURR ISS CRIM JUSTIC</t>
  </si>
  <si>
    <t>Curr. Iss. Crim. Justice</t>
  </si>
  <si>
    <t>JUL 3</t>
  </si>
  <si>
    <t>10.1080/10345329.2022.2051819</t>
  </si>
  <si>
    <t>Criminology &amp; Penology</t>
  </si>
  <si>
    <t>4Z4YJ</t>
  </si>
  <si>
    <t>WOS:000774754200001</t>
  </si>
  <si>
    <t>Flamm, P</t>
  </si>
  <si>
    <t>Flamm, Patrick</t>
  </si>
  <si>
    <t>Legitimating the Antarctic Treaty System: from rich nations club to planetary ecological democracy?</t>
  </si>
  <si>
    <t>Antarctica; legitimacy; geopolitics; environmental governance; nationalism; postcolonialism; posthumanism</t>
  </si>
  <si>
    <t>END</t>
  </si>
  <si>
    <t>Like other international institutions, the Antarctic Treaty System (ATS) relies on the goodwill and self-binding commitment of its members. Legitimacy, understood as the belief in the 'rightfulness' of a governing arrangement by its stakeholders, lies at the heart of the ATS' success as a multilateral institution. Global warming and geopolitical power shifts are poised to challenge established forms of Antarctic legitimacy and effectiveness, with external calls for Antarctic democratisation and reform increasing. Using the concepts of input, output, and throughput legitimacy, this paper explores how the ATS has been legitimated as the only authoritative decision-making context for Antarctic matters, internally amongst Treaty Partners as well as externally towards the rest of the international community. It argues that the increase of input legitimacy through the inclusion of more consultative parties led to a perceived lack of output legitimacy for some especially environmental critics which illustrates the importance but also the limits of maintaining consensus about throughput legitimacy: the agreed upon processes and rules of decision-making. Finally, the analysis problematises the inhibiting centrality of nation states and the logic of sovereignty during times of global ecological and geopolitical change and asks how an ambitiously democratic future of Antarctic governance in the Anthropocene might look like.</t>
  </si>
  <si>
    <t>[Flamm, Patrick] Te Herenga Waka Victoria Univ Wellington, Polit Sci &amp; Int Relat, Wellington 6140, New Zealand</t>
  </si>
  <si>
    <t>Flamm, P (corresponding author), Te Herenga Waka Victoria Univ Wellington, Polit Sci &amp; Int Relat, Wellington 6140, New Zealand.</t>
  </si>
  <si>
    <t>patrick.flamm@vuw.ac.nz</t>
  </si>
  <si>
    <t>10.1080/10357718.2022.2056876</t>
  </si>
  <si>
    <t>WOS:000773419300001</t>
  </si>
  <si>
    <t>Sun, YY; Lu, ZB; Xiao, KY; Zeng, LY; Wang, J; Zhang, YY; Gabrielsen, GW</t>
  </si>
  <si>
    <t>Sun, Yayue; Lu, Zhibo; Xiao, Kaiyan; Zeng, Lingyun; Wang, Juan; Zhang, Yanyun; Gabrielsen, Geir Wing</t>
  </si>
  <si>
    <t>Spatial and interspecific variation of accumulated highly toxic trace elements between fifteen bird species feathers from Antarctic, Arctic and China</t>
  </si>
  <si>
    <t>ENVIRONMENTAL TECHNOLOGY &amp; INNOVATION</t>
  </si>
  <si>
    <t>Bird feather; Highly toxic trace element; Stable isotope; Antarctic; Arctic; China</t>
  </si>
  <si>
    <t>HEAVY-METAL CONCENTRATIONS; CLIMATE-CHANGE; MERCURY; CONTAMINATION; PENGUINS; SEABIRDS; POLLUTION; HABITATS; PATTERNS; EXPOSURE</t>
  </si>
  <si>
    <t>To assess the impact of human activities and other factors on the levels of highly toxic trace elements in the environment, the contents of eight highly toxic trace elements (arsenic (As), cadmium (Cd), chromium (Cr), copper (Cu), mercury (Hg), nickel (Ni), lead (Pb) and zinc (Zn)) in feathers of 15 bird species from the Prydz Bay region in the Antarctic, Ny-Alsund region in the Arctic, and eastern China were evaluated in this study. Results showed that feathers collected from the Antarctic showed the highest As, Cu, and Hg contents (1.65-2.85, 9.58-18.56, and 4.77-8.76 mu g/g dw, respectively) of the different study areas, whereas Arctic feathers exhibited the highest mean Pb levels (1.82-3.19 mu g/g dw), and feathers from China showed significantly lower accumulations of Cr, Ni, Pb, and Zn compared with the other two areas. Overall, most of the studied highly toxic trace element contents in bird feathers from the densely populated and polluted area of eastern China were lower than those from remote polar regions, which are negligibly affected by human activities. In addition, feathers from the Arctic did not show higher highly toxic trace element contents than those of the more remote Antarctic. These results are thus inferred to reflect differences in the dietary structure of birds in the different habitats, as well as historical climate change. Carbon (delta C-13) and nitrogen (delta N-15) stable isotope ratios of feathers were also measured to evaluate the relationship between diet and highly toxic trace elements. Results showed that highly toxic trace element contents did not increase with increasing trophic levels. Moreover, the methylmercury content accounted for 87.57%-98.59% of the total mercury in all feather samples, regardless of location and species, confirming that most of the mercury entering the feathers is methylated. This finding suggests that the form of mercury changes during the process of transference from internal tissues to feathers, which improves our understanding of the mechanism by which feathers excrete mercury, this behavior greatly reduces the harm to bird health caused by mercury. This study confirms that measuring contaminants in feathers is a long-term and effective method for monitoring highly toxic trace elements pollution in particular environments, making future monitoring of highly toxic trace elements pollution in the polar regions, as well as more typical environments, more convenient. (C) 2022 The Author(s). Published by Elsevier B.V.</t>
  </si>
  <si>
    <t>[Sun, Yayue; Lu, Zhibo; Xiao, Kaiyan; Zeng, Lingyun; Wang, Juan] Tongji Univ, State Key Lab Pollut Control &amp; Resources Reuse, Shanghai 200092, Peoples R China; [Sun, Yayue; Lu, Zhibo; Xiao, Kaiyan; Zeng, Lingyun; Wang, Juan] Tongji Univ, Coll Environm Sci &amp; Engn, Shanghai 200092, Peoples R China; [Zhang, Yanyun] Beijing Normal Univ, Coll Life Sci, Beijing 100875, Peoples R China; [Gabrielsen, Geir Wing] Norwegian Polar Res Inst, Ecotoxicol Sect, Tromso, Norway</t>
  </si>
  <si>
    <t>Tongji University; Tongji University; Beijing Normal University; Norwegian Polar Institute</t>
  </si>
  <si>
    <t>Lu, ZB (corresponding author), Tongji Univ, State Key Lab Pollut Control &amp; Resources Reuse, Shanghai 200092, Peoples R China.</t>
  </si>
  <si>
    <t>15072303971@163.com; luzhibo@tongji.edu.cn</t>
  </si>
  <si>
    <t>Gabrielsen, Geir Wing/JDC-6415-2023; ZHIBO, LU/HHS-4083-2022</t>
  </si>
  <si>
    <t>Gabrielsen, Geir/0000-0003-4144-7258</t>
  </si>
  <si>
    <t>National Natural Science Foundation of China [41406213]</t>
  </si>
  <si>
    <t>This work was partially supported by the National Natural Science Foundation of China (41406213)</t>
  </si>
  <si>
    <t>2352-1864</t>
  </si>
  <si>
    <t>ENVIRON TECHNOL INNO</t>
  </si>
  <si>
    <t>Environ. Technol. Innov.</t>
  </si>
  <si>
    <t>10.1016/j.eti.2022.102479</t>
  </si>
  <si>
    <t>Biotechnology &amp; Applied Microbiology; Engineering, Environmental; Environmental Sciences</t>
  </si>
  <si>
    <t>Biotechnology &amp; Applied Microbiology; Engineering; Environmental Sciences &amp; Ecology</t>
  </si>
  <si>
    <t>3I7EY</t>
  </si>
  <si>
    <t>WOS:000832876300001</t>
  </si>
  <si>
    <t>Martínez, M; Brearley, AJ</t>
  </si>
  <si>
    <t>Martinez, Marina; Brearley, Adrian J.</t>
  </si>
  <si>
    <t>Smooth rims in Queen Alexandra Range (QUE) 99177: Fluid-chondrule interactions and clues on the geochemical conditions of the primordial fluid that altered CR carbonaceous chondrites</t>
  </si>
  <si>
    <t>CR chondrites; Aqueous alteration; Early solar system; Transmission electron microscopy; Cosmochemistry</t>
  </si>
  <si>
    <t>FINE-GRAINED RIMS; BIOGENIC SILICA DISSOLUTION; AQUEOUS ALTERATION; QUARTZ DISSOLUTION; METEORITICAL BULLETIN; ELECTROLYTE-SOLUTIONS; TEM OBSERVATIONS; SOUTHERN-OCEAN; PH-DEPENDENCE; KINETICS</t>
  </si>
  <si>
    <t>Queen Alexandra Range (QUE) 99177 is one of the least altered CR carbonaceous chondrite known, with mineralogical and isotopic characteristics that indicate a high level of pristinity. In this study, we have examined the so-called smooth rims that surround many type I chondrules in QUE 99177, using SEM, EPMA, and FIB-TEM techniques. We have characterized their constituent phases to unravel the precursor material(s) of smooth rims, assess their formation mechanisms, and constrain the conditions of the altering fluid. Smooth rims are the most common type of rims around type I chondrules and exclusively occur around chondrules with Silica-rich Igneous Rims (SIRs). Smooth rims consist of an Fe-rich, hydrous silicate material that is Si- and Fe-rich, with minor Mg, Al, Ca, and Mn, and gives low analytical totals measured by EPMA. TEM observations reveal that the Fe-rich silicate phase is an amorphous gel that contains unaltered crystalline phases and igneous glass. Crystalline phases consist of igneous, unaltered, zoned pyroxenes with compositions consistent with pyroxenes in SIRs, as well as albite and chromite. The amorphous gel preserves previous crystal outlines with morphologies consistent with silica (cristobalite) grains in SIRs and has a composition identical to pseudomorphic silica replacements in SIRs. Based on these observations, we conclude that smooth rims derive from low-temperature aqueous alteration of silica in SIRs by an Fe-rich fluid. We suggest that the Fe was derived by leaching of amorphous silicates in the matrix, which reacted rapidly with melted water ice, although alteration of Fe,Ni metal blebs in SIRs could potentially be an additional source of Fe. Silica underwent dissolution and replacement whereas feldspar and glass remained unaltered because (1) the fluid was slightly alkaline, (2) cristobalite has a reaction rate much higher than quartz and feldspar, and (3) the alteration was very limited and fast, indicating that it was due solely to melting of accreted water ice and there was no introduction of additional fluid from external sources. (c) 2022 Elsevier Ltd. All rights reserved.</t>
  </si>
  <si>
    <t>[Martinez, Marina; Brearley, Adrian J.] 1 Univ New Mexico, Dept Earth &amp; Planetary Sci, MSC03-2040, Albuquerque, NM 87131 USA</t>
  </si>
  <si>
    <t>University of New Mexico</t>
  </si>
  <si>
    <t>Martínez, M (corresponding author), 1 Univ New Mexico, Dept Earth &amp; Planetary Sci, MSC03-2040, Albuquerque, NM 87131 USA.</t>
  </si>
  <si>
    <t>mmartinezjimenez@unm.edu</t>
  </si>
  <si>
    <t>Martínez Filgueira, Marina/GZG-8145-2022</t>
  </si>
  <si>
    <t>Martinez Jimenez, Marina/0000-0002-2661-2641</t>
  </si>
  <si>
    <t>NSF; NASA; state of New Mexico; NASA Cosmochemistry Grant [NNX15AD28G]</t>
  </si>
  <si>
    <t>NSF(National Science Foundation (NSF)); NASA(National Aeronautics &amp; Space Administration (NASA)); state of New Mexico; NASA Cosmochemistry Grant</t>
  </si>
  <si>
    <t>We would like to acknowledge Mike Spilde from the Electron Microbeam Analyses Facility, Institute of Meteoritics, University of New Mexico, for his excellent assistance with the electron microprobe analyses. US Antarctic meteorite samples were recovered by the Antarctic Search for Meteorites (ANSMET) program, which has been funded by NSF and NASA, and characterized and curated by the Department of Mineral Sciences of the Smithsonian Institution and Astromaterials Curation Office at NASA Johnson Space Center. Electron Microscopy and Electron Microprobe Analysis were performed in the Electron Microbeam Analysis Facility at the University of New Mexico, a facility that is funded by the National Science Foundation, NASA and the state of New Mexico. This work was supported and funded by NASA Cosmochemistry Grant NNX15AD28G to A. J. Brearley.</t>
  </si>
  <si>
    <t>10.1016/j.gca.2022.03.019</t>
  </si>
  <si>
    <t>WOS:000822547100003</t>
  </si>
  <si>
    <t>Revell, LE; Robertson, F; Douglas, H; Morgenstern, O; Frame, D</t>
  </si>
  <si>
    <t>Revell, L. E.; Robertson, F.; Douglas, H.; Morgenstern, O.; Frame, D.</t>
  </si>
  <si>
    <t>Influence of Ozone Forcing on 21st Century Southern Hemisphere Surface Westerlies in CMIP6 Models</t>
  </si>
  <si>
    <t>stratospheric ozone; CMIP6; westerly jet; Southern Hemisphere climate</t>
  </si>
  <si>
    <t>GREENHOUSE-GAS CONCENTRATIONS; STRATOSPHERIC OZONE; CHEMISTRY; OCEAN; SENSITIVITY; EXTENSIONS; TRENDS</t>
  </si>
  <si>
    <t>The tropospheric westerly jet is a key feature of Southern Hemisphere climate. In recent decades the jet strengthened in austral summer (December-February [DJF]) and moved poleward owing to the Antarctic ozone hole. Future jet trends will be influenced by recovery of the Antarctic ozone hole and greenhouse gas (GHG) forcing. Here, we examine 21st century projections of ozone, temperature and winds in the sixth Coupled Model Intercomparison Project models with (CHEM) and without (NOCHEM) interactive chemistry. NOCHEM models use an ozone data set that was produced with GHG forcings inconsistent with those used by CHEM models, leading to less ozone recovery in the Antarctic springtime lower stratosphere. This propagates to different stratospheric temperature projections and DJF westerly winds: NOCHEM models project a 78 +/- 52% stronger increase in DJF westerly wind speeds than CHEM models under the high GHG emissions scenario SSP585. Our results show the importance of simulating stratospheric ozone accurately for Southern Hemisphere climate change projections.</t>
  </si>
  <si>
    <t>[Revell, L. E.; Robertson, F.; Frame, D.] Univ Canterbury, Sch Phys &amp; Chem Sci, Christchurch, New Zealand; [Douglas, H.; Frame, D.] Victoria Univ Wellington, New Zealand Climate Change Res Inst, Wellington, New Zealand; [Morgenstern, O.] Natl Inst Water &amp; Atmospher Res NIWA, Wellington, New Zealand</t>
  </si>
  <si>
    <t>University of Canterbury; Victoria University Wellington; National Institute of Water &amp; Atmospheric Research (NIWA) - New Zealand</t>
  </si>
  <si>
    <t>Revell, LE (corresponding author), Univ Canterbury, Sch Phys &amp; Chem Sci, Christchurch, New Zealand.</t>
  </si>
  <si>
    <t>laura.revell@canterbury.ac.nz</t>
  </si>
  <si>
    <t>; Frame, Dave/R-6169-2016</t>
  </si>
  <si>
    <t>Douglas, Hunter/0000-0002-5411-7656; Frame, Dave/0000-0002-0949-3994; Revell, Laura/0000-0002-8974-7703; Morgenstern, Olaf/0000-0002-9967-9740</t>
  </si>
  <si>
    <t>Ministry of Business, Innovation &amp; Employment Endeavor Fund [RTVU1906]; New Zealand Ministry of Business, Innovation &amp; Employment (MBIE) [RTVU1906] Funding Source: New Zealand Ministry of Business, Innovation &amp; Employment (MBIE)</t>
  </si>
  <si>
    <t>Ministry of Business, Innovation &amp; Employment Endeavor Fund(New Zealand Ministry of Business, Innovation and Employment (MBIE)); New Zealand Ministry of Business, Innovation &amp; Employment (MBIE)(New Zealand Ministry of Business, Innovation and Employment (MBIE))</t>
  </si>
  <si>
    <t>This research was supported by the Ministry of Business, Innovation &amp; Employment Endeavor Fund (Contract RTVU1906). The authors acknowledge the World Climate Research Programme, which, through its Working Group on Coupled Modeling, coordinated and promoted the sixth Coupled Model Intercomparison Project (CMIP6). We thank the climate modeling groups for producing and making available their model output, the Earth System Grid Federation (ESGF) for archiving the data and providing access, and the multiple funding agencies who support CMIP6 and ESGF. Open access publishing facilitated by University of Canterbury, as part of the Wiley - University of Canterbury agreement via the Council of Australian University Librarians.</t>
  </si>
  <si>
    <t>MAR 28</t>
  </si>
  <si>
    <t>e2022GL098252</t>
  </si>
  <si>
    <t>10.1029/2022GL098252</t>
  </si>
  <si>
    <t>0F8MF</t>
  </si>
  <si>
    <t>WOS:000777608200042</t>
  </si>
  <si>
    <t>Wang, YX; Kajtar, JB; Alexander, LV; Pilo, GS; Holbrook, NJ</t>
  </si>
  <si>
    <t>Wang, Yuxin; Kajtar, Jules B.; Alexander, Lisa, V; Pilo, Gabriela S.; Holbrook, Neil J.</t>
  </si>
  <si>
    <t>Understanding the Changing Nature of Marine Cold-Spells</t>
  </si>
  <si>
    <t>SEA-SURFACE TEMPERATURE; HEATWAVES; IMPACT; CYCLE</t>
  </si>
  <si>
    <t>Marine cold-spell (MCS) metrics-such as frequency and intensity-are decreasing globally, while marine heatwave (MHW) metrics are increasing due to sea surface temperature (SST) warming. However, the concomitant changes in MHW and MCS metrics, and whether SST warming can similarly explain the decreasing MCS metrics remain unclear. Here, we provide a comparative global assessment of these changes based on satellite SST observations over 1982-2020. Across the globe, we find distinct differences in mean MHW and MCS metrics. Furthermore, decreasing trends in MCS metrics are not necessarily aligned with increasing trends in MHW metrics. While differences in intensity trends are mainly explained by SST variance trends, differences in trends of annual days are less clear. Overall, decreasing MCS days and intensities are found to be largely driven by warming SST, rather than SST variance changes. Therefore, it is expected that MCS days and intensity will continue diminishing under global warming. Plain Language Summary Persistent ocean temperature extremes-known as marine heatwaves (MHWs) and marine cold-spells (MCSs) -can cause severe impacts on marine ecosystems and fisheries. MHWs have been shown to be increasing in frequency and intensity over the last decades, which is largely explained by the mean warming of sea surface temperature (SST). Although MCSs have decreased in frequency and have weakened globally, we examine whether long-term SST warming can similarly explain the changes in MCSs. To address this, we characterize MCSs and MHWs using 39 years (1982-2020) of SST satellite observations. We find that the changes in annual MHW days and MHW intensity are not entirely commensurate with changes in annual MCS days and MCS intensity. Our findings imply that there is a non-uniform shift in temperature extremes, and therefore in SST variations. Statistical tests on the decrease in annual MCS days and MCS intensity, however, suggest that these can be largely explained by mean warming.</t>
  </si>
  <si>
    <t>[Wang, Yuxin; Kajtar, Jules B.; Pilo, Gabriela S.; Holbrook, Neil J.] Univ Tasmania, Inst Marine &amp; Antarctic Studies, Hobart, Tas, Australia; [Wang, Yuxin; Kajtar, Jules B.; Holbrook, Neil J.] Univ Tasmania, Australian Res Council, Ctr Excellence Climate Extremes, Hobart, Tas, Australia; [Alexander, Lisa, V] Univ New South Wales, Australian Res Council, Ctr Excellence Climate Extremes, Sydney, NSW, Australia; [Alexander, Lisa, V] Univ New South Wales, Climate Change Res Ctr, Sydney, NSW, Australia; [Pilo, Gabriela S.] CSIRO, Hobart, Tas, Australia</t>
  </si>
  <si>
    <t>University of Tasmania; University of Tasmania; University of New South Wales Sydney; University of New South Wales Sydney; Commonwealth Scientific &amp; Industrial Research Organisation (CSIRO)</t>
  </si>
  <si>
    <t>Wang, YX (corresponding author), Univ Tasmania, Inst Marine &amp; Antarctic Studies, Hobart, Tas, Australia.;Wang, YX (corresponding author), Univ Tasmania, Australian Res Council, Ctr Excellence Climate Extremes, Hobart, Tas, Australia.</t>
  </si>
  <si>
    <t>yuxin.wang@utas.edu.au</t>
  </si>
  <si>
    <t>Kajtar, Jules B./A-5897-2016; Holbrook, Neil/M-7544-2013; Alexander, Lisa/A-8477-2011</t>
  </si>
  <si>
    <t>Kajtar, Jules B./0000-0003-0114-6610; Wang, Yuxin/0000-0001-7205-1921; Holbrook, Neil/0000-0002-3523-6254; Alexander, Lisa/0000-0002-5635-2457; Pilo, Gabriela/0000-0002-8590-8645</t>
  </si>
  <si>
    <t>China Scholarship Council (CSC) from the Ministry of Education of the People's Republic of China [202006330005]; University of Tasmania tuition fee scholarship; Australian Research Council (ARC) Centre of Excellence for Climate Extremes top-up scholarship; ARC Centre of Excellence for Climate Extremes [CE170100023]; National Environmental Science Programme (NESP) Earth Systems and Climate Change Hub; NESP Climate Systems Hub</t>
  </si>
  <si>
    <t>China Scholarship Council (CSC) from the Ministry of Education of the People's Republic of China(China Scholarship Council); University of Tasmania tuition fee scholarship; Australian Research Council (ARC) Centre of Excellence for Climate Extremes top-up scholarship(Australian Research Council); ARC Centre of Excellence for Climate Extremes; National Environmental Science Programme (NESP) Earth Systems and Climate Change Hub; NESP Climate Systems Hub</t>
  </si>
  <si>
    <t>The authors thank NOAA for making their data publicly available. Y. Wang gratefully acknowledges a PhD scholarship provided by China Scholarship Council (CSC) Grant (202006330005) from the Ministry of Education of the People's Republic of China, University of Tasmania tuition fee scholarship, and the Australian Research Council (ARC) Centre of Excellence for Climate Extremes top-up scholarship. N.J. Holbrook and J.B. Kajtar acknowledge support from the ARC Centre of Excellence for Climate Extremes (CE170100023), the National Environmental Science Programme (NESP) Earth Systems and Climate Change Hub, and the NESP Climate Systems Hub. L.V. Alexander is funded by the ARC Centre of Excellence for Climate Extremes (CE170100023). We acknowledge Eric Oliver for the use of his MHW python module. We also acknowledge the assistance of Paola Petrelli in the ARC Centre of Excellence for Climate Extremes for her computational support and assistance with data archiving. We would like to thank Robert Schlegel and one anonymous reviewer for their valuable reviews that helped significantly improve this manuscript. This research was undertaken with the assistance of resources from the National Computational Infrastructure (NCI) supported by the Australian Government. Open access publishing facilitated by University of Tasmania, as part of the Wiley -University of Tasmania agreement via the Council of Australian University Librarians.</t>
  </si>
  <si>
    <t>e2021GL097002</t>
  </si>
  <si>
    <t>10.1029/2021GL097002</t>
  </si>
  <si>
    <t>WOS:000777608200027</t>
  </si>
  <si>
    <t>Fonseca-González, I; Londoño-Mesa, MH; Delgado-Blas, VH</t>
  </si>
  <si>
    <t>Fonseca-Gonzalez, Idalyd; Londono-Mesa, Mario H.; Delgado-Blas, Victor H.</t>
  </si>
  <si>
    <t>Redescription of Microspio moorei (Gravier, 1911) (Annelida: Spionidae) with inclusion of a taxonomic key for all the species of the genus</t>
  </si>
  <si>
    <t>ZOOTAXA</t>
  </si>
  <si>
    <t>Taxonomy; Antarctic Peninsula; morphological variation; Programa Antartico Colombiano</t>
  </si>
  <si>
    <t>KING-GEORGE ISLAND; ADMIRALTY BAY; MARTEL-INLET; POLYCHAETA; SPIO; ZONE</t>
  </si>
  <si>
    <t>Microspio moorei (Gravier, 1911), described from Admiralty Bay, King George Island (Antarctic Peninsula), has not been recorded since the original description, based on a single specimen, the holotype. Thus, subsequent comments and observations about the species have been made based only on the original description and with no information on morphological variations of the species. A re-description of this species is presented based on new material collected from a bay near the type locality, with detailed descriptions and illustrations of morphological characters. A key to all species of Microspio Mesnil, 1896 is provided. This research was part of the Colombian Antarctic Program, in collaboration with the Chilean Antarctic Institute (INACH).</t>
  </si>
  <si>
    <t>[Fonseca-Gonzalez, Idalyd; Londono-Mesa, Mario H.] Univ Antioquia, Inst Biol, Grp LimnoBasE &amp; Biotamar, Calle 67 53-108, Medellin 5001000, Antioquia, Colombia; [Delgado-Blas, Victor H.] Univ Quintana Roo, Div Ciencias &amp; Ingn, Chetmal 77010, Quintana Roo, Mexico</t>
  </si>
  <si>
    <t>Universidad de Antioquia; Universidad de Quintana Roo</t>
  </si>
  <si>
    <t>Delgado-Blas, VH (corresponding author), Univ Quintana Roo, Div Ciencias &amp; Ingn, Chetmal 77010, Quintana Roo, Mexico.</t>
  </si>
  <si>
    <t>idalyd.fonseca@udea.edu.co; hernan.londono@udea.edu.co; blas@uqroo.edu.mx</t>
  </si>
  <si>
    <t>Delgado Blas, Victor Hugo/0000-0003-0393-5218; LONDONO-MESA, MARIO H./0000-0001-5089-6472; Fonseca-Gonzalez, Idalyd/0000-0003-2999-0047</t>
  </si>
  <si>
    <t>Comite para el Desarrollo de la Investigacion (CODI), Universidad de Antioquia [2017-16325]</t>
  </si>
  <si>
    <t>Comite para el Desarrollo de la Investigacion (CODI), Universidad de Antioquia</t>
  </si>
  <si>
    <t>We thank the Colombian Antarctic Program for its management to the development of this research at the Antarctic continent. Financial support was provided by Comite para el Desarrollo de la Investigacion (CODI), Universidad de Antioquia (Project 2017-16325). We specially thanks to INACH and the staff of the Chilean Antarctic Station Profesor Julio Escudero. We are also grateful to Commander Felipe Hernandez Gallego, former Chief of Fildes Maritime Station, and Navy Commodore Marcelo Tarapow, of Argentine Antarctic Program. For helping with the pictures, we are very thankful to Humberto Bahena (ECOSUR). Many thanks also to Nancy J. Maciolek and one anonymous reviewer for critically revising this manuscript.</t>
  </si>
  <si>
    <t>250F Marua Road Mt Wellington, AUCKLAND, ST LUKES 1023, NEW ZEALAND</t>
  </si>
  <si>
    <t>1175-5326</t>
  </si>
  <si>
    <t>1175-5334</t>
  </si>
  <si>
    <t>Zootaxa</t>
  </si>
  <si>
    <t>10.11646/zootaxa.5120.3.2</t>
  </si>
  <si>
    <t>0H5WI</t>
  </si>
  <si>
    <t>WOS:000778803800002</t>
  </si>
  <si>
    <t>Zeyl, JN; Snelling, EP; Connan, M; Basille, M; Clay, TA; Joo, R; Patrick, SC; Phillips, RA; Pistorius, PA; Ryan, PG; Snyman, A; Clusella-Trullas, S</t>
  </si>
  <si>
    <t>Zeyl, Jeffrey N.; Snelling, Edward P.; Connan, Maelle; Basille, Mathieu; Clay, Thomas A.; Joo, Rocio; Patrick, Samantha C.; Phillips, Richard A.; Pistorius, Pierre A.; Ryan, Peter G.; Snyman, Albert; Clusella-Trullas, Susana</t>
  </si>
  <si>
    <t>Aquatic birds have middle ears adapted to amphibious lifestyles</t>
  </si>
  <si>
    <t>UNDERWATER HEARING; R PACKAGE; IN-AIR; PENGUINS; PATTERNS; ANATOMY; WHALES; SIZE</t>
  </si>
  <si>
    <t>Birds exhibit wide variation in their use of aquatic environments, on a spectrum from entirely terrestrial, through amphibious, to highly aquatic. Although there are limited empirical data on hearing sensitivity of birds underwater, mounting evidence indicates that diving birds detect and respond to sound underwater, suggesting that some modifications of the ear may assist foraging or other behaviors below the surface. In air, the tympanic middle ear acts as an impedance matcher that increases sound pressure and decreases sound vibration velocity between the outside air and the inner ear. Underwater, the impedance-matching task is reversed and the ear is exposed to high hydrostatic pressures. Using micro- and nano-CT (computerized tomography) scans of bird ears in 127 species across 26 taxonomic orders, we measured a suite of morphological traits of importance to aerial and aquatic hearing to test predictions relating to impedance-matching in birds with distinct aquatic lifestyles, while accounting for allometry and phylogeny. Birds that engage in underwater pursuit and deep diving showed the greatest differences in ear structure relative to terrestrial species. In these heavily modified ears, the size of the input areas of both the tympanic membrane and the columella footplate of the middle ear were reduced. Underwater pursuit and diving birds also typically had a shorter extrastapedius, a reduced cranial air volume and connectivity and several modifications in line with reversals of low-to-high impedance-matching. The results confirm adaptations of the middle ear to aquatic lifestyles in multiple independent bird lineages, likely facilitating hearing underwater and baroprotection, while potentially constraining the sensitivity of aerial hearing.</t>
  </si>
  <si>
    <t>[Zeyl, Jeffrey N.; Clusella-Trullas, Susana] Stellenbosch Univ, Dept Bot &amp; Zool, Stellenbosch, South Africa; [Snelling, Edward P.] Univ Pretoria, Fac Vet Sci, Dept Anat &amp; Physiol, Onderstepoort, South Africa; [Snelling, Edward P.] Univ Pretoria, Fac Vet Sci, Ctr Vet Wildlife Res, Onderstepoort, South Africa; [Connan, Maelle; Pistorius, Pierre A.] Nelson Mandela Univ, Inst Coastal &amp; Marine Res, Dept Zool, Marine Apex Predator Res Unit, Port Elizabeth, South Africa; [Basille, Mathieu; Joo, Rocio] Univ Florida, Ft Lauderdale Res &amp; Educ Ctr, Dept Wildlife Ecol &amp; Conservat, Davie, FL USA; [Clay, Thomas A.; Patrick, Samantha C.] Univ Liverpool, Sch Environm Sci, Liverpool, Merseyside, England; [Clay, Thomas A.] Univ Calif Santa Cruz, Inst Marine Sci, Santa Cruz, CA 95064 USA; [Phillips, Richard A.] British Antarctic Survey, Nat Environm Res Council, Cambridge, England; [Ryan, Peter G.] Univ Cape Town, DSI NRF Ctr Excellence, FitzPatrick Inst African Ornithol, Dept Biol Sci, Rondebosch, South Africa; [Snyman, Albert] Southern African Fdn Conservat Coastal Birds SANC, Cape Town, South Africa</t>
  </si>
  <si>
    <t>Stellenbosch University; University of Pretoria; University of Pretoria; Nelson Mandela University; State University System of Florida; University of Florida; University of Liverpool; University of California System; University of California Santa Cruz; UK Research &amp; Innovation (UKRI); Natural Environment Research Council (NERC); NERC British Antarctic Survey; University of Cape Town</t>
  </si>
  <si>
    <t>Zeyl, JN (corresponding author), Stellenbosch Univ, Dept Bot &amp; Zool, Stellenbosch, South Africa.</t>
  </si>
  <si>
    <t>jeffzeyl@gmail.com</t>
  </si>
  <si>
    <t>Connan, Maelle/A-8468-2008; Clay, Tommy/W-4867-2019; Basille, Mathieu/A-6133-2017</t>
  </si>
  <si>
    <t>Clay, Tommy/0000-0002-0644-6105; Basille, Mathieu/0000-0001-9366-7127; Connan, Maelle/0000-0002-1308-9118; Joo, Rocio/0000-0003-0319-4210; Zeyl, Jeffrey/0000-0002-4984-5501; Ryan, Peter/0000-0002-3356-2056</t>
  </si>
  <si>
    <t>Human Frontier Science Program Young Investigator Grant [RGY0072/2017]</t>
  </si>
  <si>
    <t>Human Frontier Science Program Young Investigator Grant(Human Frontier Science Program)</t>
  </si>
  <si>
    <t>We thank the many researchers, conservation agencies, and rehabilitation centers for assistance with providing bird heads and Jacques Scheepers for organizing collections (documented in Supplementary materials S2). Thanks to Ket Smithson for conducting CT scans at the University of Cambridge and Muofhe Tshibalanganda for assistance with scans at University of Stellenbosch. J.N.Z., S.C.P., S.C.T., T.A.C., R.J., and M.B. were funded by a Human Frontier Science Program Young Investigator Grant (SeabirdSound; RGY0072/2017).</t>
  </si>
  <si>
    <t>10.1038/s41598-022-09090-3</t>
  </si>
  <si>
    <t>0A8NR</t>
  </si>
  <si>
    <t>WOS:000774204500061</t>
  </si>
  <si>
    <t>Zhang, XH; Ren, XD; Chen, J; Zuo, X; Mei, DK; Liu, WK</t>
  </si>
  <si>
    <t>Zhang, Xiaohong; Ren, Xiaodong; Chen, Jun; Zuo, Xiang; Mei, Dengkui; Liu, Wanke</t>
  </si>
  <si>
    <t>Investigating GNSS PPP-RTK with external ionospheric constraints</t>
  </si>
  <si>
    <t>SATELLITE NAVIGATION</t>
  </si>
  <si>
    <t>GNSS; PPP-RTK; Ionospheric delay information; Ionospheric variance; Convergence time</t>
  </si>
  <si>
    <t>AMBIGUITY RESOLUTION; GPS; RECONSTRUCTION; TOMOGRAPHY; NETWORK; ALGORITHM; BEIDOU; GLONASS; JAPAN</t>
  </si>
  <si>
    <t>Real-Time Kinematic Precise Point Positioning (PPP-RTK) is inextricably linked to external ionospheric information. The PPP-RTK performances vary much with the accuracy of ionospheric information, which is derived from different network scales, given different prior variances, and obtained under different disturbed ionospheric conditions. This study investigates the relationships between the PPP-RTK performances, in terms of precision and convergence time, and the accuracy of external ionospheric information. The statistical results show that The Time to First Fix (TTFF) for the PPP-RTK constrained by Global Ionosphere Map (PPP-RTK-GIM) is about 8-10 min, improved by 20%-50% as compared with that for PPP Ambiguity Resolution (PPP-AR) whose TTFF is about 13-16 min. Additionally, the TTFF of PPP-RTK is 4.4 min, 5.2 min, and 6.8 min, respectively, when constrained by the external ionospheric information derived from different network scales, e.g. small-, medium-, and large-scale networks, respectively. To analyze the influences of the optimal prior variances of external ionospheric delay on the PPP-RTK results, the errors of 0.5 Total Electron Content Unit (TECU), 1 TECU, 3 TECU, and 5 TECU are added to the initial ionospheric delays, respectively. The corresponding convergence time of PPP-RTK is less than 1 min, about 3, 5, and 6 min, respectively. After adding the errors, the ionospheric information with a small variance leads to a long convergence time and that with a larger variance leads to the same convergence time as that of PPP-AR. Only when an optimal prior variance is determined for the ionospheric delay in PPP-RTK model, the convergence time for PPP-RTK can be shorten greatly. The impact of Travelling Ionospheric Disturbance (TID) on the PPP-RTK performances is further studied with simulation. It is found that the TIDs increase the errors of ionospheric corrections, thus affecting the convergence time, positioning accuracy, and reliability of PPP-RTK.</t>
  </si>
  <si>
    <t>[Zhang, Xiaohong] Wuhan Univ, Chinese Antarctic Ctr Surveying &amp; Mapping, Wuhan 430079, Peoples R China; [Zhang, Xiaohong; Ren, Xiaodong; Mei, Dengkui; Liu, Wanke] Wuhan Univ, Sch Geodesy &amp; Geomat, Wuhan 430079, Peoples R China; [Chen, Jun] Minjiang Univ, Dept Surveying &amp; Mapping Engn, Fuzhou 350118, Peoples R China; [Zuo, Xiang] GeoforschungsZentrum GFZ, Dept Geodesy, D-14473 Potsdam, Germany</t>
  </si>
  <si>
    <t>Wuhan University; Wuhan University; Minjiang University; Helmholtz Association; Helmholtz-Center Potsdam GFZ German Research Center for Geosciences</t>
  </si>
  <si>
    <t>Zhang, XH (corresponding author), Wuhan Univ, Chinese Antarctic Ctr Surveying &amp; Mapping, Wuhan 430079, Peoples R China.;Zhang, XH (corresponding author), Wuhan Univ, Sch Geodesy &amp; Geomat, Wuhan 430079, Peoples R China.</t>
  </si>
  <si>
    <t>xhzhang@sgg.whu.edu.cn</t>
  </si>
  <si>
    <t>REN, XIAODONG/HJP-2991-2023</t>
  </si>
  <si>
    <t>REN, XIAODONG/0000-0002-3213-0067</t>
  </si>
  <si>
    <t>National Science Fund for Distinguished Young Scholars [41825009]; Changjiang Scholars Program; National Natural Science Foundation of China [42174031, 41904026]; Technology Innovation Special Project (Major program) of Hubei Province of China [2019AAA043]; initial scientific research fund of talents in Minjiang University [MJY21039]</t>
  </si>
  <si>
    <t>National Science Fund for Distinguished Young Scholars(National Natural Science Foundation of China (NSFC)National Science Fund for Distinguished Young Scholars); Changjiang Scholars Program(Program for Changjiang Scholars &amp; Innovative Research Team in University (PCSIRT)); National Natural Science Foundation of China(National Natural Science Foundation of China (NSFC)); Technology Innovation Special Project (Major program) of Hubei Province of China; initial scientific research fund of talents in Minjiang University</t>
  </si>
  <si>
    <t>This work was funded by the National Science Fund for Distinguished Young Scholars (no. 41825009), Changjiang Scholars Program, the National Natural Science Foundation of China (No.42174031, 41904026), the Technology Innovation Special Project (Major program) of Hubei Province of China (No. 2019AAA043), and initial scientific research fund of talents in Minjiang University (No. MJY21039).</t>
  </si>
  <si>
    <t>2662-9291</t>
  </si>
  <si>
    <t>2662-1363</t>
  </si>
  <si>
    <t>SATELLITE NAVIG</t>
  </si>
  <si>
    <t>Satell. Navig.</t>
  </si>
  <si>
    <t>10.1186/s43020-022-00067-1</t>
  </si>
  <si>
    <t>Engineering, Aerospace; Remote Sensing; Telecommunications</t>
  </si>
  <si>
    <t>Engineering; Remote Sensing; Telecommunications</t>
  </si>
  <si>
    <t>0F7TN</t>
  </si>
  <si>
    <t>WOS:000777557800001</t>
  </si>
  <si>
    <t>Roach, LA; Eisenman, I; Wagner, TJW; Blanchard-Wrigglesworth, E; Bitz, CM</t>
  </si>
  <si>
    <t>Roach, L. A.; Eisenman, I; Wagner, T. J. W.; Blanchard-Wrigglesworth, E.; Bitz, C. M.</t>
  </si>
  <si>
    <t>Asymmetry in the seasonal cycle of Antarctic sea ice driven by insolation</t>
  </si>
  <si>
    <t>SOUTHERN-OCEAN; CLIMATE; EXTENT</t>
  </si>
  <si>
    <t>Solar radiation drives the asymmetry in the seasonal cycle of Antarctic sea ice, according to climate model simulations. The mean seasonal cycle of Antarctic sea-ice extent is asymmetric, with the period of ice retreat being approximately two months shorter than the period of ice advance. This feature is largely consistent in observations from year to year and across different satellite products. The asymmetry is also broadly reproduced by comprehensive climate models across generations from CMIP3 to CMIP6, with limited impacts from internal variability. Using a range of idealized climate models of varying complexity, we show that the seasonal cycle in top-of-atmosphere incident solar radiation drives the asymmetry. Because insolation in southern high latitudes departs from a sinusoid by having a narrow peak of intense brightness in summer and a long period of low light in winter, there is rapid summer ice retreat and gradual winter ice advance. This simple physical explanation is markedly different from those proposed in previous studies.</t>
  </si>
  <si>
    <t>[Roach, L. A.; Blanchard-Wrigglesworth, E.; Bitz, C. M.] Univ Washington, Atmospher Sci, Seattle, WA 98195 USA; [Eisenman, I] Univ Calif San Diego, Scripps Inst Oceanog, San Diego, CA 92103 USA; [Wagner, T. J. W.] Univ Wisconsin, Atmospher &amp; Ocean Sci, Madison, WI USA; [Wagner, T. J. W.] Univ N Carolina, Phys &amp; Phys Oceanog, Wilmington, NC USA; [Roach, L. A.] NASA, Goddard Inst Space Studies, New York, NY 10025 USA; [Roach, L. A.] Columbia Univ, Ctr Climate Syst Res, New York, NY USA</t>
  </si>
  <si>
    <t>University of Washington; University of Washington Seattle; University of California System; University of California San Diego; Scripps Institution of Oceanography; University of Wisconsin System; University of Wisconsin Madison; University of North Carolina; University of North Carolina Wilmington; National Aeronautics &amp; Space Administration (NASA); NASA Goddard Space Flight Center; Goddard Institute for Space Studies; Columbia University</t>
  </si>
  <si>
    <t>Eisenman, I (corresponding author), Univ Calif San Diego, Scripps Inst Oceanog, San Diego, CA 92103 USA.</t>
  </si>
  <si>
    <t>eisenman@ucsd.edu</t>
  </si>
  <si>
    <t>Roach, Lettie/HKV-2511-2023; Bitz, Cecilia M/S-8423-2016; Eisenman, Ian/B-9329-2009</t>
  </si>
  <si>
    <t>Roach, Lettie/0000-0003-4189-3928; Bitz, Cecilia/0000-0002-9477-7499; Eisenman, Ian/0000-0003-0190-2869; Wagner, Till/0000-0003-4572-1285</t>
  </si>
  <si>
    <t>Scientific Committee on Antarctic Research (SCAR) Fellowship Program; National Oceanic and Atmospheric Administration (NOAA) Climate and Global Change Postdoctoral Fellowship Program [NA18NWS4620043B]; US National Science Foundation [OPP-1643445, OCE-2048590, OPP-1643431]; NOAA [NA18OAR4310274]</t>
  </si>
  <si>
    <t>Scientific Committee on Antarctic Research (SCAR) Fellowship Program; National Oceanic and Atmospheric Administration (NOAA) Climate and Global Change Postdoctoral Fellowship Program; US National Science Foundation(National Science Foundation (NSF)); NOAA(National Oceanic Atmospheric Admin (NOAA) - USA)</t>
  </si>
  <si>
    <t>We thank C. Eayrs for helpful discussions. This work was supported by the Scientific Committee on Antarctic Research (SCAR) Fellowship Program; the National Oceanic and Atmospheric Administration (NOAA) Climate and Global Change Postdoctoral Fellowship Program, which is administered by UCAR's Cooperative Programs for the Advancement of Earth System Science (CPAESS) under award NA18NWS4620043B; US National Science Foundation grants OPP-1643445, OCE-2048590 and OPP-1643431; and NOAA grant NA18OAR4310274.</t>
  </si>
  <si>
    <t>10.1038/s41561-022-00913-6</t>
  </si>
  <si>
    <t>WOS:000773962000001</t>
  </si>
  <si>
    <t>Wernecke, A; Edwards, TL; Holden, PB; Edwards, NR; Cornford, SL</t>
  </si>
  <si>
    <t>Wernecke, Andreas; Edwards, Tamsin L.; Holden, Philip B.; Edwards, Neil R.; Cornford, Stephen L.</t>
  </si>
  <si>
    <t>Quantifying the Impact of Bedrock Topography Uncertainty in Pine Island Glacier Projections for This Century</t>
  </si>
  <si>
    <t>Pine Island Glacier; bedrock topography; uncertainty quantification; BISICLES; ice sheet modeling; sea level rise predictions</t>
  </si>
  <si>
    <t>ANTARCTIC ICE-SHEET; AMUNDSEN SEA EMBAYMENT; WEST ANTARCTICA; MODEL; SENSITIVITY; RETREAT; FRICTION; THWAITES; SURFACE; RATES</t>
  </si>
  <si>
    <t>The predicted Antarctic contribution to global-mean sea-level rise is one of the most uncertain among all major sources. Partly this is because of instability mechanisms of the ice flow over deep basins. Errors in bedrock topography can substantially impact the projected resilience of glaciers against such instabilities. Here we analyze the Pine Island Glacier topography to derive a statistical model representation. Our model allows for inhomogeneous and spatially dependent uncertainties and avoids unnecessary smoothing from spatial averaging or interpolation. A set of topography realizations is generated representing our best estimate of the topographic uncertainty in ice sheet model simulations. The bedrock uncertainty alone creates a 5%-25% uncertainty in the predicted sea level rise contribution at year 2100, depending on friction law and climate forcing. Pine Island Glacier simulations on this new set are consistent with simulations on the BedMachine reference topography but diverge from Bedmap2 simulations.</t>
  </si>
  <si>
    <t>[Wernecke, Andreas; Holden, Philip B.; Edwards, Neil R.] Open Univ, Sch Environm Earth &amp; Ecosyst Sci, Milton Keynes, Bucks, England; [Wernecke, Andreas] Max Planck Inst Meteorol, Hamburg, Germany; [Wernecke, Andreas] Univ Hamburg, Hamburg, Germany; [Edwards, Tamsin L.] Kings Coll London, London, England; [Cornford, Stephen L.] Swansea Univ, Fac Sci &amp; Engn, Swansea, W Glam, Wales</t>
  </si>
  <si>
    <t>Open University - UK; Max Planck Society; University of Hamburg; University of London; King's College London; Swansea University</t>
  </si>
  <si>
    <t>Wernecke, A (corresponding author), Open Univ, Sch Environm Earth &amp; Ecosyst Sci, Milton Keynes, Bucks, England.;Wernecke, A (corresponding author), Max Planck Inst Meteorol, Hamburg, Germany.;Wernecke, A (corresponding author), Univ Hamburg, Hamburg, Germany.</t>
  </si>
  <si>
    <t>andreas.wernecke@mpimet.mpg.de</t>
  </si>
  <si>
    <t>Holden, Philip/K-6152-2013</t>
  </si>
  <si>
    <t>Holden, Philip/0000-0002-2369-0062; Wernecke, Andreas/0000-0001-9057-3272; Edwards, Tamsin/0000-0002-4760-4704; Cornford, Stephen/0000-0003-1844-274X</t>
  </si>
  <si>
    <t>Open University</t>
  </si>
  <si>
    <t>We would like to thank Jonty Rougier for inspirational discussions on this project. A. Wernecke was supported by The Open University through a scholarship at the time of conducting this research. We acknowledge the support of the University of Bristol Advanced Computing Research Centre in providing computational resources for the BISICLES simulations and the authors of Holt, Blankenship, Corr et al. (2006) to provide us with an ungridded version of the data.</t>
  </si>
  <si>
    <t>e2021GL096589</t>
  </si>
  <si>
    <t>10.1029/2021GL096589</t>
  </si>
  <si>
    <t>0C9DV</t>
  </si>
  <si>
    <t>WOS:000775606300001</t>
  </si>
  <si>
    <t>Schuettler, E; Saavedra-Aracena, L; Jimenez, JE</t>
  </si>
  <si>
    <t>Schuettler, Elke; Saavedra-Aracena, Lorena; Jimenez, Jaime E.</t>
  </si>
  <si>
    <t>Spatial and temporal plasticity in free-ranging dogs in sub-Antarctic Chile</t>
  </si>
  <si>
    <t>APPLIED ANIMAL BEHAVIOUR SCIENCE</t>
  </si>
  <si>
    <t>Activity; Canis familiaris; Habitat use; Home range; Movement ecology; Subsidized predator</t>
  </si>
  <si>
    <t>ROAMING DOMESTIC DOGS; HOME-RANGE; PUERTO NATALES; MOVEMENT; BEHAVIOR; WILDLIFE; POPULATIONS; IMPACTS; ECOLOGY; SYSTEM</t>
  </si>
  <si>
    <t>Free-ranging owned dogs are a conservation concern worldwide, but knowledge on their movement ecology is only recently increasing. To examine unsupervised dog movements into wilderness, we attached Global Positioning System devices to 33 village and four rural dogs on a sub-Antarctic island in Chile during the four seasons of a year (n = 86115 locations). This corresponded to a quarter of the local free-ranging dog population based on a photographic mark-recapture survey. The longest maximum distance to the owner's home was 20.4 km. The median home range size ranged between 15.8 (spring) and 24.4 ha (summer), but with great individual variation (1.6 ha 148.8 km(2)). Nine individuals had home ranges &gt; 100 ha in at least one seasonal monitoring; seven individuals performed excursions spending 1-6 nights in pristine nature, and two individuals accompanied tourists on trekking trips lasting 3-6 days. Remarkably, village dogs were quite active at night (40.7% of the locations). Top-ranked habitats in the compositional analysis of habitat use of village dogs were forest and infrastructure. However, coasts were also important at second order and peatbog at third order habitat selection. Our study revealed a high temporal and spatial plasticity of dog movement in sub-Antarctic ecosystems, likely interacting with wildlife. We conclude that future research should address predictors of problematic animals, which have been treated as outliers  in many studies. In Chile, the control of legislation and education beyond the mere owner should be improved wherever dogs occur near sensitive wilderness areas.</t>
  </si>
  <si>
    <t>elke.schuttler@umag.cl</t>
  </si>
  <si>
    <t>Schuttler, Elke/0000-0001-9143-6237</t>
  </si>
  <si>
    <t>Chilean Na-tional Commission for Scientific and Technological Research (PAI-CONICYT) [79140024, ANID/BASAL FB210018]</t>
  </si>
  <si>
    <t>Chilean Na-tional Commission for Scientific and Technological Research (PAI-CONICYT)</t>
  </si>
  <si>
    <t>This study would not have been possible without the kind partici-pation of dog owners and their dogs. We would also like to thank those people who found and returned lost GPS devices. Veterinary Silvia Llanos supported the recruitment and health check of the dogs, and Mauricio Bahamonde gave us time in his radio program for the dissemination of the project to the local community. The Chilean Na-tional Commission for Scientific and Technological Research (PAI-CONICYT, Call 2014, No. 79140024, ANID/BASAL FB210018) funded our research.</t>
  </si>
  <si>
    <t>0168-1591</t>
  </si>
  <si>
    <t>1872-9045</t>
  </si>
  <si>
    <t>APPL ANIM BEHAV SCI</t>
  </si>
  <si>
    <t>Appl. Anim. Behav. Sci.</t>
  </si>
  <si>
    <t>10.1016/j.applanim.2022.105610</t>
  </si>
  <si>
    <t>Agriculture, Dairy &amp; Animal Science; Behavioral Sciences; Veterinary Sciences</t>
  </si>
  <si>
    <t>Agriculture; Behavioral Sciences; Veterinary Sciences</t>
  </si>
  <si>
    <t>1V9HS</t>
  </si>
  <si>
    <t>WOS:000806395500005</t>
  </si>
  <si>
    <t>Rawlence, NJ; Salis, AT; Spencer, HG; Waters, JM; Scarsbrook, L; Phillips, RA; Calderón, L; Cook, TR; Bost, CA; Dutoit, L; King, TM; Masello, JF; Nupen, LJ; Quillfeldt, P; Ratcliffe, N; Ryan, PG; Till, CE; Kennedy, M</t>
  </si>
  <si>
    <t>Rawlence, Nicolas J.; Salis, Alexander T.; Spencer, Hamish G.; Waters, Jonathan M.; Scarsbrook, Lachie; Phillips, Richard A.; Calderon, Luciano; Cook, Timothee R.; Bost, Charles-Andre; Dutoit, Ludovic; King, Tania M.; Masello, Juan F.; Nupen, Lisa J.; Quillfeldt, Petra; Ratcliffe, Norman; Ryan, Peter G.; Till, Charlotte E.; Kennedy, Martyn</t>
  </si>
  <si>
    <t>Rapid radiation of Southern Ocean shags in response to receding sea ice</t>
  </si>
  <si>
    <t>JOURNAL OF BIOGEOGRAPHY</t>
  </si>
  <si>
    <t>biogeography; climate cycles; cormorant; Leucocarbo; Southern Ocean; speciation; sub-Antarctic</t>
  </si>
  <si>
    <t>LAST GLACIAL MAXIMUM; FOUNDER-EVENT SPECIATION; RANGE SHIFTS; DISPERSAL; ISLAND; MODEL; POPULATION; CORMORANTS; AVES; PHALACROCORACIDAE</t>
  </si>
  <si>
    <t>Aim Understanding how natural populations respond to climatic shifts is a fundamental goal of biological research in a fast-changing world. The Southern Ocean represents a fascinating system for assessing large-scale climate-driven biological change, as it contains extremely isolated island groups within a predominantly westerly, circumpolar wind and current system. Blue-eyed shags represent a paradoxical seabird radiation-a circumpolar distribution implies strong dispersal capacity yet their species-rich nature suggests local adaptation and isolation. Here we attempt to resolve this paradox in light of the history of repeated cycles of climate change in the Southern Ocean. Location Southern Ocean. Taxa 16 species and subspecies of blue-eyed shags (Phalacrocoracidae; Leucocarbo spp.). Methods We use mitochondrial and nuclear sequence data from individuals across the geographical range of the genus to conduct the first comprehensive, time-calibrated phylogenetic analyses and ancestral-range biogeographical reconstructions of the blue-eyed shags. Results The origins of many island-endemic lineages are remarkably recent, consistent with a recent high-latitude circumpolar radiation in the Pliocene or Early Pleistocene. This recent sub-Antarctic expansion contrasts with significantly deeper lineages detected in South America and, to a lesser extent, New Zealand. These regions, particularly South America, acted as glacial refugia and sources for multiple waves of post-glacial dispersal. Main conclusions The blue-eyed shag paradox is resolved, with at least two waves of dispersal, linked to interglacial cycles, explaining the current distribution and diversity. Descendants of a Pliocene or Early Pleistocene wave of dispersal out of South America survive in the New Zealand region. In contrast, taxa distributed on sub-Antarctic islands originated much later, possibly since the Last Glacial Maximum. Blue-eyed shags therefore represent a powerful model system-comprising several natural replicates-for studying the early stages of founder-event speciation and adaptation in a Southern-Ocean bird group.</t>
  </si>
  <si>
    <t>[Rawlence, Nicolas J.; Salis, Alexander T.; Spencer, Hamish G.; Waters, Jonathan M.; Scarsbrook, Lachie; Dutoit, Ludovic; King, Tania M.; Till, Charlotte E.; Kennedy, Martyn] Univ Otago, Dept Zool, Dunedin, New Zealand; [Salis, Alexander T.] Univ Adelaide, Australian Ctr Ancient DNA, Adelaide, SA, Australia; [Phillips, Richard A.; Ratcliffe, Norman] NERC, British Antarctic Survey, London, England; [Calderon, Luciano] CONICET UNCuyo, Inst Biol Agr Mendoza IBAM, Mendoza, Argentina; [Cook, Timothee R.; Ryan, Peter G.] Univ Cape Town, FitzPatrick Inst African Ornithol, Dept Biol Sci, Cape Town, South Africa; [Bost, Charles-Andre] CEBC CNRS, UMR 7372, Villiers En Bois, France; [Masello, Juan F.; Quillfeldt, Petra] Justus Liebig Univ Giessen, Giessen, Germany; [Nupen, Lisa J.] Org Trop Studies, Skukuza, South Africa; [Till, Charlotte E.] Arizona State Univ, Sch Human Evolut &amp; Social Change, Tempe, AZ USA</t>
  </si>
  <si>
    <t>University of Otago; University of Adelaide; UK Research &amp; Innovation (UKRI); Natural Environment Research Council (NERC); NERC British Antarctic Survey; University of Cape Town; Centre National de la Recherche Scientifique (CNRS); CNRS - Institute of Ecology &amp; Environment (INEE); Justus Liebig University Giessen; Arizona State University; Arizona State University-Tempe</t>
  </si>
  <si>
    <t>Rawlence, NJ; Kennedy, M (corresponding author), Univ Otago, Dept Zool, Dunedin, New Zealand.</t>
  </si>
  <si>
    <t>nic.rawlence@otago.ac.nz; martyn.kennedy@otago.ac.nz</t>
  </si>
  <si>
    <t>Scarsbrook, Lachie/JPX-8289-2023; Calderon, Luciano/O-7470-2014; Waters, Jonathan/B-4983-2009; Spencer, Hamish G/B-9637-2008; Masello, Juan Francisco/C-7133-2009; Kennedy, Martyn/A-9551-2008</t>
  </si>
  <si>
    <t>Waters, Jonathan/0000-0002-1514-7916; Spencer, Hamish G/0000-0001-7531-597X; Masello, Juan Francisco/0000-0002-6826-4016; Kennedy, Martyn/0000-0001-9376-6520; Ryan, Peter/0000-0002-3356-2056</t>
  </si>
  <si>
    <t>Department of Zoology, University of Otago; French Polar Institute; German Research Foundation; British Antarctic Survey</t>
  </si>
  <si>
    <t>Department of Zoology, University of Otago; French Polar Institute; German Research Foundation(German Research Foundation (DFG)); British Antarctic Survey</t>
  </si>
  <si>
    <t>0305-0270</t>
  </si>
  <si>
    <t>1365-2699</t>
  </si>
  <si>
    <t>J BIOGEOGR</t>
  </si>
  <si>
    <t>J. Biogeogr.</t>
  </si>
  <si>
    <t>10.1111/jbi.14360</t>
  </si>
  <si>
    <t>0Q2JM</t>
  </si>
  <si>
    <t>Green Submitted, Green Published, Green Accepted, hybrid</t>
  </si>
  <si>
    <t>WOS:000773371700001</t>
  </si>
  <si>
    <t>Rudraswami, NG; Suttle, MD; Marrocchi, Y; Taylor, S; Villeneuve, J</t>
  </si>
  <si>
    <t>Rudraswami, N. G.; Suttle, M. D.; Marrocchi, Y.; Taylor, S.; Villeneuve, J.</t>
  </si>
  <si>
    <t>In-situ O-isotope analysis of relict spinel and forsterite in small (&lt;200 μm) Antarctic micrometeorites - Samples of chondrules &amp; CAIs from carbonaceous chondrites</t>
  </si>
  <si>
    <t>Micrometeorites; Oxygen isotope; Chondrules; Spinel; Antarctic</t>
  </si>
  <si>
    <t>OXYGEN-ISOTOPE; REFRACTORY INCLUSIONS; COSMIC SPHERULES; INTERPLANETARY DUST; RICH CHONDRULES; SOLAR-SYSTEM; CRYSTALLINE SILICATES; AQUEOUS ALTERATION; ATMOSPHERIC ENTRY; OLIVINE GRAINS</t>
  </si>
  <si>
    <t>We report high-precision secondary ion mass spectrometer triple oxygen isotope systematics (95 individual analyses) from 37 micrometeorites (MMs) collected from South Pole Water Well (SPWW), Antarctica. The study population focuses on unmelted coarse-grained (Cg) MMs (n = 23) with both multiple (n = 14) and single-mineral (n = 9) varieties investigated. We also analysed relict minerals in porphyritic cosmic spherules (n = 13) and the relict matrix in a single scoriaceous fine-grained (Fg) MM. The target minerals investigated are primarily olivine (Fo similar to 43-99%) and spinel. Textural, chemical and isotopic data confirm that both olivine and spinel grains have retained their pre-atmospheric O-isotope compositions, allowing inferences to be drawn about their formation and parent body affinities. We separate the study population into three groups: spinel-free particles (consisting of the CgMMs and PO cosmic spherules), spinel-bearing MMs and the single FgMM. Olivine grains in spinel-free MMs vary between delta O-17: -12.6 parts per thousand and +3.5 parts per thousand, delta O-18: -9.6 parts per thousand and +7.5 parts per thousand, and Delta O-17: -9.5 parts per thousand and +1.3 parts per thousand and define a slope-1 profile in delta O-18-delta O-17 isotope space. They are most likely fragmented chondrules, with both type I and type II varieties represented. Their observed Mg#-Delta O-17 distribution is best explained by a mixture of CM chondrules and either CR chondrules, Tagish Lake chondrules or WILD2 cometary silicates. One of these chondrule-like MMs has an isotopically heterogeneous composition, characterised by a single olivine grain with a markedly O-16-rich composition (Delta O-17: -16.3 parts per thousand), suggesting it is a relict silicate fragment of AOA material that was incorporated into the chondrule precursor. We analysed 11 spinel grains in five spinel-bearing MMs. In all instances spinels are nearly pure MgAl2O4 with isotopically light (O-16-rich) compositions (ranging from delta O-17: -34.4 parts per thousand to -0.9 parts per thousand, delta O-18: -30.8 parts per thousand to +11.0 parts per thousand, and Delta O-17: - 18.3 parts per thousand to -4.4 parts per thousand). They are therefore O-16-poor relative to spinel found in unaltered CAIs, indicating a different origin. Grains with high Cr2O3 contents (&gt;0.5 wt.%) are interpreted originating from Al-rich chondrule precursors, while low Cr2O3 spinels (&lt;0.5 wt.%) are interpreted as CAI-derived material affected by parent body aqueous alteration. Finally, we report a single FgMM with a O-16-poor composition (Delta O-17 &gt; 0 parts per thousand and delta O-18 &gt; +15.0 parts per thousand). This particle adds to our growing inventory of water-rich C-type asteroid samples united by their formation history which is characterised by accretion of abundant heavy water. Our work strongly supports findings from earlier in-situ O-isotope studies, concluding that small MMs overwhelmingly sample material from CC parent bodies and that CgMMs largely sample chondrules and, to a lesser extent, CAI material. The analysis of CgMMs therefore provides insights into the primitive O-isotope reservoirs that were present in the early solar system and how they interacted. (c) 2022 Elsevier Ltd. All rights reserved.</t>
  </si>
  <si>
    <t>[Rudraswami, N. G.] CSIR, Natl Inst Oceanog, Panaji 403004, Goa, India; [Suttle, M. D.] Open Univ, Sch Phys Sci, Walton Hall, Milton Keynes MK7 6AA, Bucks, England; [Marrocchi, Y.; Villeneuve, J.] Univ Lorraine, CNRS, CRPG, UMR 7358, F-54501 Vandoeuvre Les Nancy, France; [Taylor, S.] Cold Reg Res &amp; Engn Lab, 72 Lyme Rd, Hanover, NH 03755 USA</t>
  </si>
  <si>
    <t>Council of Scientific &amp; Industrial Research (CSIR) - India; CSIR - National Institute of Oceanography (NIO); Open University - UK; Centre National de la Recherche Scientifique (CNRS); CNRS - National Institute for Earth Sciences &amp; Astronomy (INSU); Universite de Lorraine; United States Department of Defense; United States Army; U.S. Army Corps of Engineers; U.S. Army Engineer Research &amp; Development Center (ERDC); Cold Regions Research &amp; Engineering Laboratory (CRREL)</t>
  </si>
  <si>
    <t>Rudraswami, NG (corresponding author), CSIR, Natl Inst Oceanog, Panaji 403004, Goa, India.</t>
  </si>
  <si>
    <t>rudra@nio.org</t>
  </si>
  <si>
    <t>Villeneuve, Johan/P-2378-2015</t>
  </si>
  <si>
    <t>Villeneuve, Johan/0000-0002-9892-8530; Suttle, Martin/0000-0001-7165-2215</t>
  </si>
  <si>
    <t>ISRO-PRL PLANEX project; ISRO-PRL PMNMOES project; National Science Foundation; CSIR</t>
  </si>
  <si>
    <t>ISRO-PRL PLANEX project; ISRO-PRL PMNMOES project; National Science Foundation(National Science Foundation (NSF)); CSIR(Council of Scientific &amp; Industrial Research (CSIR) - India)</t>
  </si>
  <si>
    <t>This work is funded by ISRO-PRL PLANEX and PMNMOES project. The collection of MMs from SPWW is funded by the National Science Foundation. We thank Vijay Khedekar, Areef Sardar, and Lionel G. Vacher for their assistance during electron microscopy. We thank Sasha Krot, A. Hertwig and T. Ushikubo for their suggestions that improved the quality of the manuscript. NGR also thanks CSIR for Raman Research Fellowship to carry out the research at CRNS-CRPG, Nancy, France. This is NIO's contribution No. 6898.</t>
  </si>
  <si>
    <t>10.1016/j.gca.2022.03.015</t>
  </si>
  <si>
    <t>WOS:000822547100001</t>
  </si>
  <si>
    <t>Baba, S; Horie, K; Hokada, T; Takehara, M; Kamei, A; Kitano, I; Motoyoshi, Y; Nantasin, P; Setiawan, NI; Dashbaatar, DO</t>
  </si>
  <si>
    <t>Baba, Sotaro; Horie, Kenji; Hokada, Tomokazu; Takehara, Mami; Kamei, Atsushi; Kitano, Ippei; Motoyoshi, Yoichi; Nantasin, Prayath; Setiawan, Nugroho I.; Dashbaatar, Davaa-ochir</t>
  </si>
  <si>
    <t>Newly found Tonian metamorphism in Akebono Rock, eastern Dronning Maud Land, East Antarctica</t>
  </si>
  <si>
    <t>GONDWANA RESEARCH</t>
  </si>
  <si>
    <t>East Antarctica; L?tzow-Holm Complex; Prograde metamorphism; SHRIMP U-Pb zircon age; Tonian metamorphism</t>
  </si>
  <si>
    <t>LUTZOW-HOLM COMPLEX; SOR RONDANE MOUNTAINS; U-PB GEOCHRONOLOGY; TI-IN-ZIRCON; NEOPROTEROZOIC ARC MAGMATISM; PRINCE CHARLES MOUNTAINS; CAMBRIAN OROGENIC BELT; SRI-LANKA; DETRITAL ZIRCON; RAYNER COMPLEX</t>
  </si>
  <si>
    <t>In this paper, we report a new metamorphic age for kyanite-bearing garnet-biotite gneiss collected from Akebono Rock, which is located on Prince Olav Coast, in the Lutzow-Holm Complex (LHC), East Antarctica. The metamorphic P-T path estimated from pseudosection modeling, together with garnet compositional zoning and experimentally calibrated geothermobarometry, suggests that the gneiss underwent a clockwise amphibolite-facies P-T history. Two populations of U-Pb zircon ages of 1121-1014 Ma and 972- 904 Ma (n = 65) were identified, with the latter population having a weighted mean age of 937 +/- 6 Ma. The younger population was dated from overgrowth rims and single zircon grains interpreted as metamorphic in origin. Ti-in-zircon thermometry supports crystallization of these zircon domains and grains at a temperature close to the metamorphic peak of 642 degrees C at 937 Ma. Monazite EMP dating from the other four samples show an age between 977 and 917 Ma. These lines of evidence indicate that pro grade metamorphism of the Akebono Rock gneiss occurred during the Tonian, that is, substantially earlier than the LHC regional metamorphic age of late Neoproterozoic to Cambrian. Our results indicate that a fundamental revision of the sequence of metamorphic events in the Prince Olav Coast area of the LHC is required. We also identified three possible relationships between Akebono Rock and other geological units that record Tonian metamorphism, although we cannot determine which relationship is most likely. In particular, linear magnetic anomalies were identified near the boundary between the LHC and the Western Rayner Complex/inland nunataks of western Enderby Land, suggesting the presence of geological discontinuities.(c) 2021 International Association for Gondwana Research. Published by Elsevier B.V. All rights reserved.</t>
  </si>
  <si>
    <t>[Baba, Sotaro] Univ Ryukyus, Dept Sci Educ, Nishihara, Okinawa 9030213, Japan; [Horie, Kenji; Hokada, Tomokazu; Takehara, Mami; Motoyoshi, Yoichi] Natl Inst Polar Res, Tokyo 1908518, Japan; [Horie, Kenji; Hokada, Tomokazu; Motoyoshi, Yoichi] Grad Univ Adv Studies, Dept Polar Sci, SOKENDAI, Tokyo 1908518, Japan; [Kamei, Atsushi] Shimane Univ, Dept Earth Sci, Matsue, Shimane 6908504, Japan; [Kitano, Ippei] Kyushu Univ, Fac Social &amp; Cultural Studies, Div Earth Sci, Fukuoka 8190395, Japan; [Nantasin, Prayath] Kasetsart Univ, Fac Sci, Dept Earth Sci, Bangkok 10900, Thailand; [Setiawan, Nugroho I.] Univ Gadjah Mada, Engn Fac, Geol Engn Dept, Di Yogyakarta 55281, Indonesia; [Dashbaatar, Davaa-ochir] Mongolian Univ Sci &amp; Technol, Ulaanbaatar 14191, Mongolia</t>
  </si>
  <si>
    <t>University of the Ryukyus; Research Organization of Information &amp; Systems (ROIS); National Institute of Polar Research (NIPR) - Japan; Graduate University for Advanced Studies - Japan; Shimane University; Kyushu University; Kasetsart University; Gadjah Mada University; Mongolian University of Science &amp; Technology</t>
  </si>
  <si>
    <t>Baba, S (corresponding author), Univ Ryukyus, Dept Sci Educ, Nishihara, Okinawa 9030213, Japan.</t>
  </si>
  <si>
    <t>baba@edu.u-ryukyu.ac.jp</t>
  </si>
  <si>
    <t>Setiawan, Nugroho Imam/GOE-4033-2022; Baba, Sotaro/H-3107-2013; Baba, Sotaro/HGU-7234-2022</t>
  </si>
  <si>
    <t>Setiawan, Nugroho Imam/0000-0002-8969-7259; Baba, Sotaro/0000-0003-2969-9575; Baba, Sotaro/0000-0003-2969-9575; Kitano, Ippei/0000-0001-8959-608X</t>
  </si>
  <si>
    <t>National Institute of Polar Research [25-17, 2-20]; Research Organization of Information and Systems [ROIS-DS-JOINT 004RP2018]; Japan Society for the Promotion of Science (JSPS) [15K05346, 17H02976, 18H01313]; Grants-in-Aid for Scientific Research [15K05346, 18H01313, 17H02976, 21H01182] Funding Source: KAKEN</t>
  </si>
  <si>
    <t>National Institute of Polar Research(National Institute of Polar Research (NIPR) - Japan); Research Organization of Information and Systems;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</si>
  <si>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would like to thank the members of the 58th Japanese Antarctic Research Expedition, and the crew of the icebreaker SHIRASE. We acknowledge Y. Osanai, Y. Hiroi, and K. Shiraishi for logistic planning and field information. Constructive comments to an early version of the manuscript by I. C.W. Fitzsimons improved this manuscript and are gratefully acknowledged. We thank J. Jacobs, N. Nakano and anonymous reviewers for constructive comments, and M. Santosh for editorial handling. This work was partly supported by the National Institute of Polar Research [General Collaboration Projects 25-17 and 2-20] , the Research Organization of Information and Systems [ROIS-DS-JOINT 004RP2018] , the Japan Society for the Promotion of Science (JSPS) [15K05346 to S. B., 17H02976 to T.H. and 18H01313 to A.K.] .</t>
  </si>
  <si>
    <t>1342-937X</t>
  </si>
  <si>
    <t>1878-0571</t>
  </si>
  <si>
    <t>GONDWANA RES</t>
  </si>
  <si>
    <t>Gondwana Res.</t>
  </si>
  <si>
    <t>10.1016/j.gr.2021.09.009</t>
  </si>
  <si>
    <t>1T4FI</t>
  </si>
  <si>
    <t>WOS:000804686200003</t>
  </si>
  <si>
    <t>Eastman, JT; Eakin, RR</t>
  </si>
  <si>
    <t>Eastman, Joseph T.; Eakin, Richard R.</t>
  </si>
  <si>
    <t>Decomplicating and identifying species in the radiation of the Antarctic fish genus Pogonophryne (Artedidraconidae)</t>
  </si>
  <si>
    <t>Adaptive radiation; Biodiversity; Notothenioid; Species identification</t>
  </si>
  <si>
    <t>ROSS SEA; PISCES; PERCIFORMES; DIVERSITY; FAUNA</t>
  </si>
  <si>
    <t>The 27 species of the genus Pogonophryne are a distinctive component of the radiation of cryonotothenioid fishes and commonly encountered during benthic trawling and commercial longlining for toothfish. They are difficult to identify because they are morphologically and ecologically similar and sympatric in their distributions. The genus has recently been the subject of a taxonomic consolidation that, on the basis of nuclear gene sequence data and morphometrics, has synonymized the 27 species to the five known species groups and detected an unnamed sixth clade, decreasing the diversity of Pogonophryne by approximate to 78% and that of the radiation of cryonotothenioids by approximate to 16%. We clarify this situation by assigning each of the 27 species to a species group. We also provide an uncomplicated illustrated guide that requires no counting or measuring of characters and facilitates the placement of each of the species into one of three categories, five species groups, and three subgroups within the genus. These are the essential steps in identifying a species of Pogonophryne whether following the traditional or reduced view of diversity. With the exception of the details concerning the undescribed species, this is the heretofore elusive synopsis of the genus that should remain stable into the future.</t>
  </si>
  <si>
    <t>[Eastman, Joseph T.] Ohio Univ, Dept Biomed Sci, Athens, OH 45701 USA</t>
  </si>
  <si>
    <t>University System of Ohio; Ohio University</t>
  </si>
  <si>
    <t>Eastman, JT (corresponding author), Ohio Univ, Dept Biomed Sci, Athens, OH 45701 USA.</t>
  </si>
  <si>
    <t>eastman@ohio.edu</t>
  </si>
  <si>
    <t>Eastman, Joseph T./0000-0003-3868-261X</t>
  </si>
  <si>
    <t>US NSF [ANT 94-16870, ANT 04-36190]</t>
  </si>
  <si>
    <t>US NSF(National Science Foundation (NSF))</t>
  </si>
  <si>
    <t>JTE was supported by funding from Grants US NSF ANT 94-16870 and ANT 04-36190.</t>
  </si>
  <si>
    <t>10.1007/s00300-022-03034-3</t>
  </si>
  <si>
    <t>WOS:000773858000001</t>
  </si>
  <si>
    <t>Arpi, B; McGee, J</t>
  </si>
  <si>
    <t>Arpi, Bruno; McGee, Jeffrey</t>
  </si>
  <si>
    <t>Rediscovering the importance of Antarctic Law for the early twenty-first century</t>
  </si>
  <si>
    <t>Antarctic law; international law; Antarctica; regionalism; legal regimes</t>
  </si>
  <si>
    <t>TREATY</t>
  </si>
  <si>
    <t>International law provides a system of legal order for the conduct of international relations. Within this system, states may constitute regional legal regimes in a continuous geographical area to address their own regional problems. In Antarctica, states active in the region have developed a sui generis regional legal regime (conceptualised here as 'Antarctic Law') to address problems of the Antarctic. During most of the twentieth century, Antarctic Law played a central role in understanding human interaction within, and international ordering of, the Antarctic region. However, over the last two decades, understanding the importance of the legal and regional nature of Antarctic law has become less prominent. Instead, Antarctic scholarship (including legal analysis) has moved towards a universalist perspective, interdisciplinary scholarship and critical approaches. We argue these approaches have under-appreciated the importance of the legal ordering of the region. New challenges within the region will require responses that draw on this regional legal ordering. This paper therefore aims to be a first step towards rediscovering the importance of the concept of 'Antarctic Law' as a regional and legal regime with a key role in providing successful international order within the Antarctic region to meet the challenges of the early twenty-first century.</t>
  </si>
  <si>
    <t>[Arpi, Bruno] Univ Tasmania, Fac Law, Hobart, Tas, Australia; [Arpi, Bruno] Univ Tasmania, Inst Marine &amp; Antarctic Studies, Hobart, Tas, Australia</t>
  </si>
  <si>
    <t>Arpi, B (corresponding author), Univ Tasmania, Fac Law, Hobart, Tas, Australia.;Arpi, B (corresponding author), Univ Tasmania, Inst Marine &amp; Antarctic Studies, Hobart, Tas, Australia.</t>
  </si>
  <si>
    <t>bruno.arpi@utas.edu.au</t>
  </si>
  <si>
    <t>McGee, Jeffrey/0000-0002-2093-5896; Arpi, Bruno/0000-0003-4714-7918</t>
  </si>
  <si>
    <t>Funding for this research was provided under Australian Research Council Discovery Grant DP190101214 titled `Geopolitical Change and the Antarctic Treaty System'. The authors thank the participants of the Australian and New Zealand Society of International Law (ANZSIL) Oceans and International Environmental Law Interest Group Workshop for their suggestions on an early version of this paper, and especially, Dr Penelope Ridings for her insightful comments. We also thank the Library of the Faculty of Law of Lund University for their help in obtaining a copy of Dr Marie Jacobsson's PhD dissertation. Bruno Arpi would also like to acknowledge the important contribution of the Spanish academia (which can be `unfairly' summarised in the names of Antonio Truyol y Serra, Manuel Diez de Velasco, Jose Pastor Ridruejo, and Antonio Remiro Brotons) to the Latin American international law scholarship. A special thanks to Antonio Remiro Brotons for his generous comments on the concept of international society. Thanks are also due to the Editors of this special issue and two anonymous reviewers of this paper for their useful suggestions. Any errors or omissions of course remain the sole responsibility of the authors.</t>
  </si>
  <si>
    <t>10.1080/10357718.2022.2056875</t>
  </si>
  <si>
    <t>WOS:000773165000001</t>
  </si>
  <si>
    <t>Roudier, P; O'Neill, TA; Almond, P; Poirot, C</t>
  </si>
  <si>
    <t>Roudier, P.; O'Neill, T. A.; Almond, P.; Poirot, C.</t>
  </si>
  <si>
    <t>Soil priorities for Antarctica</t>
  </si>
  <si>
    <t>GEODERMA REGIONAL</t>
  </si>
  <si>
    <t>Antarctica; Climate change; Invasive species; Soil pollution; Science-to-policy interface; Digital soil mapping; Gelisols</t>
  </si>
  <si>
    <t>[Roudier, P.] Manaaki Whenua Landcare Res, Private Bag 11052, Palmerston North, New Zealand; [Roudier, P.] New Zealand Ctr Res Excellence, Te Punaha Matatini, Private Bag 92019, Auckland, New Zealand; [O'Neill, T. A.] Univ Waikato, Te Aka Matuatua Sch Sci, Hamilton, New Zealand; [Almond, P.] Lincoln Univ, Dept Soil &amp; Phys Sci, POB 85084, Lincoln 7647, New Zealand; [Poirot, C.] Antarctica New Zealand, Private Bag 4745, Christchurch, New Zealand</t>
  </si>
  <si>
    <t>Landcare Research - New Zealand; University of Waikato; Lincoln University - New Zealand</t>
  </si>
  <si>
    <t>Roudier, P (corresponding author), Manaaki Whenua Landcare Res, Private Bag 11052, Palmerston North, New Zealand.;Roudier, P (corresponding author), New Zealand Ctr Res Excellence, Te Punaha Matatini, Private Bag 92019, Auckland, New Zealand.</t>
  </si>
  <si>
    <t>roudierp@landcareresearch.co.nz</t>
  </si>
  <si>
    <t>LE STUDIUM Loire Valley Institute for Advanced studies through its LE STUDIUM Research Consortium Programme [ANTA1801]</t>
  </si>
  <si>
    <t>LE STUDIUM Loire Valley Institute for Advanced studies through its LE STUDIUM Research Consortium Programme</t>
  </si>
  <si>
    <t>Acknowledgments The authors thank the two anonymous reviewers for their extremely constructive feedback. Support for PR was provided by the MBIE-funded Antarctic Science Platform (ANTA1801) . P.R. is a member of the Research Consortium GLADSOILMAP, supported by LE STUDIUM Loire Valley Institute for Advanced studies through its LE STUDIUM Research Consortium Programme.</t>
  </si>
  <si>
    <t>2352-0094</t>
  </si>
  <si>
    <t>GEODERMA REG</t>
  </si>
  <si>
    <t>Geoderma Reg.</t>
  </si>
  <si>
    <t>e00499</t>
  </si>
  <si>
    <t>10.1016/j.geodrs.2022.e00499</t>
  </si>
  <si>
    <t>1G3UP</t>
  </si>
  <si>
    <t>WOS:000795776300009</t>
  </si>
  <si>
    <t>Alcaman-Arias, ME; Cifuentes-Anticevic, J; Diez, B; Testa, G; Troncoso, M; Bello, E; Farias, L</t>
  </si>
  <si>
    <t>Alcaman-Arias, Maria E.; Cifuentes-Anticevic, Jeronimo; Diez, Beatriz; Testa, Giovanni; Troncoso, Macarena; Bello, Estrella; Farias, Laura</t>
  </si>
  <si>
    <t>Surface Ammonia-Oxidizer Abundance During the Late Summer in the West Antarctic Coastal System</t>
  </si>
  <si>
    <t>nitrification; ammonia-oxidizers; Western Antarctic Peninsula; Archaea; Bacteria; photic layer</t>
  </si>
  <si>
    <t>EFFICIENT REGENERATED PRODUCTION; RIBOSOMAL-RNA; EQUATORIAL PACIFIC; HIGH-RESOLUTION; ARCTIC-OCEAN; MARINE; ARCHAEA; BACTERIA; NITRIFICATION; OXIDATION</t>
  </si>
  <si>
    <t>Marine ammonia oxidizers that oxidize ammonium to nitrite are abundant in polar waters, especially during the winter in the deeper mixed-layer of West Antarctic Peninsula (WAP) waters. However, the activity and abundance of ammonia-oxidizers during the summer in surface coastal Antarctic waters remain unclear. In this study, the ammonia-oxidation rates, abundance and identity of ammonia-oxidizing bacteria (AOB) and archaea (AOA) were evaluated in the marine surface layer (to 30 m depth) in Chile Bay (Greenwich Island, WAP) over three consecutive late-summer periods (2017, 2018, and 2019). Ammonia-oxidation rates of 68.31 nmol N L-1 day(-1) (2018) and 37.28 nmol N L-1 day(-1) (2019) were detected from illuminated 2 m seawater incubations. However, high ammonia-oxidation rates between 267.75 and 109.38 nmol N L-1 day(-1) were obtained under the dark condition at 30 m in 2018 and 2019, respectively. During the late-summer sampling periods both stratifying and mixing events occurring in the water column over short timescales (February-March). Metagenomic analysis of seven nitrogen cycle modules revealed the presence of ammonia-oxidizers, such as the Archaea Nitrosopumilus and the Bacteria Nitrosomonas and Nitrosospira, with AOA often being more abundant than AOB. However, quantification of specific amoA gene transcripts showed number of AOB being two orders of magnitude higher than AOA, with Nitrosomonas representing the most transcriptionally active AOB in the surface waters. Additionally, Candidatus Nitrosopelagicus and Nitrosopumilus, phylogenetically related to surface members of the NP-epsilon and NP-gamma clades respectively, were the predominant AOA. Our findings expand the known distribution of ammonium-oxidizers to the marine surface layer, exposing their potential ecological role in supporting the marine Antarctic system during the productive summer periods.</t>
  </si>
  <si>
    <t>[Alcaman-Arias, Maria E.; Testa, Giovanni; Bello, Estrella; Farias, Laura] Univ Concepcion, Dept Oceanog, Concepcion, Chile; [Alcaman-Arias, Maria E.; Diez, Beatriz; Troncoso, Macarena; Farias, Laura] Ctr Climate &amp; Resilience Res CR2, Santiago, Chile; [Alcaman-Arias, Maria E.] Univ Espiritu Santo, Escuela Med, Guayaquil, Ecuador; [Cifuentes-Anticevic, Jeronimo; Diez, Beatriz] Pontificia Univ Catolica Chile, Dept Genet Mol &amp; Microbiol, Santiago, Chile; [Diez, Beatriz] Univ Chile, Ctr Genome Regulat CGR, Santiago, Chile; [Testa, Giovanni] Univ Concepcion, Dept Oceanog, Programa Postgrad Oceanog, Concepcion, Chile; [Testa, Giovanni] Res Ctr Dynam High Latitude Marine Ecosyst IDEAL, Punta Arenas, Chile</t>
  </si>
  <si>
    <t>Universidad de Concepcion; Universidad de Especialidades Espiritu Santo; Pontificia Universidad Catolica de Chile; Universidad de Chile; Universidad de Concepcion</t>
  </si>
  <si>
    <t>Alcaman-Arias, ME (corresponding author), Univ Concepcion, Dept Oceanog, Concepcion, Chile.;Alcaman-Arias, ME; Diez, B (corresponding author), Ctr Climate &amp; Resilience Res CR2, Santiago, Chile.;Alcaman-Arias, ME (corresponding author), Univ Espiritu Santo, Escuela Med, Guayaquil, Ecuador.;Diez, B (corresponding author), Pontificia Univ Catolica Chile, Dept Genet Mol &amp; Microbiol, Santiago, Chile.;Diez, B (corresponding author), Univ Chile, Ctr Genome Regulat CGR, Santiago, Chile.</t>
  </si>
  <si>
    <t>mealcaman@uc.cl; bdiez@bio.puc.cl</t>
  </si>
  <si>
    <t>Díez, Beatriz/AAG-2244-2021</t>
  </si>
  <si>
    <t>Díez, Beatriz/0000-0002-9371-8083; Cifuentes-Anticevic, Jeronimo/0000-0002-8099-4994; Troncoso, Macarena/0000-0002-1163-6931; Alcaman-Arias, Maria Estrella/0000-0003-2464-9480; Testa, Giovanni/0000-0002-0787-606X</t>
  </si>
  <si>
    <t>ANID/PFCHA/Doctorado Nacional [2017 21170561]</t>
  </si>
  <si>
    <t>ANID/PFCHA/Doctorado Nacional</t>
  </si>
  <si>
    <t>This work was supported by the grants ANID/FONDECYT/INACH N3170807, ANID/FONDAP 15110009, and ANID/PFCHA/Doctorado Nacional/2017 21170561.</t>
  </si>
  <si>
    <t>MAR 25</t>
  </si>
  <si>
    <t>10.3389/fmicb.2022.821902</t>
  </si>
  <si>
    <t>0M9ZS</t>
  </si>
  <si>
    <t>WOS:000782509500001</t>
  </si>
  <si>
    <t>Harper, MA; Morales, EA; Van De Vijver, B</t>
  </si>
  <si>
    <t>Harper, Margaret A.; Morales, Eduardo A.; Van De Vijver, Bart</t>
  </si>
  <si>
    <t>An unusual freshwater diatom with bilobate ends from the Mid-Miocene of East Antarctica: Staurosirella tigris sp. nov. (Fragilariaceae, Bacillariophyta)</t>
  </si>
  <si>
    <t>Antarctica; Friis Hills; Miocene flora; polar wetlands; Staurosirella; tundra ponds</t>
  </si>
  <si>
    <t>RIVERS</t>
  </si>
  <si>
    <t>A new species of araphid diatoms with bilobate ends is described as Staurosirella tigris sp. nov. It was found in mid Miocene glacial-lacustrine sediments in the Friis Hills, Antarctica. The new diatom is placed in Staurosirella because it has striae composed of apically-oriented lineolae, separated by long, thin vimines, and it lacks rimoportulae. It can be easily distinguished by its rectangular valve shape with bilobate ends, differing from Staurosirella grunowii, another four lobed Miocene species, by having a rectangular central portion to its valves instead of being cross-shaped with the four lobes arising from a common central area. Also, the distribution of the new species is different, to date only being found in Antarctica, while S. grunowii is restricted to the Northern Hemisphere.</t>
  </si>
  <si>
    <t>[Harper, Margaret A.] Victoria Univ Wellington, Sch Geog Environm &amp; Earth Sci, POB 600, Wellington 6140, New Zealand; [Morales, Eduardo A.] Univ Evora, Water Lab, PITE Rua Barba Rala 1, P-7005345 Evora, Portugal; [Morales, Eduardo A.] Univ Evora, Inst Earth Sci ICT, Rua Romao Ramalho 59, P-7000671 Evora, Portugal; [Van De Vijver, Bart] Meise Bot Garden, Res Dept, Nieuwelaan 38, B-1860 Meise, Belgium; [Van De Vijver, Bart] Univ Antwerp, Dept Biol, ECOSPHERE, Univ Pl 1, B-2610 Antwerp, Belgium</t>
  </si>
  <si>
    <t>Victoria University Wellington; University of Evora; University of Evora; University of Antwerp</t>
  </si>
  <si>
    <t>Van De Vijver, B (corresponding author), Meise Bot Garden, Res Dept, Nieuwelaan 38, B-1860 Meise, Belgium.;Van De Vijver, B (corresponding author), Univ Antwerp, Dept Biol, ECOSPHERE, Univ Pl 1, B-2610 Antwerp, Belgium.</t>
  </si>
  <si>
    <t>margaret.harper@vuw.ac.nz; edu_mora123@outlook.com; bart.vandevijver@plantentuinmeise.be</t>
  </si>
  <si>
    <t>Morales, Eduardo A./AAE-9304-2021</t>
  </si>
  <si>
    <t>Morales, Eduardo A./0000-0001-5998-4831; Harper, Margaret/0000-0002-7902-6486; Van de Vijver, Bart/0000-0002-6244-1886</t>
  </si>
  <si>
    <t>School of Geography, Environment and Earth Sciences; Antarctic Research Centre, Victoria University of Wellington; ARC - Past Antarctic Climate Programme; Portuguese Foundation for Science and Technology (FCT) [UIDB/04683/2020-ICT]; Agencia Portuguesa do Ambiente, integrated within the Operational Program for Sustainability and Efficiency in the Use of Resources 2014-20 [APA-000004DFIN.AALP/2017, POSEUR-03-2013-FC-000001]</t>
  </si>
  <si>
    <t>School of Geography, Environment and Earth Sciences; Antarctic Research Centre, Victoria University of Wellington; ARC - Past Antarctic Climate Programme; Portuguese Foundation for Science and Technology (FCT)(Fundacao para a Ciencia e a Tecnologia (FCT)); Agencia Portuguesa do Ambiente, integrated within the Operational Program for Sustainability and Efficiency in the Use of Resources 2014-20</t>
  </si>
  <si>
    <t>Diatom preparation by MH was funded by the School of Geography, Environment and Earth Sciences and the Antarctic Research Centre, Victoria University of Wellington. The authors thank Richard Levy of GNS for access to core samples, and Warren Dickinson of ARC for encouraging the work. The Friis Hills Drilling Project was funded by the Past Antarctic Climate Programme. EAM was partially funded by the Portuguese Foundation for Science and Technology (FCT) project UIDB/04683/2020-ICT (Institute of Earth Sciences) , and the Agencia Portuguesa do Ambiente, APA-000004DFIN.AALP/2017 integrated within the Operational Program for Sustainability and Efficiency in the Use of Resources 2014-20, POSEUR-03-2013-FC-000001.</t>
  </si>
  <si>
    <t>10.11646/phytotaxa.541.2.10</t>
  </si>
  <si>
    <t>0H5DJ</t>
  </si>
  <si>
    <t>WOS:000778751600004</t>
  </si>
  <si>
    <t>Jiang, PQ; Ren, XT; Wang, WJ; Niu, GJ; Li, J</t>
  </si>
  <si>
    <t>Jiang, Peiqiang; Ren, Xintao; Wang, Wenjing; Niu, Guojiang; Li, Jing</t>
  </si>
  <si>
    <t>Arthrobacter terrae sp. nov., a psychrophilic actinobacterium with multi copies of capA gene isolated from Antarctic soil</t>
  </si>
  <si>
    <t>ANTONIE VAN LEEUWENHOEK INTERNATIONAL JOURNAL OF GENERAL AND MOLECULAR MICROBIOLOGY</t>
  </si>
  <si>
    <t>Antarctic; Arthrobacter; Polyphasic taxonomy; New species</t>
  </si>
  <si>
    <t>GLYCINE BETAINE; BACTERIUM; TOLERANT; DATABASE</t>
  </si>
  <si>
    <t>A Gram-staining-positive, non-spore-forming, non-flagellated, ellipsoidal, strain Z1-20( T) belonging to the genus Arthrobacter was isolated from a soil sample collected from the Zhongshan station, Antarctic. Phylogenetic analysis of the 16S rRNA gene sequences and phylogenetic analysis revealed that strain Z1-20( T) formed a unique single cluster in the genus Arthrobacter and shared high 16S rRNA sequence similarities of 97.1% and 96.9% with A. glacialis HLT2-12-2( T) and A. psychrochitiniphilus GP3(T), respectively. Values of Digital DNA-DNA hybridization (dDDH) between strain Z1-20( T) against A. glacialis HLT2-12-2( T) and A. psychrochitiniphilus GP3(T) were 20.3% and 13.8%, respectively. Average nucleotide identity (ANI) score between strain Z1-20( T) against A. glacialis HLT2-12-2( T) and A. psychrochitiniphilus GP3(T) were 72.5% and 72.1%, respectively. Genes for the synthesis of the osmoprotectant glycine betaine and higher copies of capA gene encoding cold shock protein were found in genome of Z1-20( T) that may help Z1-20( T) in cold-adaptation. Strain Z1-20( T) comprised lysine as the diagnostic diamino acid. Based on the results of phylogenetic, phenotypic and chemotaxonomic features, strain Z1-20( T) represents a novel species of a novel taxon of genus Arthrobacter, for which the name Arthrobacter terrae gen. nov., sp. nov. is proposed.</t>
  </si>
  <si>
    <t>[Jiang, Peiqiang; Ren, Xintao; Wang, Wenjing; Niu, Guojiang; Li, Jing] Ocean Univ China, Coll Marine Life Sci, Qingdao 266003, Shandong, Peoples R China</t>
  </si>
  <si>
    <t>Ocean University of China</t>
  </si>
  <si>
    <t>Li, J (corresponding author), Ocean Univ China, Coll Marine Life Sci, Qingdao 266003, Shandong, Peoples R China.</t>
  </si>
  <si>
    <t>lijing313@ouc.edu.cn</t>
  </si>
  <si>
    <t>Wang, Wenjing/AAU-8450-2021</t>
  </si>
  <si>
    <t>Wang, Wenjing/0000-0003-4035-8552</t>
  </si>
  <si>
    <t>National Key R&amp;D Program of China [2018YFC1406705]</t>
  </si>
  <si>
    <t>National Key R&amp;D Program of China</t>
  </si>
  <si>
    <t>This work was supported by the National Key R&amp;D Program of China (grants 2018YFC1406705).</t>
  </si>
  <si>
    <t>0003-6072</t>
  </si>
  <si>
    <t>1572-9699</t>
  </si>
  <si>
    <t>ANTON LEEUW INT J G</t>
  </si>
  <si>
    <t>Antonie Van Leeuwenhoek</t>
  </si>
  <si>
    <t>10.1007/s10482-022-01727-7</t>
  </si>
  <si>
    <t>0O4YL</t>
  </si>
  <si>
    <t>WOS:000780349200001</t>
  </si>
  <si>
    <t>Ramsden, AE; Ganesan, AL; Western, LM; Rigby, M; Manning, AJ; Foulds, A; France, JL; Barker, P; Levy, P; Say, D; Wisher, A; Arnold, T; Rennick, C; Stanley, KM; Young, D; O'Doherty, S</t>
  </si>
  <si>
    <t>Ramsden, Alice E.; Ganesan, Anita L.; Western, Luke M.; Rigby, Matthew; Manning, Alistair J.; Foulds, Amy; France, James L.; Barker, Patrick; Levy, Peter; Say, Daniel; Wisher, Adam; Arnold, Tim; Rennick, Chris; Stanley, Kieran M.; Young, Dickon; O'Doherty, Simon</t>
  </si>
  <si>
    <t>Quantifying fossil fuel methane emissions using observations of atmospheric ethane and an uncertain emission ratio</t>
  </si>
  <si>
    <t>GREENHOUSE-GAS MEASUREMENTS; LONG-TERM MEASUREMENTS; NATURAL-GAS; TALL TOWERS; OIL; UK; CONSTRAINT; ATTRIBUTION; INCREASES; TRENDS</t>
  </si>
  <si>
    <t>We present a method for estimating fossil fuel methane emissions using observations of methane and ethane, accounting for uncertainty in their emission ratio. The ethane : methane emission ratio is incorporated as a spatially and temporally variable parameter in a Bayesian model, with its own prior distribution and uncertainty. We find that using an emission ratio distribution mitigates bias from using a fixed, potentially incorrect emission ratio and that uncertainty in this ratio is propagated into posterior estimates of emissions. A synthetic data test is used to show the impact of assuming an incorrect ethane : methane emission ratio and demonstrate how our variable parameter model can better quantify overall uncertainty. We also use this method to estimate UK methane emissions from high-frequency observations of methane and ethane from the UK Deriving Emissions linked to Climate Change (DECC) network. Using the joint methane-ethane inverse model, we estimate annual mean UK methane emissions of approximately 0.27 (95 % uncertainty interval 0.26-0.29) Tg yr(-1) from fossil fuel sources and 2.06 (1.99-2.15) Tg yr(-1) from non-fossil fuel sources, during the period 2015-2019. Uncertainties in UK fossil fuel emissions estimates are reduced on average by 15 % and up to 35 % when incorporating ethane into the inverse model, in comparison to results from the methane-only inversion.</t>
  </si>
  <si>
    <t>[Ramsden, Alice E.; Ganesan, Anita L.] Univ Bristol, Sch Geog Sci, Bristol, Avon, England; [Western, Luke M.; Rigby, Matthew; Say, Daniel; Wisher, Adam; Young, Dickon; O'Doherty, Simon] Univ Bristol, Sch Chem, Bristol, Avon, England; [Manning, Alistair J.] Met Off, Hadley Ctr, Exeter, Devon, England; [Foulds, Amy; Barker, Patrick] Univ Manchester, Sch Earth &amp; Environm Sci, Manchester, Lancs, England; [France, James L.] Royal Holloway Univ London, Dept Earth Sci, Egham, Surrey, England; [Levy, Peter] UK Ctr Ecol &amp; Hydrol, Edinburgh, Midlothian, Scotland; [Arnold, Tim; Rennick, Chris] Natl Phys Lab, Teddington, Middx, England; [Arnold, Tim] Univ Edinburgh, Sch Geosci, Edinburgh, Midlothian, Scotland; [Stanley, Kieran M.] Goethe Univ Frankfurt, Inst Atmospher &amp; Environm Sci, Frankfurt, Germany; [France, James L.] NERC, British Antarctic Survey, Cambridge CB3 0ET, England</t>
  </si>
  <si>
    <t>University of Bristol; University of Bristol; Met Office - UK; Hadley Centre; University of Manchester; University of London; Royal Holloway University London; UK Centre for Ecology &amp; Hydrology (UKCEH); National Physical Laboratory - UK; University of Edinburgh; Goethe University Frankfurt; UK Research &amp; Innovation (UKRI); Natural Environment Research Council (NERC); NERC British Antarctic Survey</t>
  </si>
  <si>
    <t>Ramsden, AE (corresponding author), Univ Bristol, Sch Geog Sci, Bristol, Avon, England.</t>
  </si>
  <si>
    <t>alice.ramsden@bristol.ac.uk</t>
  </si>
  <si>
    <t>Levy, Peter E/K-6523-2012; Rigby, Matthew/A-5555-2012; Ganesan, Anita/D-6230-2016; France, James/L-9719-2015</t>
  </si>
  <si>
    <t>Arnold, Tim/0000-0001-9097-8907; Say, Daniel/0000-0003-3615-7926; Levy, Peter/0000-0002-8505-1901; Ramsden, Alice/0000-0003-3937-8556; Ganesan, Anita/0000-0001-5715-8923; France, James/0000-0002-8785-1240; Western, Luke/0000-0002-0043-711X</t>
  </si>
  <si>
    <t>NERC Detection and Attribution of Regional greenhouse gas Emissions in the UK (DARE-UK) programme [NE/S004211/1]; Advanced Global Atmospheric Gases Experiment (NASA) [NNX16AC98G]; UK Department for Business, Energy and Industrial Strategy [1537/06/2018]; National Measurement System; NERC; United Nations Environment Programme: Climate and Clean Air Coalition (UNEP CCAC); NERC [NE/T014849/1] Funding Source: UKRI; NASA [906906, NNX16AC98G] Funding Source: Federal RePORTER</t>
  </si>
  <si>
    <t>NERC Detection and Attribution of Regional greenhouse gas Emissions in the UK (DARE-UK) programme; Advanced Global Atmospheric Gases Experiment (NASA); UK Department for Business, Energy and Industrial Strategy; National Measurement System; NERC(UK Research &amp; Innovation (UKRI)Natural Environment Research Council (NERC)); United Nations Environment Programme: Climate and Clean Air Coalition (UNEP CCAC); NERC(UK Research &amp; Innovation (UKRI)Natural Environment Research Council (NERC)); NASA(National Aeronautics &amp; Space Administration (NASA))</t>
  </si>
  <si>
    <t>The project was supported by the NERC Detection and Attribution of Regional greenhouse gas Emissions in the UK (DARE-UK) programme (NE/S004211/1). Measurements from Mace Head were funded by the Advanced Global Atmospheric Gases Experiment (NASA grant NNX16AC98G), and measurements from the UK DECC network were funded by the UK Department for Business, Energy and Industrial Strategy through contract (1537/06/2018) to the University of Bristol. Since 2017, measurements at Heathfield have been maintained by the National Physical Laboratory mainly under funding from the National Measurement System. The MOYA FAAM North Sea flights were jointly funded by NERC and the United Nations Environment Programme: Climate and Clean Air Coalition (UNEP CCAC). We would like to give special thanks to the Airtask Ltd pilots and engineers and all staff at FAAM Airborne Laboratory for their hard work in helping plan and execute the successful MOYA project flights. This work was carried out using the computational facilities of the Advanced Computing Research Centre at the University of Bristol. We would like to thank those that have contributed to the Bristol Atmospheric Chemistry Research Group's code repository.</t>
  </si>
  <si>
    <t>10.5194/acp-22-3911-2022</t>
  </si>
  <si>
    <t>0B9TZ</t>
  </si>
  <si>
    <t>WOS:000774969500001</t>
  </si>
  <si>
    <t>Nield, GA; King, MA; Steffen, R; Blank, B</t>
  </si>
  <si>
    <t>Nield, Grace A.; King, Matt A.; Steffen, Rebekka; Blank, Bas</t>
  </si>
  <si>
    <t>A global, spherical finite-element model for post-seismic deformation using Abaqus</t>
  </si>
  <si>
    <t>GLACIAL ISOSTATIC-ADJUSTMENT; CRUSTAL DEFORMATION; UPPER-MANTLE; SEA LEVELS; RELAXATION; EARTHQUAKE; RHEOLOGY; IMPLEMENTATION; ANOMALIES; FAULTS</t>
  </si>
  <si>
    <t>We present a finite-element model of post-seismic solid Earth deformation built in the software package Abaqus (version 2018). The model is global and spherical, includes self-gravitation and is built for the purpose of calculating post-seismic deformation in the far field (&gt;similar to 300 km) of major earthquakes. An earthquake is simulated by prescribing slip on a fault plane in the mesh and the model relaxes under the resulting change in stress. Both linear Maxwell and biviscous (Burgers) rheological models have been implemented and the model can be easily adapted to include different rheological models and lateral variations in Earth structure, a particular advantage over existing models. We benchmark the model against an analytical coseismic solution and an existing open-source post-seismic model code, demonstrating good agreement for all fault geometries tested. Due to the inclusion of self-gravity, the model has the potential for predicting deformation in response to multiple sources of stress change, for example, changing ice thickness in tectonically active regions.</t>
  </si>
  <si>
    <t>[Nield, Grace A.; King, Matt A.] Univ Tasmania, Sch Geog Planning &amp; Spatial Sci, Hobart, Tas 7001, Australia; [Nield, Grace A.] Univ Durham, Dept Geog, Durham, England; [King, Matt A.] Univ Tasmania, Australian Ctr Excellence Antarctic Sci, Hobart, Tas 7001, Australia; [Steffen, Rebekka] Lantmateriet, Gavle, Sweden; [Blank, Bas] Delft Univ Technol, Fac Aerosp Engn, Delft, Netherlands</t>
  </si>
  <si>
    <t>University of Tasmania; Durham University; University of Tasmania; Delft University of Technology</t>
  </si>
  <si>
    <t>Nield, GA (corresponding author), Univ Tasmania, Sch Geog Planning &amp; Spatial Sci, Hobart, Tas 7001, Australia.;Nield, GA (corresponding author), Univ Durham, Dept Geog, Durham, England.</t>
  </si>
  <si>
    <t>grace.a.nield@durham.ac.uk</t>
  </si>
  <si>
    <t>King, Matt/B-4622-2008; Nield, Grace/I-8366-2012; Steffen, Rebekka/A-1206-2014</t>
  </si>
  <si>
    <t>King, Matt/0000-0001-5611-9498; Nield, Grace/0000-0002-3897-7904; Steffen, Rebekka/0000-0003-4739-066X</t>
  </si>
  <si>
    <t>Australian Research Council Discovery Project [DP170100224]</t>
  </si>
  <si>
    <t>Australian Research Council Discovery Project(Australian Research Council)</t>
  </si>
  <si>
    <t>Grace A. Nield and Matt A. King are supported by the Australian Research Council Discovery Project (grant no. DP170100224).</t>
  </si>
  <si>
    <t>10.5194/gmd-15-2489-2022</t>
  </si>
  <si>
    <t>0B9VV</t>
  </si>
  <si>
    <t>WOS:000774974300001</t>
  </si>
  <si>
    <t>Zhu, YG; Lin, YT; Chu, JS; Kang, B; Reygondeau, G; Zhao, QS; Zhang, ZX; Wang, YF; Cheung, WWL</t>
  </si>
  <si>
    <t>Zhu, Yugui; Lin, Yuting; Chu, Jiansong; Kang, Bin; Reygondeau, Gabriel; Zhao, Qianshuo; Zhang, Zhixin; Wang, Yunfeng; Cheung, William W. L.</t>
  </si>
  <si>
    <t>Modelling the variation of demersal fish distribution in Yellow Sea under climate change</t>
  </si>
  <si>
    <t>climate change; dynamic bioclimate envelope model; distribution shifts; relative abundance; demersal fish; Yellow Sea</t>
  </si>
  <si>
    <t>COLD-WATER MASS; BODY-SIZE; FISHERIES; UNCERTAINTIES; IMPACTS; CIRCULATION; PROJECTIONS; ASSEMBLAGE; SHRINKING; GROWTH</t>
  </si>
  <si>
    <t>Climate change can affect fish individuals or schools, and consequently the fisheries. Studying future changes of fish distribution and abundance helps the scientific management of fisheries. The dynamic bioclimate envelope model (DBEM) was used to identify the environmental preference profiles of the studied species based on outputs from three Earth system models (ESMs). Changes in ocean conditions in climate change scenarios could be transformed by the model into those in relative abundance and distribution of species. Therefore, the distributional response of 17 demersal fishes to climate change in the Yellow Sea could be projected from 1970 to 2060. Indices of latitudinal centroid (LC) and mean temperature of relative abundance (MTRA) were used to represent the results conducted by model. Results present that 17 demersal fish species in the Yellow Sea show a trend of anti-poleward shift under both low-emission scenario (RCP 2.6) and high-emission scenario (RCP 8.5) from 1970 to 2060, with the projected average LC in three ESMs shifting at a rate of -1.17 +/- 4.55 and -2.76 +/- 3.82 km/decade, respectively, which is contrary to the previous projecting studies of fishes suggesting that fishes tend to move toward higher latitudes under increased temperature scenarios. The Yellow Sea Cold Water Mass could be the major driver resulting in the shift, which shows a potential significance to fishery resources management and marine conservation, and provides a new perspective in fish migration under climate change.</t>
  </si>
  <si>
    <t>[Zhu, Yugui; Lin, Yuting; Kang, Bin] Ocean Univ China, Coll Fisheries, Minist Educ, Key Lab Mariculture, Qingdao 266003, Peoples R China; [Zhu, Yugui; Chu, Jiansong] Southern Marine Sci &amp; Engn Guangdong Lab, Guangzhou 511458, Peoples R China; [Chu, Jiansong; Zhao, Qianshuo] Ocean Univ China, Coll Marine Life Sci, Qingdao 266003, Peoples R China; [Reygondeau, Gabriel; Cheung, William W. L.] Univ British Columbia, Inst Oceans &amp; Fisheries, Changing Ocean Res Unit, Vancouver, BC V5K 0A1, Canada; [Reygondeau, Gabriel] Yale Univ, Yale Ctr Biodivers Movement &amp; Global Change, Dept Ecol &amp; Evolutionary Biol Max Planck, New Haven, CT 06501 USA; [Zhang, Zhixin] Tokyo Univ Marine Sci &amp; Technol, Grad Sch Marine Sci &amp; Technol, Minato Ku, Tokyo 1088477, Japan; [Wang, Yunfeng] Chinese Acad Sci, Inst Oceanol, Qingdao 266071, Peoples R China</t>
  </si>
  <si>
    <t>Ocean University of China; Southern Marine Science &amp; Engineering Guangdong Laboratory; Southern Marine Science &amp; Engineering Guangdong Laboratory (Guangzhou); Ocean University of China; University of British Columbia; Yale University; Tokyo University of Marine Science &amp; Technology; Chinese Academy of Sciences; Institute of Oceanology, CAS</t>
  </si>
  <si>
    <t>Chu, JS (corresponding author), Southern Marine Sci &amp; Engn Guangdong Lab, Guangzhou 511458, Peoples R China.;Chu, JS (corresponding author), Ocean Univ China, Coll Marine Life Sci, Qingdao 266003, Peoples R China.;Cheung, WWL (corresponding author), Univ British Columbia, Inst Oceans &amp; Fisheries, Changing Ocean Res Unit, Vancouver, BC V5K 0A1, Canada.</t>
  </si>
  <si>
    <t>oucjs@ouc.edu.cn; w.cheung@oceans.ubc.ca</t>
  </si>
  <si>
    <t>lin, yt/IQT-6771-2023; Lin, Yuting/HPE-4176-2023; Reygondeau, Gabriel/G-1903-2017; Cheung, William/F-5104-2013</t>
  </si>
  <si>
    <t>National Natural Science Foundation of China [42176234]; Chinese Arctic and Antarctic Creative Program [JDXT2018-01]; Key Special Project for Introduced Talents Team of Southern Marine Science and Engineering Guangdong Laboratory (Guangzhou) [GML2019ZD0402]</t>
  </si>
  <si>
    <t>National Natural Science Foundation of China(National Natural Science Foundation of China (NSFC)); Chinese Arctic and Antarctic Creative Program; Key Special Project for Introduced Talents Team of Southern Marine Science and Engineering Guangdong Laboratory (Guangzhou)</t>
  </si>
  <si>
    <t>Supported by the National Natural Science Foundation of China (No. 42176234), the Chinese Arctic and Antarctic Creative Program (No. JDXT2018-01), and the Key Special Project for Introduced Talents Team of Southern Marine Science and Engineering Guangdong Laboratory (Guangzhou) (No. GML2019ZD0402)</t>
  </si>
  <si>
    <t>10.1007/s00343-021-1126-6</t>
  </si>
  <si>
    <t>WOS:000773850200002</t>
  </si>
  <si>
    <t>Blachowiak-Samolyk, K; Bielecka, L; Trudnowska, E; Rasmus, W; Angel, M; Szymelfenig, M</t>
  </si>
  <si>
    <t>Blachowiak-Samolyk, Katarzyna; Bielecka, Luiza; Trudnowska, Emilia; Rasmus, Wioleta; Angel, Martin, V; Szymelfenig, Maria</t>
  </si>
  <si>
    <t>Drake passage-a bottleneck where spatial distribution of the planktonic Ostracoda reflects the dynamic hydrography well</t>
  </si>
  <si>
    <t>Planktonic ostracods; Hydrographical zonation; Biogeography; Indicators; Polar Front position</t>
  </si>
  <si>
    <t>ANTARCTIC CIRCUMPOLAR CURRENT; PELAGIC OSTRACODS; MCMURDO SOUND; ZOOPLANKTON COMMUNITY; ATLANTIC SECTOR; SOUTHERN-OCEAN; WATER MASSES; SEA-ICE; MYODOCOPA; MESOZOOPLANKTON</t>
  </si>
  <si>
    <t>Across the Drake Passage, planktonic ostracods are a significant component of mesozooplankton communities. Thus, the aim of this study was to investigate their composition structure and distribution within the upper 300-m layer in summer 2010. Our study revealed a complex pattern in their assemblages along the south-north transect, which strongly coincides with three distinct hydrographic regimes the transect crossed: the Antarctic Zone (AZ), the Polar Frontal Zone (PFZ), and the Subantarctic Zone (SAZ). Superimposed on this hydrographic zonation was a northward gradient in increasing ostracod abundance. The overall species number was low-just 12 species-but the composition of ostracod assemblages reflected the origin of the water masses well, since the numerically dominant species in the three hydrographic zones were: Alacia hettacra, in the AZ; Discoconchoecia elegans, in the PFZ; and Pseudoconchoecia serrulata, in the SAZ. Although the Passage acts as a physical bottleneck, diverting typically Antarctic waters further north than in other sectors of the Southern Ocean (SO), the distributional ranges of Conchoecia magna, Obtusoecia antarctica, and P. serrulata were observed further south than had previously been reported. A possible explanation for this shift is that the Polar Front position is located further south than in the other Atlantic part of the SO. It is also likely that, in such a narrow passage containing pelagic fauna of various hydrographical zones, even subtle shifts in distribution, including changes in climate, will be observed at first; therefore, our data might constitute important reference material for tracking further zooplankton biogeography in Antarctic waters.</t>
  </si>
  <si>
    <t>[Blachowiak-Samolyk, Katarzyna; Trudnowska, Emilia] Polish Acad Sci, Inst Oceanol, Marine Ecol Dept, Pelag Biocenosis Functioning Lab, Powstancow Warszawy 55, PL-81712 Sopot, Poland; [Bielecka, Luiza; Rasmus, Wioleta] Univ Gdansk, Fac Oceanog &amp; Geog, Inst Oceanog, Dept Marine Ecosyst Functioning, Al Marszalka Pilsudskiego 46, PL-81378 Gdynia, Poland; [Angel, Martin, V] Nat Hist Museum, Zool Dept, Cromwell Rd, London SW7 5BD, England; [Szymelfenig, Maria] Univ Gdansk, Fac Oceanog &amp; Geog, Inst Oceanog, Dept Phys Oceanog, Al Marszalka Pilsudskiego 46, PL-81378 Gdynia, Poland</t>
  </si>
  <si>
    <t>Polish Academy of Sciences; Institute of Oceanology of the Polish Academy of Sciences; Fahrenheit Universities; University of Gdansk; Natural History Museum London; Fahrenheit Universities; University of Gdansk</t>
  </si>
  <si>
    <t>Blachowiak-Samolyk, K (corresponding author), Polish Acad Sci, Inst Oceanol, Marine Ecol Dept, Pelag Biocenosis Functioning Lab, Powstancow Warszawy 55, PL-81712 Sopot, Poland.</t>
  </si>
  <si>
    <t>kasiab@iopan.pl</t>
  </si>
  <si>
    <t>Bielecka, Luiza/0000-0002-1162-9272; Blachowiak-Samolyk, Katarzyna/0000-0001-8076-2168</t>
  </si>
  <si>
    <t>Ministry of Science and Higher Education (Poland) [N306 445 638]; Shirshov Institute of Oceanology of the Russian Academy of Sciences; Centre for Polar Studies, KNOW-Leading National Research Centre, Poland; SEAPOP II Project [3605/SEAPOP/2016/2]</t>
  </si>
  <si>
    <t>Ministry of Science and Higher Education (Poland)(Ministry of Science and Higher Education, Poland); Shirshov Institute of Oceanology of the Russian Academy of Sciences(Russian Academy of Sciences); Centre for Polar Studies, KNOW-Leading National Research Centre, Poland; SEAPOP II Project</t>
  </si>
  <si>
    <t>This study has been supported by the research grant no. N306 445 638 (2010-2012) awarded to Institute of Oceanography (University of Gdansk) by Ministry of Science and Higher Education (Poland), and with technical and scientific cooperation with the Shirshov Institute of Oceanology of the Russian Academy of Sciences. The research was a part of a larger project entitled Program of comprehensive research of the South Ocean, including Drake Passage (Federal program World ocean, subprogram Meridian). Additionally, this study has been supported by the Centre for Polar Studies, KNOW-Leading National Research Centre, Poland and SEAPOP II Project (3605/SEAPOP/2016/2) in years 2016-2022. Special thanks to Dr S. A. Shchuka and Dr S. V. Gladyshev from the P. P. Shirshov Institute of Oceanology (Russian Academy of Sciences, Moscow) for technical support during the cruise and providing hydrological data. We would also like to thank Dr. Anna Panasiuk and Prof. Maciej Wolowicz for their help in collection of samples. We would like to acknowledge very helpful comments of the two experts who reviewed our manuscript: the first anonymous and the second Jury Rudyakov. Last but not least, credit goes to Emily Chen for proofreading the final version of the text.</t>
  </si>
  <si>
    <t>10.1007/s00300-022-03029-0</t>
  </si>
  <si>
    <t>WOS:000773166800001</t>
  </si>
  <si>
    <t>Bridges, AEH; Barnes, DKA; Bell, JB; Ross, RE; Howell, KL</t>
  </si>
  <si>
    <t>Bridges, Amelia E. H.; Barnes, David K. A.; Bell, James B.; Ross, Rebecca E.; Howell, Kerry L.</t>
  </si>
  <si>
    <t>Depth and latitudinal gradients of diversity in seamount benthic communities</t>
  </si>
  <si>
    <t>deep-sea ecology; diversity gradient; South Atlantic; spatial ecology</t>
  </si>
  <si>
    <t>DEEP-SEA; SPECIES-DIVERSITY; CLASSIFICATION SCHEME; BATHYMETRIC PATTERNS; MAXIMUM-LIKELIHOOD; PORCUPINE SEABIGHT; CONTINENTAL-SLOPE; BETA-DIVERSITY; ABYSSAL-PLAIN; FAUNAL CHANGE</t>
  </si>
  <si>
    <t>Aim Latitudinal and bathymetric species diversity gradients in the deep sea have been identified, but studies have rarely considered these gradients across hard substratum habitats, such as seamount and oceanic island margins. This study aimed to identify whether the current understanding of latitudinal and bathymetric gradients in alpha-diversity (species richness) apply to seamount ecosystems, as well as ascertaining whether identifiable trends were present in seamount beta-diversity along a bathymetric gradient. Location Exclusive Economic Zones of Saint Helena, Ascension Island and Tristan da Cunha, spanning 8-40 degrees S in the South Atlantic. Taxon Seamount megabenthic communities. Methods Images from 39 transects, collected between 250 and 950 m, were used to characterise species richness. We subsequently applied general linear models to test possible environmental drivers across latitudinal and bathymetric ranges. Regression models were employed to investigate the beta-diversity gradient of species turnover with depth. Results Transects in temperate latitude had significantly higher species richness than those in the tropics. Surface primary productivity and substrate hardness both had significant positive effects on species richness, and a weak relationship between temperature and species richness was observed. No significant relationship between species richness and depth was detected, but there was significant species turnover with depth. Main conclusions Seamounts and oceanic islands do not conform to established depth-diversity relationships within the depth range studied. However, seamounts and oceanic islands in the South Atlantic do appear to follow a parabolic latitudinal diversity gradient, closely associated with higher productivity in temperate regions.</t>
  </si>
  <si>
    <t>[Bridges, Amelia E. H.; Howell, Kerry L.] Univ Plymouth, Sch Biol &amp; Marine Sci, Plymouth, Devon, England; [Bridges, Amelia E. H.; Barnes, David K. A.] NERC, British Antarctic Survey, Cambridge, England; [Bridges, Amelia E. H.; Bell, James B.] Ctr Environm Fisheries &amp; Aquaculture Sci, Lowestoft, Suffolk, England; [Ross, Rebecca E.] Inst Marine Res IMR, Benth Communities &amp; Coastal Interact Res Grp, Bergen, Norway</t>
  </si>
  <si>
    <t>University of Plymouth; UK Research &amp; Innovation (UKRI); Natural Environment Research Council (NERC); NERC British Antarctic Survey; Centre for Environment Fisheries &amp; Aquaculture Science; Institute of Marine Research - Norway</t>
  </si>
  <si>
    <t>Bridges, AEH (corresponding author), Univ Plymouth, Sch Biol &amp; Marine Sci, Plymouth, Devon, England.;Bridges, AEH (corresponding author), Ctr Environm Fisheries &amp; Aquaculture Sci, Lowestoft, Suffolk, England.</t>
  </si>
  <si>
    <t>amelia.bridges@plymouth.ac.uk</t>
  </si>
  <si>
    <t>Ross, Rebecca E./AAQ-6980-2020; Howell, Kerry L/H-5044-2013</t>
  </si>
  <si>
    <t>Ross, Rebecca E./0000-0002-5395-1219; Bridges, Amelia/0000-0002-1422-9637; Barnes, David/0000-0002-9076-7867</t>
  </si>
  <si>
    <t>Centre for Environment, Fisheries and Aquaculture Science; Plymouth University; British Antarctic Survey; Foreign and Commonwealth Office</t>
  </si>
  <si>
    <t>British Antarctic Survey; Centre for Environment, Fisheries and Aquaculture Science; Foreign and Commonwealth Office; Plymouth University</t>
  </si>
  <si>
    <t>10.1111/jbi.14355</t>
  </si>
  <si>
    <t>WOS:000772737100001</t>
  </si>
  <si>
    <t>Marshall, IR; Brauer, CJ; Wedderburn, SD; Whiterod, NS; Hammer, MP; Barnes, TC; Attard, CRM; Möller, LM; Beheregaray, LB</t>
  </si>
  <si>
    <t>Marshall, Imogen R.; Brauer, Chris J.; Wedderburn, Scotte D.; Whiterod, Nick S.; Hammer, Michael P.; Barnes, Thomas C.; Attard, Catherine R. M.; Moeller, Luciana M.; Beheregaray, Luciano B.</t>
  </si>
  <si>
    <t>Longitudinal monitoring of neutral and adaptive genomic diversity in a reintroduction</t>
  </si>
  <si>
    <t>adaptive genetic diversity; Australian fish; conservation genomics; ex-situ population management; population genomics; Murray-Darling Basin; Percichthyidae; restoration threatened species; Cuenca Murray-Darling; diversidad genetica adaptativa; especie amenazada; gestion poblacional ex situ; genomica de la conservacion; genomica de la restauracion; peces australianos; Percichthyidae</t>
  </si>
  <si>
    <t>FRESH-WATER FISH; MURRAY-DARLING BASIN; SOUTHERN PYGMY PERCH; GENETIC DIVERSITY; POPULATION GENOMICS; TIME-SERIES; R-PACKAGE; CONSERVATION; ADAPTATION; SIZE</t>
  </si>
  <si>
    <t>Restoration programs in the form of ex-situ breeding combined with reintroductions are becoming critical to counteract demographic declines and species losses. Such programs are increasingly using genetic management to improve conservation outcomes. However, the lack of long-term monitoring of genetic indicators following reintroduction prevents assessments of the trajectory and persistence of reintroduced populations. We carried out an extensive monitoring program in the wild for a threatened small-bodied fish (southern pygmy perch, Nannoperca australis) to assess the long-term genomic effects of its captive breeding and reintroduction. The species was rescued prior to its extirpation from the terminal lakes of Australia's Murray-Darling Basin, and then used for genetically informed captive breeding and reintroductions. Subsequent annual or biannual monitoring of abundance, fitness, and occupancy over a period of 11 years, combined with postreintroduction genetic sampling, revealed survival and recruitment of reintroduced fish. Genomic analyses based on data from the original wild rescued, captive born, and reintroduced cohorts revealed low inbreeding and strong maintenance of neutral and candidate adaptive genomic diversity across multiple generations. An increasing trend in the effective population size of the reintroduced population was consistent with field monitoring data in demonstrating successful re-establishment of the species. This provides a rare empirical example that the adaptive potential of a locally extinct population can be maintained during genetically informed ex-situ conservation breeding and reintroduction into the wild. Strategies to improve biodiversity restoration via ex-situ conservation should include genetic-based captive breeding and longitudinal monitoring of standing genomic variation in reintroduced populations.</t>
  </si>
  <si>
    <t>[Marshall, Imogen R.; Brauer, Chris J.; Attard, Catherine R. M.; Moeller, Luciana M.; Beheregaray, Luciano B.] Flinders Univ S Australia, Coll Sci &amp; Engn, Mol Ecol Lab, Adelaide, SA 5001, Australia; [Wedderburn, Scotte D.] Univ Adelaide, Sch Biol Sci, Adelaide, SA, Australia; [Whiterod, Nick S.] Aquasave Nat Glenelg Trust, Victor Harbor, SA, Australia; [Hammer, Michael P.] Museum &amp; Art Gallery Northern Terr, Nat Sci, Darwin, NT, Australia; [Barnes, Thomas C.] Port Stephens Fisheries Inst, New South Wales Dept Primary Ind, Nelson Bay, NSW, Australia; [Barnes, Thomas C.] Univ Tasmania, Inst Marine &amp; Antarctic Studies, Hobart, Tas, Australia</t>
  </si>
  <si>
    <t>Flinders University South Australia; University of Adelaide; NSW Department of Primary Industries; University of Tasmania</t>
  </si>
  <si>
    <t>Beheregaray, LB (corresponding author), Flinders Univ S Australia, Coll Sci &amp; Engn, Mol Ecol Lab, Adelaide, SA 5001, Australia.</t>
  </si>
  <si>
    <t>Luciano.Beheregaray@flinders.edu.au</t>
  </si>
  <si>
    <t>Beheregaray, Luciano/A-8621-2008; Möller, Luciana M/A-6030-2008; Brauer, Chris/KBA-0970-2024</t>
  </si>
  <si>
    <t>Beheregaray, Luciano/0000-0003-0944-3003; Barnes, Thomas C./0000-0003-1493-1407; Moller, Luciana/0000-0002-7293-5847; Brauer, Chris/0000-0003-2968-5915; Hammer, Michael/0000-0002-0981-4647; Whiterod, Nick/0000-0002-7356-9834</t>
  </si>
  <si>
    <t>Australian Research Council [FT130101068, LP100200409, DP190102533]; Australian Research Council [LP100200409] Funding Source: Australian Research Council</t>
  </si>
  <si>
    <t>Australian Research Council, Grant/Award Numbers: FT130101068, LP100200409, DP190102533</t>
  </si>
  <si>
    <t>e13889</t>
  </si>
  <si>
    <t>10.1111/cobi.13889</t>
  </si>
  <si>
    <t>WOS:000778046000001</t>
  </si>
  <si>
    <t>Matias, RS; Guímaro, HR; Bustamante, P; Seco, J; Chipev, N; Fragao, J; Tavares, S; Ceia, FR; Pereira, ME; Barbosa, A; Xavier, JC</t>
  </si>
  <si>
    <t>Matias, Ricardo S.; Guimaro, Hugo R.; Bustamante, Paco; Seco, Jose; Chipev, Nesho; Fragao, Joana; Tavares, Silvia; Ceia, Filipe R.; Pereira, Maria E.; Barbosa, Andres; Xavier, Jose C.</t>
  </si>
  <si>
    <t>Mercury biomagnification in an Antarctic food web of the Antarctic Peninsula</t>
  </si>
  <si>
    <t>Trophodynamics; Trace metals; Stable isotopes; Livingston Island; Trophic magnification factors; Southern Ocean</t>
  </si>
  <si>
    <t>STABLE-ISOTOPES; ADMIRALTY BAY; PENGUINS; PREDATORS; PATTERNS; CONTAMINATION; CONSISTENCY; DEPOSITION; FEATHERS; IMPACTS</t>
  </si>
  <si>
    <t>Under the climate change context, warming Southern Ocean waters may allow mercury (Hg) to become more bioavailable to the Antarctic marine food web (i.e., ice-stored Hg release and higher methylation rates by mi-croorganisms), whose biomagnification processes are poorly documented. Biomagnification of Hg in the food web of the Antarctic Peninsula, one of the world's fastest-warming regions, was examined using carbon (delta C-13) and nitrogen (delta N-15) stable isotope ratios for estimating feeding habitat and trophic levels, respectively. The stable isotope signatures and total Hg (T-Hg) concentrations were measured in Antarctic krill Euphausia superba and several Antarctic predator species, including seabirds (gentoo penguins Pygoscelis papua, chinstrap penguins Pygoscelis antarcticus, brown skuas Stercorarius antarcticus, kelp gulls Larus dominicanus, southern giant petrels Macronectes giganteus) and marine mammals (southern elephant seals Mirounga leonina). Significant differences in delta C-13 values among species were noted with a great overlap between seabird species and M. leonina. As expected, significant differences in delta N-15 values among species were found due to interspecific variations in diet-related to their trophic position within the marine food web. The lowest Hg concentrations were registered in E. superba (0.007 +/- 0.008 mu g g(-1)) and the highest values in M. giganteus (12.090 +/- 14.177 mu g g(-1)). Additionally, a significant positive relationship was found between Hg concentrations and trophic levels (reflected by delta N-15 values), biomagnifying nearly 2 times its concentrations at each level. Our results support that trophic interaction is the major pathway for Hg biomagnification in Southern Ocean ecosystems and warn about an increase in the effects of Hg on long-lived (and high trophic level) Antarctic predators under climate change in the future.</t>
  </si>
  <si>
    <t>[Matias, Ricardo S.; Guimaro, Hugo R.; Seco, Jose; Fragao, Joana; Ceia, Filipe R.; Xavier, Jose C.] Univ Coimbra, Mare Marine &amp; Environm Sci Ctr, Dept Life Sci, P-3000456 Coimbra, Portugal; [Bustamante, Paco] La Rochelle Univ, UMR 7266 CNRS, Littoral Environm &amp; Soc LIENSs, 2 Rue Olympe de Gouges, F-17000 La Rochelle, France; [Bustamante, Paco] Inst Univ France IUF, 1 Rue Descartes, F-75005 Paris, France; [Seco, Jose; Pereira, Maria E.] Univ Aveiro, Dept Chem, Campus Univ Santiago, P-3810193 Aveiro, Portugal; [Seco, Jose; Pereira, Maria E.] Univ Aveiro, CESAM REQUIMTE, Campus Univ Santiago, P-3810193 Aveiro, Portugal; [Seco, Jose] Univ St Andrews, Sch Biol, St Andrews KY16 9ST, Fife, Scotland; [Seco, Jose] Univ Sch Vasco da Gama EUVG, CIVG Vasco da Gama Res Ctr, P-3020210 Coimbra, Portugal; [Chipev, Nesho] Bulgarian Acad Sci, Cent Lab Gen Ecol, 2 Yurii Gagarin St, Sofia 1113, Bulgaria; [Tavares, Silvia] Univ Coimbra, CFE Ctr Funct Ecol, Dept Life Sci, POB 3046, P-3001401 Coimbra, Portugal; [Barbosa, Andres] CSIC, Dept Ecol Evolut, Museo Nacl Ciencias Nat, Madrid 28006, Spain; [Xavier, Jose C.] British Antarctic Survey, Nat Environm Res Council, Madingley Rd, Cambridge CB3 0ET, England</t>
  </si>
  <si>
    <t>Universidade de Coimbra; Centre National de la Recherche Scientifique (CNRS); CNRS - Institute of Ecology &amp; Environment (INEE); Institut Universitaire de France; Universidade de Aveiro; Universidade de Aveiro; University of St Andrews; Bulgarian Academy of Sciences; Universidade de Coimbra; Consejo Superior de Investigaciones Cientificas (CSIC); CSIC - Museo Nacional de Ciencias Naturales (MNCN); UK Research &amp; Innovation (UKRI); Natural Environment Research Council (NERC); NERC British Antarctic Survey</t>
  </si>
  <si>
    <t>Matias, RS (corresponding author), Univ Coimbra, Mare Marine &amp; Environm Sci Ctr, Dept Life Sci, P-3000456 Coimbra, Portugal.</t>
  </si>
  <si>
    <t>ricardomatias.bio@gmail.com</t>
  </si>
  <si>
    <t>Xavier, José/KFB-6739-2024; Guímaro, Hugo/JNE-7768-2023; Ceia, Filipe R./A-2196-2012; Bustamante, Paco/G-5833-2011; Tavares, Sílvia/M-5198-2013; Matias, Ricardo/JNS-8750-2023</t>
  </si>
  <si>
    <t>Ceia, Filipe R./0000-0002-5470-5183; Bustamante, Paco/0000-0003-3877-9390; Matias, Ricardo/0000-0002-3236-1551; Guimaro, Hugo/0000-0002-9418-3439; Fragao, Joana/0000-0003-3368-5002; /0000-0002-9621-6660; Seco, Jose/0000-0002-7957-6488</t>
  </si>
  <si>
    <t>Portuguese Foundation for Science and Technology (FCT) [SFRH/BD/48908/2008, SRFH/PD/BD/113487, DL57/2016, DL57/2016/CP1370/CT90]; European Social Fund [UIDB/704292/2020]; Portuguese Gov-ernment National Funds; FCT; SCAR AnT-ERA; Institut Universitaire de France (IUF); Fundação para a Ciência e a Tecnologia [SFRH/BD/48908/2008] Funding Source: FCT</t>
  </si>
  <si>
    <t>Portuguese Foundation for Science and Technology (FCT)(Fundacao para a Ciencia e a Tecnologia (FCT)); European Social Fund(European Social Fund (ESF)); Portuguese Gov-ernment National Funds; FCT(Fundacao para a Ciencia e a Tecnologia (FCT)); SCAR AnT-ERA; Institut Universitaire de France (IUF); Fundação para a Ciência e a Tecnologia(Fundacao para a Ciencia e a Tecnologia (FCT))</t>
  </si>
  <si>
    <t>&amp; nbsp;This study was supported by the Portuguese Foundation for Science and Technology (FCT) through a PhD grant to S. Tavares (SFRH/BD/48908/2008) and to Jose &amp; nbsp;Seco (SRFH/PD/BD/113487) , and to thetransitory norm contract DL57/2016 to F. R. Ceia (DL57/2016/CP1370/CT90) , co-founded by the European Social Fund and Portuguese Gov-ernment National Funds. Moreover, this study benefited from the stra-tegic program of Marine and Environmental Sciences Centre (MARE) , financed by the FCT (UIDB/704292/2020) . This paper represents a contribution to the Portuguese Polar Program PROPOLAR, ICED, SCAR EGBAMM and SCAR AnT-ERA, along with the Bulgarian and Spanish Antarctic Programmes. A special thank you to Dr. Dragomir Mateev and colleagues for the logistical support during fieldwork. We also thank the Institut Universitaire de France (IUF) for its support to P. Bustamante as a Senior Member.</t>
  </si>
  <si>
    <t>10.1016/j.envpol.2022.119199</t>
  </si>
  <si>
    <t>0Z8OV</t>
  </si>
  <si>
    <t>WOS:000791331800004</t>
  </si>
  <si>
    <t>Carvalho, ADD; Kerr, R; Tavano, VM; Mendes, CRB</t>
  </si>
  <si>
    <t>de Oliveira Carvalho, Andrea da Consolacao; Kerr, Rodrigo; Tavano, Virginia Maria; Mendes, Carlos Rafael B.</t>
  </si>
  <si>
    <t>The southwestern South Atlantic continental shelf biogeochemical divide</t>
  </si>
  <si>
    <t>Sea-air CO2 fluxes; Coastal marine carbon cycle; Phytoplankton groups; HPLC-CHEMTAX; South Brazilian shelves; Patagonian shelf break</t>
  </si>
  <si>
    <t>AIR CO2 FLUXES; COASTAL OCEAN; MARINE-PHYTOPLANKTON; SUBTROPICAL ATLANTIC; MALVINAS CURRENTS; PATAGONIAN SEA; CARBON-DIOXIDE; ARGENTINE SEA; WATER MASSES; BRAZIL</t>
  </si>
  <si>
    <t>The structure of the phytoplankton community is strongly influenced by environmental variables linked with variations in sea-air CO2 net fluxes (FCO2). However, compared to physical parameters, the relationship between phytoplankton and CO2 dynamics has been largely unexplored. The complex interplay between CO2 uptake by the coastal ocean and the dominance of different phytoplankton groups was investigated in the southwestern South Atlantic Ocean (20 degrees S-50 degrees S), mostly during spring. We addressed this challenge by synoptically characterizing the study region for both FCO2 and phytoplankton pigment composition. Thus, we discern the phytoplankton biomass in different groups by pigment composition information obtained through high-performance liquid chromatography (HPLC), with further determination of phytoplankton groups using the CHEMTAX approach. The effects of biology and temperature on sea surface CO2 partial pressure were evaluated, and phytoplankton groups were linked to CO2 exchanges. The results highlight the importance of biology on the modulation of FCO2 in the study region. Hence, we delimited the southwestern South Atlantic continental shelf into two distinct biogeochemical regions divided by a transitional zone (similar to 35 degrees S) according to the distribution patterns of both phytoplankton and CO2 behavior. North of 35 degrees S, higher sea surface temperature and salinity, combined with lower phytoplankton biomass, were associated with a domination of generally very small cyanobacteria and CO2-outgassing behavior. In the transitional zone (35 degrees S-40 degrees S), changes in both salinity and temperature promoted a shift in dominant phytoplankton groups and, consequently, changed the ocean surface behavior from a CO2-outgassing zone to an ingassing zone. Farther south, between 40 degrees S and 50 degrees S, the higher phytoplankton biomass produced by diatoms, associated with lower values of both sea surface temperature and salinity, was positively related to stronger CO2-uptake rates. This link between the shifts in phytoplankton community structure and CO2-uptake rates is a potential target to shed light on long-term CO2-flux modulation in the southwestern South Atlantic Ocean. Thus, the main findings here can be relevant for predicting the potential consequences of future climate-driven changes in ocean CO2 uptake, especially considering the warming ocean conditions associated with a shift toward smaller phytoplankton cells.</t>
  </si>
  <si>
    <t>[de Oliveira Carvalho, Andrea da Consolacao; Kerr, Rodrigo; Tavano, Virginia Maria; Mendes, Carlos Rafael B.] Univ Fed Rio Grande FURG, Inst Oceanog, Lab Estudos Oceanos &amp; Clima, BR-96203900 Rio Grande, RS, Brazil; [de Oliveira Carvalho, Andrea da Consolacao; Kerr, Rodrigo] Univ Fed Rio Grande FURG, Inst Oceanog, Programa Posgrad Oceanol, BR-96203900 Rio Grande, RS, Brazil; [Tavano, Virginia Maria; Mendes, Carlos Rafael B.] Univ Fed Rio Grande FURG, Inst Oceanog, Lab Fitoplancton &amp; Microorganismos Marinhos, Av Italia Km 8, BR-96203900 Rio Grande, RS, Brazil; [de Oliveira Carvalho, Andrea da Consolacao] Inst Oceanog FURG, CEOCEAN, Ave Italia Km 8 S-N,Campus Carreiros, BR-96203900 Rio Grande, RS, Brazil</t>
  </si>
  <si>
    <t>Universidade Federal do Rio Grande; Universidade Federal do Rio Grande; Universidade Federal do Rio Grande; Universidade Federal do Rio Grande</t>
  </si>
  <si>
    <t>Carvalho, ADD (corresponding author), Inst Oceanog FURG, CEOCEAN, Ave Italia Km 8 S-N,Campus Carreiros, BR-96203900 Rio Grande, RS, Brazil.</t>
  </si>
  <si>
    <t>andreacarvalho@furg.br</t>
  </si>
  <si>
    <t>Carvalho, Andrea/JGE-0813-2023; Mendes, Carlos/I-1520-2012; Kerr, Rodrigo/I-2494-2012; Tavano, Virginia/C-5241-2013</t>
  </si>
  <si>
    <t>Mendes, Carlos/0000-0001-6875-8860; Kerr, Rodrigo/0000-0002-2632-3137; Tavano, Virginia/0000-0003-0039-8111; Carvalho, Andrea/0000-0002-9159-9498</t>
  </si>
  <si>
    <t>Brazilian National Council for Scientific and Technological Development (CNPq) [558267/2009-2, 445506/2014-8, 443258/2019-8]; Foundation of Research Support to the State of Rio Grande do Sul (FAPERGS) [20752551/13-7, 19/2551-0001734-0]; Brazilian Federal Agency for Coordination of Improvement of Higher Education Personnel (CAPES) [23038.001421/2014-30]; CAPES PhD Grant [88887.569121/2020-00]; CNPq [304937/2018-5, 306899/2018-3]</t>
  </si>
  <si>
    <t>Brazilian National Council for Scientific and Technological Development (CNPq)(Conselho Nacional de Desenvolvimento Cientifico e Tecnologico (CNPQ)); Foundation of Research Support to the State of Rio Grande do Sul (FAPERGS)(Fundacao de Amparo a Ciencia e Tecnologia do Estado do Rio Grande do Sul (FAPERGS)); Brazilian Federal Agency for Coordination of Improvement of Higher Education Personnel (CAPES)(Coordenacao de Aperfeicoamento de Pessoal de Nivel Superior (CAPES)); CAPES PhD Grant(Coordenacao de Aperfeicoamento de Pessoal de Nivel Superior (CAPES)); CNPq(Conselho Nacional de Desenvolvimento Cientifico e Tecnologico (CNPQ))</t>
  </si>
  <si>
    <t>This study is part of the activities of the Brazilian High Latitude Oceanography Group (GOAL; www.goal.furg.br), the Brazilian Ocean Acidification Network (BrOA; www.broa.furg.br), and the CARBON Team (www.carbonteam.furg.br).The cruises in this study were sponsored by the Brazilian National Council for Scientific and Technological Development (CNPq Grant Nos. 558267/2009-2, 445506/2014-8, and 443258/2019-8), the Foundation of Research Support to the State of Rio Grande do Sul (FAPERGS Grant Nos. 20752551/13-7 and 19/2551-0001734-0), and the Brazilian Federal Agency for Coordination of Improvement of Higher Education Personnel (CAPES Grant No. 23038.001421/2014-30), with logistics supported by the Ministry of Science, Technology, and Innovation (MCTI); Brazilian Secretariat of the Interministerial Commission for the Sea Resources (SECIRM); Brazilian Antarctic Program (PROANTAR); and Brazilian Navy. A.C.O.C. acknowledges the CAPES PhD Grant No. 88887.569121/2020-00. R.K. and C.R.B.M acknowledge the CNPq researcher Grant Nos. 304937/2018-5 and 306899/20183, respectively. We thank CAPES for providing the resources to the Graduate Program of Oceanology and the project CAPES Print from FURG. We thank all researchers and students who were involved in the cruises for their contribution to cruise sampling and analysis. We also wish to acknowledge the invaluable support of different cruise crews for their logistical assistance and two anonymous reviewers, who helped improve the manuscript substantially.</t>
  </si>
  <si>
    <t>10.1007/s10533-022-00918-8</t>
  </si>
  <si>
    <t>1M3FZ</t>
  </si>
  <si>
    <t>WOS:000772721500001</t>
  </si>
  <si>
    <t>Brown, K; Monk, J; Williams, J; Carroll, A; Harasti, D; Barrett, N</t>
  </si>
  <si>
    <t>Brown, Kristy; Monk, Jacquomo; Williams, Joel; Carroll, Andrew; Harasti, David; Barrett, Neville</t>
  </si>
  <si>
    <t>Depth and benthic habitat influence shallow and mesophotic predatory fishes on a remote, high-latitude coral reef</t>
  </si>
  <si>
    <t>PLOS ONE</t>
  </si>
  <si>
    <t>MIDDLETON REEFS; ELIZABETH; COMMUNITIES; ECOSYSTEMS; REGRESSION; ABUNDANCE; SELECTION; PATTERNS; ISLANDS; BIOMASS</t>
  </si>
  <si>
    <t>Predatory fishes on coral reefs continue to decline globally despite playing key roles in ecosystem functioning. Remote atolls and platform reefs provide potential refugia for predator populations, but quantitative information on their spatial distribution is required to establish accurate baselines for ongoing monitoring and conservation management. Current knowledge of predatory fish populations has been derived from targeted shallow diver-based surveys (&lt; 15 m). However, the spatial distribution and extent of predatory fishes on outer mesophotic shelf environments has remained under described. Middleton Reef is a remote, high-latitude, oceanic platform reef that is located within a no-take area in the Lord Howe Marine Park off eastern Australia. Here we used baited remote underwater stereo video to sample predatory fishes across lagoon and outer shelf habitats from depths 0-100 m, extending knowledge on use of mesophotic depths and habitats. Many predatory fish demonstrated clear depth and habitat associations over this depth range. Carcharhinid sharks and Carangid fishes were the most abundant predators sampled on Middleton Reef, with five predatory fishes accounting for over 90% of the predator fish biomass. Notably, Galapagos shark (Carcharhinus galapagensis) and the protected black rockcod (Epinephelus daemelii) dominated the predator fish assemblage. A higher richness of predator fish species was sampled on reef areas north and south of the lagoon. The more exposed southern aspect of the reef supported a different suite of predator fish across mesophotic habitats relative to the assemblage recorded in the north and lagoonal habitats, a pattern potentially driven by differences in hard coral cover. Biomass of predatory fishes in the more sheltered north habitats was twice that of other areas, predominantly driven by high abundances of Galapagos shark. This work adds to the growing body of literature highlighting the conservation value of isolated oceanic reefs and the need to ensure that lagoon, shallow and mesophotic habitats in these systems are adequately protected, as they support vulnerable ecologically and economically important predator fish assemblages.</t>
  </si>
  <si>
    <t>[Brown, Kristy; Monk, Jacquomo; Williams, Joel; Barrett, Neville] Univ Tasmania, Inst Marine &amp; Antarctic Studies, Hobart, Tas, Australia; [Williams, Joel; Harasti, David] NSW Dept Primary Ind, Port Stephens Fisheries Inst, Fisheries Res, Taylors Beach, NSW, Australia; [Carroll, Andrew] Geosci Australia, Canberra, ACT, Australia</t>
  </si>
  <si>
    <t>University of Tasmania; NSW Department of Primary Industries; Geoscience Australia</t>
  </si>
  <si>
    <t>Monk, J (corresponding author), Univ Tasmania, Inst Marine &amp; Antarctic Studies, Hobart, Tas, Australia.</t>
  </si>
  <si>
    <t>jacquomo.monk@utas.edu.au</t>
  </si>
  <si>
    <t>Barrett, Neville/0000-0002-6167-1356; Williams, Joel/0000-0002-4173-3855</t>
  </si>
  <si>
    <t>Australian Government's National Environmental Science Program (NESP); Parks Australia</t>
  </si>
  <si>
    <t>Australian Government's National Environmental Science Program (NESP)(Australian Government); Parks Australia</t>
  </si>
  <si>
    <t>This work was funded through the Australian Government's National Environmental Science Program (NESP) and Parks Australia.</t>
  </si>
  <si>
    <t>1932-6203</t>
  </si>
  <si>
    <t>PLoS One</t>
  </si>
  <si>
    <t>MAR 24</t>
  </si>
  <si>
    <t>e0265067</t>
  </si>
  <si>
    <t>10.1371/journal.pone.0265067</t>
  </si>
  <si>
    <t>0K7DW</t>
  </si>
  <si>
    <t>WOS:000780951300029</t>
  </si>
  <si>
    <t>Cao, L; Fan, LJ; Li, SM; Yang, SY</t>
  </si>
  <si>
    <t>Cao, Le; Fan, Linjie; Li, Simeng; Yang, Shuangyan</t>
  </si>
  <si>
    <t>Influence of total ozone column (TOC) on the occurrence of tropospheric ozone depletion events (ODEs) in the Antarctic</t>
  </si>
  <si>
    <t>ABSORPTION CROSS-SECTIONS; BOUNDARY-LAYER; ATMOSPHERIC CHEMISTRY; SEA-ICE; SNOW; BRO; MODEL; METEOROLOGY; MECHANISMS; RADICALS</t>
  </si>
  <si>
    <t>The occurrence of tropospheric ozone depletion events (ODEs) in the Antarctic can be influenced by many factors, such as the total ozone column (TOC). In this study, we analyzed the observational data obtained from ground observation stations and used two numerical models (TUV and KINAL), to discover the relationship between the TOC and the occurrence of ODEs in the Antarctic. A sensitivity analysis was also performed on ozone and major bromine species (BrO, HOBr and HBr) to find out key photolysis reactions determining the impact on the occurrence of tropospheric ODEs brought by TOC. From the analysis of the observational data and the numerical results, we suggest that the occurrence frequency of ODEs in the Antarctic is negatively associated with TOC, after screening out the impact on ODEs caused by the solar zenith angle (SZA). This negative impact of TOC on the occurrence of ODEs was suggested to be exerted through altering the solar radiation reaching the ground surface and changing the rates of photolysis reactions. Moreover, major ODE accelerating reactions (i.e., photolysis of tropospheric ozone, H2O2 and HCHO) and decelerating reactions (i.e., photolysis of BrO and HOBr), which heavily control the start of ODEs, were also identified. We found that when TOC decreases, the major ODE accelerating reactions significantly speed up. In contrast, the major ODE decelerating reactions are only slightly affected. As a result of the different impacts of TOC on photolysis reactions, the occurrence of ODEs depends negatively on TOC.</t>
  </si>
  <si>
    <t>[Cao, Le; Fan, Linjie; Li, Simeng] Nanjing Univ Informat Sci &amp; Technol, Key Lab Aerosol Cloud Precipitat, China Meteorol Adm, Nanjing 210044, Peoples R China; [Fan, Linjie; Yang, Shuangyan] Nanjing Univ Informat Sci &amp; Technol, Key Lab Meteorol Disaster, Minist Educ KLME,Collaborat Innovat Ctr Forecast, Joint Int Res Lab Climate &amp; Environm Change ILCEC, Nanjing 210044, Peoples R China</t>
  </si>
  <si>
    <t>China Meteorological Administration; Nanjing University of Information Science &amp; Technology; Nanjing University of Information Science &amp; Technology</t>
  </si>
  <si>
    <t>Cao, L; Fan, LJ (corresponding author), Nanjing Univ Informat Sci &amp; Technol, Key Lab Aerosol Cloud Precipitat, China Meteorol Adm, Nanjing 210044, Peoples R China.;Fan, LJ (corresponding author), Nanjing Univ Informat Sci &amp; Technol, Key Lab Meteorol Disaster, Minist Educ KLME,Collaborat Innovat Ctr Forecast, Joint Int Res Lab Climate &amp; Environm Change ILCEC, Nanjing 210044, Peoples R China.</t>
  </si>
  <si>
    <t>le.cao@nuist.edu.cn</t>
  </si>
  <si>
    <t>Cao, Le/JLM-4843-2023</t>
  </si>
  <si>
    <t>Li, Simeng/0000-0003-3750-6630</t>
  </si>
  <si>
    <t>National Natural Science Foundation of China [41705103]</t>
  </si>
  <si>
    <t>This research has been supported by the National Natural Science Foundation of China (grant no. 41705103).</t>
  </si>
  <si>
    <t>10.5194/acp-22-3875-2022</t>
  </si>
  <si>
    <t>0B3VJ</t>
  </si>
  <si>
    <t>WOS:000774566300001</t>
  </si>
  <si>
    <t>Belmonte, D; La Fortezza, M; Menescardi, F</t>
  </si>
  <si>
    <t>Belmonte, Donato; La Fortezza, Mattia; Menescardi, Francesca</t>
  </si>
  <si>
    <t>Ab initio thermal expansion and thermoelastic properties of ringwoodite (γ-Mg2SiO4) at mantle transition zone conditions</t>
  </si>
  <si>
    <t>EUROPEAN JOURNAL OF MINERALOGY</t>
  </si>
  <si>
    <t>ALPHA-BETA-GAMMA; THERMOPHYSICAL PROPERTIES; THERMODYNAMIC PROPERTIES; HIGH-PRESSURE; SEISMIC DISCONTINUITY; MG2SIO4 POLYMORPHS; PHASE-RELATIONS; MODIFIED SPINEL; X-RAY; TEMPERATURE</t>
  </si>
  <si>
    <t>Thermal convection in the Earth's mantle is driven by lateral variations in temperature and density, which are substantially controlled by the local volume thermal expansion of the constituent mineral phases. Ringwoodite is a major component of the lower mantle transition zone, but its thermal expansivity and thermoelastic properties are still affected by large uncertainties. Ambient thermal expansion coefficient (alpha v(0)), for instance, can vary as much as 100 % according to different experimental investigations available from the literature. In this work, we perform ab initio density functional theory calculations of vibrational properties of spinel-structured Mg2SiO4 ringwoodite in order to provide reliable thermophysical data up to mantle transition zone conditions. Temperature- and pressure-dependent thermal expansivity has been obtained by phonon dispersion calculations in the framework of quasi-harmonic approximation (QHA) up to 25 GPa and 2000 K. Theoretical analysis of vibrational spectra reveals that accurate prediction of IR and silent modes, along with their relative mode Grfineisen parameters, is crucial to define thermal expansivity. A six-parameter analytical function is able to reproduce ab initio values fairly well in the whole investigated P-T range, i.e., alpha v (P, T) = (1.6033 x 10(-5) +8.839 x 10(-9) T +11.586 x 10(-3) T-1 - 6.055T(-2) +804.31T(-3)) x exp(-2.52 x 10(-2) P), with temperature in kelvin and pressure in gigapascal. Ab initio static and isothermal bulk moduli have been derived for ringwoodite along with their P, T and cross derivatives, i.e., K-0 = 184.3 GPa, K-T,K-300K= 176.6 GPa, K-0'= 4.13, K-T,K-300K' = 4.16, (partial derivative K-T/partial derivative T)(P) = -0.0233 GPa K-1 and (partial derivative K-2(T)/partial derivative P partial derivative T)(0) = 1.0 x 10(-4) K-1. Computed thermal expansivity and thermoelastic properties support the evidence that QHA performs remarkably well for Mg2SiO4 ringwoodite up to mantle transition zone temperatures. Since volume thermal expansion of ringwoodite is strongly pressure-dependent and its pressure dependence becomes more marked with the increasing temperature, internally consistent assessments and empirical extrapolation of thermoelastic data to deep mantle conditions should be taken with care to avoid inaccurate or spurious predictions in phase equilibrium and mantle convection numerical modeling.</t>
  </si>
  <si>
    <t>[Belmonte, Donato; La Fortezza, Mattia; Menescardi, Francesca] Univ Genoa, DISTAV, I-16132 Genoa, Italy; [Belmonte, Donato] Univ Genoa, Sect Genoa, Italian Natl Antarctic Museum MNA, I-16132 Genoa, Italy</t>
  </si>
  <si>
    <t>University of Genoa; University of Genoa</t>
  </si>
  <si>
    <t>Belmonte, D (corresponding author), Univ Genoa, DISTAV, I-16132 Genoa, Italy.;Belmonte, D (corresponding author), Univ Genoa, Sect Genoa, Italian Natl Antarctic Museum MNA, I-16132 Genoa, Italy.</t>
  </si>
  <si>
    <t>donato.belmonte@unige.it</t>
  </si>
  <si>
    <t>Menescardi, Francesca/0000-0002-5916-8727; BELMONTE, DONATO/0000-0002-6560-0248</t>
  </si>
  <si>
    <t>Ministero dell'Istruzione, dell'Universita e della Ricerca; MIUR PRIN [2017KY5ZX8]</t>
  </si>
  <si>
    <t>Ministero dell'Istruzione, dell'Universita e della Ricerca(Ministry of Education, Universities and Research (MIUR)); MIUR PRIN(Ministry of Education, Universities and Research (MIUR)Research Projects of National Relevance (PRIN))</t>
  </si>
  <si>
    <t>This research has been supported by the Ministero dell'Istruzione, dell'Universita e della Ricerca (grant no. MIUR PRIN 2017 - project 2017KY5ZX8).</t>
  </si>
  <si>
    <t>0935-1221</t>
  </si>
  <si>
    <t>1617-4011</t>
  </si>
  <si>
    <t>EUR J MINERAL</t>
  </si>
  <si>
    <t>Eur. J. Mineral.</t>
  </si>
  <si>
    <t>10.5194/ejm-34-167-2022</t>
  </si>
  <si>
    <t>Mineralogy</t>
  </si>
  <si>
    <t>0B3QU</t>
  </si>
  <si>
    <t>WOS:000774554300001</t>
  </si>
  <si>
    <t>Elliot, DH; Collinson, JW</t>
  </si>
  <si>
    <t>Elliot, David H.; Collinson, James W.</t>
  </si>
  <si>
    <t>Schroeder Hill, central Transantarctic Mountains, Antarctica: Triassic stratigraphy and Sirius Group glacigenic deposits</t>
  </si>
  <si>
    <t>Cenozoic; Falla; Fremouw; Shackleton Glacier; structure</t>
  </si>
  <si>
    <t>BEACON SUPERGROUP</t>
  </si>
  <si>
    <t>The geology of the Schroeder Hill region near the head of the Shackleton Glacier, central Transantarctic Mountains, consists of Triassic Fremouw Formation and overlying Falla Formation strata intruded by Jurassic Ferrar Dolerite sills. At 'Alfie's Elbow', south-east of Schroeder Hill, upper Fremouw strata are overlain by Upper Cenozoic Sirius Group deposits. These upper Fremouw beds differ from all other examined upper Fremouw strata in the Shackleton Glacier region in being carbonaceous. Quartz-pebble conglomerate characterizes the basal Falla beds, emphasizing a change in provenance. Sirius Group beds occur as a stratigraphic succession draped on modern topography and as structureless sand wedged in modern microtopography. Fremouw beds locally are arched with the fold axis approximately parallel to regional normal faulting related to the uplift and formation of the Transantarctic Mountains.</t>
  </si>
  <si>
    <t>[Elliot, David H.] Ohio State Univ, Byrd Polar &amp; Climate Res Ctr, Columbus, OH 43214 USA; Ohio State Univ, Sch Earth Sci, Columbus, OH 43214 USA</t>
  </si>
  <si>
    <t>University System of Ohio; Ohio State University; University System of Ohio; Ohio State University</t>
  </si>
  <si>
    <t>Elliot, DH (corresponding author), Ohio State Univ, Byrd Polar &amp; Climate Res Ctr, Columbus, OH 43214 USA.</t>
  </si>
  <si>
    <t>elliot.l@osu.edu</t>
  </si>
  <si>
    <t>Office of Polar Programs, National Science Foundation [GA-26652, OPP 94-20498, OPP 93-15826]</t>
  </si>
  <si>
    <t>Office of Polar Programs, National Science Foundation(National Science Foundation (NSF))</t>
  </si>
  <si>
    <t>The fieldwork on which this paper is based was conducted principally in the 1970-1971 and 1995-1996 field seasons. Support was provided by the Office of Polar Programs, National Science Foundation (principally NSF grants GA-26652 and OPP 94-20498 to DHE and OPP 93-15826 to W.R. Hammer for JWC). We thank Peter Barrett and Paul Fitzgerald for careful reviews, which have improved the manuscript. This is Byrd Polar and Climate Research Center contribution number C-1613.</t>
  </si>
  <si>
    <t>PII S0954102022000013</t>
  </si>
  <si>
    <t>10.1017/S0954102022000013</t>
  </si>
  <si>
    <t>WOS:000772681300001</t>
  </si>
  <si>
    <t>Rendoll-Cárcamo, J; Convey, P; Gañán, M; Maldonado-Márquez, A; Zúñiga, LM; Contador, T</t>
  </si>
  <si>
    <t>Rendoll-Carcamo, Javier; Convey, Peter; Ganan, Melisa; Maldonado-Marquez, Alan; Zuniga, Luna Menares; Contador, Tamara</t>
  </si>
  <si>
    <t>Ecological features of exotic Vespula wasps (Hymenoptera: Vespidae) invading the southernmost UNESCO Biosphere Reserve</t>
  </si>
  <si>
    <t>Biosphere Reserve; Non-native; Invasive species; Sub-Antarctic; Vespula vulgaris; Vespula germanica</t>
  </si>
  <si>
    <t>COMMON WASPS; 1ST RECORD; VULGARIS; GERMANICA; INVASION</t>
  </si>
  <si>
    <t>Invasive alien species may cause substantial changes and damaging impacts. Here, we document the current distribution and ecological interactions with native biota of relatively recently introduced wasps, Vespula vulgaris and V. germanica, in the southern part of the Cape Horn Biosphere Reserve (CHBR) in southern Chile. We conducted field studies in four different habitats on Navarino Island: evergreen, deciduous and mixed forests, and shrublands. The spread of V. vulgaris throughout the island has led to it occupying suitable habitats in both urban and rural settings, while V. germanica has not been observed in the last 2 years. The presence of V. vulgaris in remote areas of the CHBR is likely the result of human-mediated movement through the channels within the reserve. The composition of foraged items was different in each of the four studied habitats, yet strongly linked to the resources of each, indicating the inherent ability of V. vulgaris to exploit available resources efficiently. V. vulgaris mainly forages berries from shrubs, and preys on a variety of arthropods, particularly hoverflies, craneflies and lepidoptera larvae. The lack of natural competitors and availability of multiple resources has allowed V. vulgaris to rapidly become a common pest in urban and rural settings in the southern extremity of South America. While we consider that eradication would now be impossible, population control at local scales may still be possible with proper planning and long-term management. Our data provide a baseline for management planning, and we strongly recommend social engagement and dialog with relevant governmental institutions to achieve this challenging task.</t>
  </si>
  <si>
    <t>[Rendoll-Carcamo, Javier; Ganan, Melisa; Maldonado-Marquez, Alan; Contador, Tamara] Univ Magallanes, Wankara Subantarct &amp; Antarctic Freshwater Ecosyst, Subantarct Biocultural Conservat Program, Teniente Munoz 166, Puerto Williams, Chile; [Rendoll-Carcamo, Javier; Ganan, Melisa; Maldonado-Marquez, Alan; Contador, Tamara] Iniciat Cient Milenio, INVASAL, Mete Milenio Salmonidos Invasores, Concepcion, Chile; [Rendoll-Carcamo, Javier; Maldonado-Marquez, Alan; Contador, Tamara] Omora Pk Field Stn, Inst Ecol &amp; Divers, Teniente Munoz 166, Puerto Williams, Chile; [Convey, Peter] NERC, British Antarctic Survey, Cambridge CB3 0ET, England; [Convey, Peter] Univ Johannesburg, Dept Zool, POB 524, ZA-2006 Auckland Pk, South Africa; [Zuniga, Luna Menares] Pontificia Univ Catolica Chile, Santiago, Chile</t>
  </si>
  <si>
    <t>Universidad de Magallanes; UK Research &amp; Innovation (UKRI); Natural Environment Research Council (NERC); NERC British Antarctic Survey; University of Johannesburg; Pontificia Universidad Catolica de Chile</t>
  </si>
  <si>
    <t>Rendoll-Cárcamo, J (corresponding author), Univ Magallanes, Wankara Subantarct &amp; Antarctic Freshwater Ecosyst, Subantarct Biocultural Conservat Program, Teniente Munoz 166, Puerto Williams, Chile.</t>
  </si>
  <si>
    <t>javier.rendoll@gmail.com</t>
  </si>
  <si>
    <t>Convey, Peter/AAV-5728-2020; Contador, Tamara/Q-1914-2018</t>
  </si>
  <si>
    <t>Convey, Peter/0000-0001-8497-9903; Contador, Tamara/0000-0002-0250-9877; Ganan Mora, Melisa/0000-0001-6411-9295; Rendoll, Javier/0000-0003-1928-0914</t>
  </si>
  <si>
    <t>National Agency for Research and Development (ANID)/ Scholarship Program/ Doctorado Becas Chile/2021 [21212048]; NERC</t>
  </si>
  <si>
    <t>National Agency for Research and Development (ANID)/ Scholarship Program/ Doctorado Becas Chile/2021; NERC(UK Research &amp; Innovation (UKRI)Natural Environment Research Council (NERC))</t>
  </si>
  <si>
    <t>We thank two anonymous reviewers for their constructive comments and suggestions. JRC is supported by the National Agency for Research and Development (ANID)/ Scholarship Program/ Doctorado Becas Chile/2021 - 21212048, and PC by NERC core funding to the BAS 'Biodiversity, Evolution and Adaptation's Team. We also thank Cristian Soto, Fernando Cardenas, Lorena Saavedra, Javiera Pineda and Lukas Quinteros for their help during fieldwork. This study is part of the initiative Niche modelling, invasion stage and habitat preferences of alien Vespula wasps (Hymenoptera: Vespidae) in Navarino island (55 degrees S), southern Chile, and a contribution of the Wankara Laboratory.</t>
  </si>
  <si>
    <t>10.1007/s10530-022-02765-y</t>
  </si>
  <si>
    <t>3D1NT</t>
  </si>
  <si>
    <t>WOS:000772726700001</t>
  </si>
  <si>
    <t>Coleine, C; Selbmann, L; Singh, BK; Delgado-Baquerizo, M</t>
  </si>
  <si>
    <t>Coleine, Claudia; Selbmann, Laura; Singh, Brajesh K.; Delgado-Baquerizo, Manuel</t>
  </si>
  <si>
    <t>The poly-extreme tolerant black yeasts are prevalent under high ultraviolet light and climatic seasonality across soils of global biomes</t>
  </si>
  <si>
    <t>MOLECULAR-IDENTIFICATION; FUNGI; RADIATION; EXTREMOTOLERANCE; DISHWASHERS; DIVERSITY; EVOLUTION; DATABASE; UNITE</t>
  </si>
  <si>
    <t>Black yeasts are among the most stress-tolerant organisms of the planet, thriving under all types of terrestrial habitats and extreme environments. Yet, their global patterns and ecology remain far less studied, limiting our capacity to identify the main environmental drivers of these important organisms across biomes. To fill this knowledge gap, we analysed topsoils from 235 terrestrial ecosystems across and within globally distributed climate groups (i.e. dry, temperate and continental). We found that soils are important repositories of black yeasts, and that ultraviolet light, fine soil texture, and precipitation seasonality are the most consistent environmental factors associated with their diversity across biomes. Finally, we identified Exophiala and Cladophialophora as the most dominant black yeasts genera in soils across the globe. These findings provide novel evidence of global distribution of black yeasts and their key environmental predictors, giving new insights for speculating the evolution and spreading of these extreme-tolerant organisms throughout both natural and human associated extreme environments.</t>
  </si>
  <si>
    <t>[Coleine, Claudia; Selbmann, Laura] Univ Tuscia, Dept Ecol &amp; Biol Sci, Viterbo, Italy; [Selbmann, Laura] Italian Antarctic Natl Museum MNA, Mycol Sect, Genoa, Italy; [Singh, Brajesh K.] Western Univ Sydney, Global Ctr Land Based Innovat, Penrith, NSW, Australia; [Singh, Brajesh K.] Western Univ Sydney, Hawkesbury Inst Environm, Penrith, NSW, Australia; [Delgado-Baquerizo, Manuel] CSIC, Lab Biodiversidad &amp; Funcionmiento Ecosistem, Inst Recursos Nat &amp; Agobiol Sevilla IRNAS, Seville, Spain; [Delgado-Baquerizo, Manuel] Univ Pablo de Olavide, Uniad Asociada CSIC UPO BioFun, Seville, Spain</t>
  </si>
  <si>
    <t>Tuscia University; Western Sydney University; Western Sydney University; Consejo Superior de Investigaciones Cientificas (CSIC); Universidad Pablo de Olavide</t>
  </si>
  <si>
    <t>Coleine, C (corresponding author), Univ Tuscia, Dept Ecol &amp; Biol Sci, Viterbo, Italy.</t>
  </si>
  <si>
    <t>Coleine, Claudia/AAE-1889-2020; Singh, Brajesh/R-6321-2019; Selbmann, Laura/L-3056-2013; Delgado-Baquerizo, Manuel/L-3653-2017; DELGADO-BAQUERIZO, MANUEL/GLS-0346-2022</t>
  </si>
  <si>
    <t>Coleine, Claudia/0000-0002-9289-6179; Singh, Brajesh/0000-0003-4413-4185; Selbmann, Laura/0000-0002-8967-3329; Delgado-Baquerizo, Manuel/0000-0002-6499-576X; DELGADO-BAQUERIZO, MANUEL/0000-0002-6499-576X</t>
  </si>
  <si>
    <t>Italian National Program for Antarctic Research (PNRA); Spanish Ministry of Science and Innovation [PID2020-115813RA-I00]; project PAIDI 2020 from the Junta de Andalucia [P20_00879]; Australian research Council [DP190103714]</t>
  </si>
  <si>
    <t>Italian National Program for Antarctic Research (PNRA); Spanish Ministry of Science and Innovation(Spanish Government); project PAIDI 2020 from the Junta de Andalucia(Junta de Andalucia); Australian research Council(Australian Research Council)</t>
  </si>
  <si>
    <t>C.C. and L.S. wish to thank the Italian National Program for Antarctic Research (PNRA) for supporting their research. M.D-B. is supported by a project from the Spanish Ministry of Science and Innovation (PID2020-115813RA-I00) and a project PAIDI 2020 from the Junta de Andalucia (P20_00879). Microbial distribution and colonization research in B.K.S. lab is funded by the Australian research Council (DP190103714).</t>
  </si>
  <si>
    <t>10.1111/1462-2920.15969</t>
  </si>
  <si>
    <t>0U9TT</t>
  </si>
  <si>
    <t>WOS:000772487000001</t>
  </si>
  <si>
    <t>Antarctic sea ice hits lowest minimum on record</t>
  </si>
  <si>
    <t>ZY5YD</t>
  </si>
  <si>
    <t>WOS:000772661800008</t>
  </si>
  <si>
    <t>Ivanets, V; Yevchun, H; Miryuta, N; Veselsky, M; Salganskiy, O; Konishchuk, V; Kozeretska, I; Dykyi, E; Parnikoza, I</t>
  </si>
  <si>
    <t>Ivanets, Viktoria; Yevchun, Hanna; Miryuta, Natalia; Veselsky, Mykola; Salganskiy, Oleksandr; Konishchuk, Vasyl; Kozeretska, Iryna; Dykyi, Evgen; Parnikoza, Ivan</t>
  </si>
  <si>
    <t>Skua and plant dispersal: lessons from the Argentine Islands - Kyiv Peninsula region in the maritime Antarctic</t>
  </si>
  <si>
    <t>NORDIC JOURNAL OF BOTANY</t>
  </si>
  <si>
    <t>Catharacta antarctica lonnbergi; Catharacta maccormicki; ornithochory; vegetation</t>
  </si>
  <si>
    <t>KELP GULL; DESCHAMPSIA-ANTARCTICA</t>
  </si>
  <si>
    <t>Birds are one of the most likely dispersal vectors for plants in Antarctica. We studied the nesting behavior of south polar skua Catharacta maccormicki and brown skua Catharacta antarctica lonnbergi to assess their potential role in ornithochory in the Argentine Islands - Kyiv Peninsula region. Nest samples were collected during 2009-2020 years in the Argentine Islands - Kyiv Peninsula region including all islands and coasts of the Graham Land from the Lemaire Channel to the islands of Berthelot Islands from north to south and extending from west to east from the Roca Islands, Cruls Islands, Rasmussen Point to the coast. We found that skuas utilize different nest building materials, including bryophytes, vascular plants (hairgrass Deschampsia antarctica) and lichens. In south polar skua nests, mosses and lichens dominate in the nest material; in brown skuas Deschampsia antarctica and mosses dominate. Both bird species likely collect nest components from nearby vegetation formations (&lt; 1 m distant). We conclude that C. maccormicki and C. antarctica lonnbergi are not selective in their choice of plant species, simply using the materials that dominate near the nest. Therefore, both species carry these materials from nearby sites, and only occasionally bring them from distant places. In conclusion, for both species we did not find any evidence to support their involvement in long-distance ornithochory (stomatochory) in the region.</t>
  </si>
  <si>
    <t>[Ivanets, Viktoria; Yevchun, Hanna; Miryuta, Natalia; Salganskiy, Oleksandr; Kozeretska, Iryna; Dykyi, Evgen; Parnikoza, Ivan] State Inst Natl Antarctic Sci Ctr Ukraine, Kiev, Ukraine; [Parnikoza, Ivan] NAS Ukraine, Inst Mol Biol &amp; Genet, Kiev, Ukraine; [Veselsky, Mykola] Zhytomyr Reg Museum Culture &amp; Tradit, Zhytomyr, Ukraine; [Salganskiy, Oleksandr] Natl Univ Life &amp; Environm Sci Ukraine, Kiev, Ukraine; [Konishchuk, Vasyl] Inst Agroecol &amp; Environm Management NAAS, Biodivers Conservat &amp; Nat Reserves, Kiev, Ukraine; [Yevchun, Hanna] Natl Univ Kyiv, Fac Nat Sci, Mohyla Acad, Kiev, Ukraine</t>
  </si>
  <si>
    <t>Ministry of Education &amp; Science of Ukraine; State Institution National Antarctic Scientific Center; National Academy of Sciences Ukraine; Institute of Molecular Biology &amp; Genetics of NASU; National University of Life &amp; Environmental Sciences of Ukraine; National Academy of Agrarian Sciences of Ukraine; Institute of Agroecology &amp; Environmental Management of the National Academy of Agrarian Sciences of Ukraine; Ministry of Education &amp; Science of Ukraine; National University of Kyiv Mohyla Academy</t>
  </si>
  <si>
    <t>Ivanets, V (corresponding author), State Inst Natl Antarctic Sci Ctr Ukraine, Kiev, Ukraine.</t>
  </si>
  <si>
    <t>yellowderevo@gmail.com</t>
  </si>
  <si>
    <t>Parnikoza, Ivan/I-2398-2016; Kozeretska, Iryna A/F-1383-2010</t>
  </si>
  <si>
    <t>Yevchun, Hanna/0000-0003-1356-4385; Ivanets, Viktoria/0000-0002-3264-4869</t>
  </si>
  <si>
    <t>0107-055X</t>
  </si>
  <si>
    <t>1756-1051</t>
  </si>
  <si>
    <t>NORD J BOT</t>
  </si>
  <si>
    <t>Nord. J. Bot.</t>
  </si>
  <si>
    <t>e03326</t>
  </si>
  <si>
    <t>10.1111/njb.03326</t>
  </si>
  <si>
    <t>2H8NC</t>
  </si>
  <si>
    <t>WOS:000772365200001</t>
  </si>
  <si>
    <t>Franklin, KA; Norris, K; Gill, JA; Ratcliffe, N; Bonnet-Lebrun, AS; Butler, SJ; Cole, NC; Jones, CG; Lisovski, S; Ruhomaun, K; Tatayah, V; Nicoll, MAC</t>
  </si>
  <si>
    <t>Franklin, Kirsty A.; Norris, Ken; Gill, Jennifer A.; Ratcliffe, Norman; Bonnet-Lebrun, Anne-Sophie; Butler, Simon J.; Cole, Nik C.; Jones, Carl G.; Lisovski, Simeon; Ruhomaun, Kevin; Tatayah, Vikash; Nicoll, Malcolm A. C.</t>
  </si>
  <si>
    <t>Individual consistency in migration strategies of a tropical seabird, the Round Island petrel (vol 10, 13, 2022)</t>
  </si>
  <si>
    <t>MOVEMENT ECOLOGY</t>
  </si>
  <si>
    <t>[Franklin, Kirsty A.; Gill, Jennifer A.; Butler, Simon J.] Univ East Anglia, Sch Biol Sci, Norwich Res Pk, Norwich, Norfolk, England; [Franklin, Kirsty A.; Nicoll, Malcolm A. C.] Zool Soc London, Inst Zool, Regents Pk, London, England; [Norris, Ken] Nat Hist Museum, Cromwell Rd, London, England; [Ratcliffe, Norman; Bonnet-Lebrun, Anne-Sophie] British Antarctic Survey, High Cross,Madingley Rd, Cambridge, England; [Cole, Nik C.; Jones, Carl G.] Durrell Wildlife Conservat Trust, Les Augres Manor, Trinity, England; [Cole, Nik C.; Jones, Carl G.; Tatayah, Vikash] Mauritian Wildlife Fdn, Grannum Rd, Vacoas, Mauritius; [Lisovski, Simeon] Helmholtz Ctr Polar &amp; Marine Res, Alfred Wegener Inst, Potsdam, Germany; [Ruhomaun, Kevin] Natl Parks &amp; Conservat Serv, Govt Mauritius, Reduit, Mauritius</t>
  </si>
  <si>
    <t>University of East Anglia; Zoological Society of London; Natural History Museum London; UK Research &amp; Innovation (UKRI); Natural Environment Research Council (NERC); NERC British Antarctic Survey; Helmholtz Association; Alfred Wegener Institute, Helmholtz Centre for Polar &amp; Marine Research</t>
  </si>
  <si>
    <t>Franklin, KA (corresponding author), Univ East Anglia, Sch Biol Sci, Norwich Res Pk, Norwich, Norfolk, England.</t>
  </si>
  <si>
    <t>Franklin, Kirsty Ann/KBB-2532-2024; Bonnet-Lebrun, Anne-Sophie/GYU-2977-2022</t>
  </si>
  <si>
    <t>Bonnet-Lebrun, Anne-Sophie/0000-0002-7587-615X; Franklin, Kirsty/0000-0001-5004-9740</t>
  </si>
  <si>
    <t>2051-3933</t>
  </si>
  <si>
    <t>MOV ECOL</t>
  </si>
  <si>
    <t>Mov. Ecol.</t>
  </si>
  <si>
    <t>10.1186/s40462-022-00317-6</t>
  </si>
  <si>
    <t>ZY8EJ</t>
  </si>
  <si>
    <t>WOS:000772813900001</t>
  </si>
  <si>
    <t>Al-Suwaidi, AH; Ruhl, M; Jenkyns, HC; Damborenea, SE; Manceñido, MO; Condon, DJ; Angelozzi, GN; Kamo, SL; Storm, M; Riccardi, AC; Hesselbo, SP</t>
  </si>
  <si>
    <t>Al-Suwaidi, Aisha H.; Ruhl, Micha; Jenkyns, Hugh C.; Damborenea, Susana E.; Mancenido, Miguel O.; Condon, Daniel J.; Angelozzi, Gladys N.; Kamo, Sandra L.; Storm, Marisa; Riccardi, Alberto C.; Hesselbo, Stephen P.</t>
  </si>
  <si>
    <t>New age constraints on the Lower Jurassic Pliensbachian-Toarcian Boundary at Chacay Melehue (Neuquen Basin, Argentina)</t>
  </si>
  <si>
    <t>OCEANIC ANOXIC EVENT; CLIMATIC-BIOLOGIC EVENTS; OSMIUM ISOTOPE EVIDENCE; U-PB AGE; ANTARCTIC PENINSULA; LUSITANIAN BASIN; TEMPORAL LINK; CARBON-CYCLE; KAROO LIP; BREAK-UP</t>
  </si>
  <si>
    <t>The Pliensbachian-Toarcian boundary interval is characterized by a similar to 3 parts per thousand negative carbon-isotope excursion (CIE) in organic and inorganic marine and terrestrial archives from sections in Europe, such as Peniche (Portugal) and Hawsker Bottoms, Yorkshire (UK). A new high-resolution organic-carbon isotope record, illustrating the same chemostratigraphic feature, is presented from the Southern Hemisphere Arroyo Chacay Melehue section, Chos Malal, Argentina, corroborating the global significance of this disturbance to the carbon cycle. The negative carbon-isotope excursion, mercury and organic-matter enrichment are accompanied by high-resolution ammonite and nannofossil biostratigraphy together with U-Pb CA-ID-TIMS geochronology derived from intercalated volcanic ash beds. A new age of similar to 183.73 + 0.35/- 0.50 Ma for the Pliensbachian-Toarcian boundary, and 182.77 + 0.11/- 0.15 for the tenuicostatum-serpentinum zonal boundary, is assigned based on high-precision U-Pb zircon geochronology and a Bayesian Markov chain Monte Carlo (MCMC) stratigraphic age model.</t>
  </si>
  <si>
    <t>[Al-Suwaidi, Aisha H.] Khalifa Univ Sci &amp; Technol, Dept Earth Sci, POB 12333, Abu Dhabi, U Arab Emirates; [Ruhl, Micha] Univ Dublin, Trinity Coll Dublin, Dept Geol, Dublin 2, Ireland; [Jenkyns, Hugh C.] Univ Oxford, Dept Earth Sci, South Parks Rd, Oxford OX1 3AN, England; [Damborenea, Susana E.; Mancenido, Miguel O.; Riccardi, Alberto C.] Univ Nacl La Plata, Fac Ciencias Nat &amp; Museo, CONICET, Div Paleozool Invertebrados, Paseo Bosque S-N, RA-1900 La Plata, Argentina; [Condon, Daniel J.] British Geol Survey, Keyworth NG12 5GG, Notts, England; [Angelozzi, Gladys N.] YPF Tecnol SA, Area Geociencias, Lab Bioestratig, Baradero S-N, RA-1925 Ensenada, Argentina; [Kamo, Sandra L.] Univ Toronto, Dept Earth Sci, Jack Satterly Geochronol Lab, 22 Ursula Franklin St, Toronto, ON M5S 3B1, Canada; [Storm, Marisa] Royal Netherlands Inst Sea Res, Dept Marine Microbiol &amp; Biogeochem, POB 59, NL-1790 AB Den Burg, Texel, Netherlands; [Hesselbo, Stephen P.] Univ Exeter, Camborne Sch Mines, Penryn Campus, Penryn TR10 9FE, Cornwall, England; [Hesselbo, Stephen P.] Univ Exeter, Environm &amp; Sustainabil Inst, Penryn Campus, Penryn TR10 9FE, Cornwall, England</t>
  </si>
  <si>
    <t>Khalifa University of Science &amp; Technology; Trinity College Dublin; University of Oxford; National University of La Plata; Museo La Plata; Consejo Nacional de Investigaciones Cientificas y Tecnicas (CONICET); UK Research &amp; Innovation (UKRI); Natural Environment Research Council (NERC); NERC British Geological Survey; University of Toronto; Utrecht University; Royal Netherlands Institute for Sea Research (NIOZ); University of Exeter; University of Exeter</t>
  </si>
  <si>
    <t>Al-Suwaidi, AH (corresponding author), Khalifa Univ Sci &amp; Technol, Dept Earth Sci, POB 12333, Abu Dhabi, U Arab Emirates.</t>
  </si>
  <si>
    <t>aisha.alsuwaidi@ku.ac.ae</t>
  </si>
  <si>
    <t>Al Suwaidi, Aisha/IAL-9409-2023; Damborenea, Susana/HTP-0846-2023; Condon, Daniel/A-4249-2008</t>
  </si>
  <si>
    <t>Al Suwaidi, Aisha/0000-0002-4677-6651; Damborenea, Susana Ester/0000-0002-2302-9944; Condon, Daniel/0000-0002-9082-3283</t>
  </si>
  <si>
    <t>Scholarship Coordination Office, Abu Dhabi, United Arab Emirates; Khalifa University [CIRA-066-2019]; Shell International Exploration &amp; Production B.V.; Natural Environmental Research Council (NERC) [NE/N018508/1]; NIGFSC facilities grant [IP-1466-0514]; Consejo Nacional de Investigaciones Cientificas y Tecnicas (CONICET, Argentina); NERC [NE/N018508/1] Funding Source: UKRI</t>
  </si>
  <si>
    <t>Scholarship Coordination Office, Abu Dhabi, United Arab Emirates; Khalifa University; Shell International Exploration &amp; Production B.V.; Natural Environmental Research Council (NERC)(UK Research &amp; Innovation (UKRI)Natural Environment Research Council (NERC)); NIGFSC facilities grant; Consejo Nacional de Investigaciones Cientificas y Tecnicas (CONICET, Argentina)(Consejo Nacional de Investigaciones Cientificas y Tecnicas (CONICET)); NERC(UK Research &amp; Innovation (UKRI)Natural Environment Research Council (NERC))</t>
  </si>
  <si>
    <t>This research was made possible through financial contributions of the Scholarship Coordination Office, Abu Dhabi, United Arab Emirates and Khalifa University Grant CIRA-066-2019. We also acknowledge funding from Shell International Exploration &amp; Production B.V., the Natural Environmental Research Council (NERC) (Grant Number NE/N018508/1) and NIGFSC facilities grant (IP-1466-0514), and, the Consejo Nacional de Investigaciones Cientificas y Tecnicas (CONICET, Argentina). Daniel Condon publishes with the approval of the Executive Director of the British Geological Survey (NERC). We thank Tamsin Mather for access to the Lumex Hg analyser at Oxford. This manuscript is a contribution to IGCP 655 (IUGS-UNESCO): Toarcian Oceanic Anoxic Event: Impact on marine carbon cycle and ecosystems, IGCP 632 (IUGS-UNESCO): Continental Crises of the Jurassic: Major Extinction events and Environmental Changes within Lacustrine Ecosystems, and IGCP 739 (IUGS-UNESCO): The Mesozoic-Paleogene Hyperthermal Events. We also thank Kevin Page for his help with ammonite biostratigraphy in the Mochras core.</t>
  </si>
  <si>
    <t>MAR 23</t>
  </si>
  <si>
    <t>10.1038/s41598-022-07886-x</t>
  </si>
  <si>
    <t>ZY5CY</t>
  </si>
  <si>
    <t>gold, Green Accepted, Green Published</t>
  </si>
  <si>
    <t>WOS:000772605500038</t>
  </si>
  <si>
    <t>Coleman, MA; Reddy, M; Nimbs, MJ; Marshell, A; Al-Ghassani, SA; Bolton, JJ; Jupp, BP; De Clerck, O; Leliaert, F; Champion, C; Pearson, GA; Serrao, EA; Madeira, P; Wernberg, T</t>
  </si>
  <si>
    <t>Coleman, M. A.; Reddy, M.; Nimbs, M. J.; Marshell, A.; Al-Ghassani, S. A.; Bolton, J. J.; Jupp, B. P.; De Clerck, O.; Leliaert, F.; Champion, C.; Pearson, G. A.; Serrao, E. A.; Madeira, P.; Wernberg, T.</t>
  </si>
  <si>
    <t>Loss of a globally unique kelp forest from Oman</t>
  </si>
  <si>
    <t>ECKLONIA-RADIATA; GENETIC DIVERSITY; MARINE-ALGAE; ARABIAN SEA; LAMINARIALES; DRIVEN; PHAEOPHYCEAE; BIODIVERSITY; BIOGEOGRAPHY; BIOTOPES</t>
  </si>
  <si>
    <t>Kelp forests are declining in many regions globally with climatic perturbations causing shifts to alternate communities and significant ecological and economic loss. Range edge populations are often at most risk and are often only sustained through localised areas of upwelling or on deeper reefs. Here we document the loss of kelp forests (Ecklonia radiata) from the Sultanate of Oman, the only confirmed northern hemisphere population of this species. Contemporary surveys failed to find any kelp in its only known historical northern hemisphere location, Sadah on the Dhofar coast. Genetic analyses of historical herbarium specimens from Oman confirmed the species to be E. radiata and revealed the lost population contained a common CO1 haplotype found across South Africa, Australia and New Zealand suggesting it once established through rapid colonisation throughout its range. However, the Omani population also contained a haplotype that is found nowhere else in the extant southern hemisphere distribution of E. radiata. The loss of the Oman population could be due to significant increases in the Arabian Sea temperature over the past 40 years punctuated by suppression of coastal upwelling. Climate-mediated warming is threatening the persistence of temperate species and precipitating loss of unique genetic diversity at lower latitudes.</t>
  </si>
  <si>
    <t>[Coleman, M. A.; Nimbs, M. J.; Champion, C.] New South Wales Fisheries, Natl Marine Sci Ctr, 2 Bay Dr, Coffs Harbour, NSW 2450, Australia; [Coleman, M. A.; Nimbs, M. J.; Champion, C.] Southern Cross Univ, Natl Marine Sci Ctr, 2 Bay Dr, Coffs Harbour, NSW 2450, Australia; [Coleman, M. A.; Wernberg, T.] Univ Western Australia, UWA Oceans Inst, 35 Stirling Highway, Crawley, WA 6009, Australia; [Coleman, M. A.; Wernberg, T.] Univ Western Australia, Sch Biol Sci, 35 Stirling Highway, Crawley, WA 6009, Australia; [Reddy, M.; Bolton, J. J.] Univ Cape Town, Dept Biol Sci, Private Bag X3, ZA-7701 Cape Town, South Africa; [Marshell, A.] Sultan Qaboos Univ, Coll Agr &amp; Marine Sci, Dept Marine Sci &amp; Fisheries, Muscat, Oman; [Marshell, A.] Univ Tasmania, Inst Marine &amp; Antarctic Studies, Hobart, Tas, Australia; [Al-Ghassani, S. A.] Minist Agr Fisheries &amp; Water Resource, Fisheries Res, Fisheries Res Ctr Dhofar, Salalah, Oman; [Jupp, B. P.] Marine, POB 389, Puerto Princesa 5300, Palawan, Philippines; [De Clerck, O.; Leliaert, F.] Univ Ghent, Biol Dept, Krijgslaan 281,Bldg S8, B-9000 Ghent, Belgium; [Leliaert, F.] Meise Bot Garden, Nieuwelaan 38, B-1860 Meise, Belgium; [Pearson, G. A.; Serrao, E. A.; Madeira, P.] Univ Algarve, CIMAR, CCMAR, P-8005139 Faro, Portugal</t>
  </si>
  <si>
    <t>NSW Department of Primary Industries; Southern Cross University; Southern Cross University; University of Western Australia; University of Western Australia; University of Cape Town; Sultan Qaboos University; University of Tasmania; Ghent University; Universidade do Algarve</t>
  </si>
  <si>
    <t>Coleman, MA (corresponding author), New South Wales Fisheries, Natl Marine Sci Ctr, 2 Bay Dr, Coffs Harbour, NSW 2450, Australia.;Coleman, MA (corresponding author), Southern Cross Univ, Natl Marine Sci Ctr, 2 Bay Dr, Coffs Harbour, NSW 2450, Australia.;Coleman, MA (corresponding author), Univ Western Australia, UWA Oceans Inst, 35 Stirling Highway, Crawley, WA 6009, Australia.;Coleman, MA (corresponding author), Univ Western Australia, Sch Biol Sci, 35 Stirling Highway, Crawley, WA 6009, Australia.</t>
  </si>
  <si>
    <t>Melinda.coleman@gmail.com</t>
  </si>
  <si>
    <t>Pearson, Gareth A/J-3911-2013; Marshell, Alyssa/K-1145-2013; Wernberg, Thomas/B-4172-2010; Serrao, Ester A/C-6686-2012; Nimbs, Matt J/IRZ-6180-2023; Leliaert, Frederik/A-9162-2009; Madeira, Pedro/AAH-2253-2022</t>
  </si>
  <si>
    <t>Pearson, Gareth A/0000-0002-0768-464X; Wernberg, Thomas/0000-0003-1185-9745; Serrao, Ester A/0000-0003-1316-658X; Leliaert, Frederik/0000-0002-4627-7318; Reddy, Maggie M./0000-0001-8243-9567; Madeira, Pedro/0000-0002-2802-0957; Nimbs, Matt J./0000-0003-3541-5727</t>
  </si>
  <si>
    <t>PADI Foundation; Oman Ministry of Agriculture and Fisheries Wealth; Sultan Qaboos University; Belgian Directorate-General for Development Cooperation through the CEBioS Programme; partim GTI; King Leopold III Fund for Nature Exploration and Conservation; Research Foundation - Flanders; Australian Research Council [DP200100201]; Pew Marine Fellowship; FCT - Foundation for Science and Technology (Portugal) [UIDB/04326/2020, PTDC/MAR-EST/6053/2014]; Fundação para a Ciência e a Tecnologia [PTDC/MAR-EST/6053/2014] Funding Source: FCT; Australian Research Council [DP200100201] Funding Source: Australian Research Council</t>
  </si>
  <si>
    <t>PADI Foundation; Oman Ministry of Agriculture and Fisheries Wealth; Sultan Qaboos University; Belgian Directorate-General for Development Cooperation through the CEBioS Programme; partim GTI; King Leopold III Fund for Nature Exploration and Conservation; Research Foundation - Flanders(FWO); Australian Research Council(Australian Research Council); Pew Marine Fellowship; FCT - Foundation for Science and Technology (Portugal)(Fundacao para a Ciencia e a Tecnologia (FCT)); Fundação para a Ciência e a Tecnologia(Fundacao para a Ciencia e a Tecnologia (FCT)); Australian Research Council</t>
  </si>
  <si>
    <t>We thank the PADI Foundation for funding to support this work and the Oman Ministry of Agriculture and Fisheries Wealth and Sultan Qaboos University for vessel and personnel support in Oman. The expedition to Mozambique was funded by the Belgian Directorate-General for Development Cooperation through the CEBioS Programme, partim GTI, The King Leopold III Fund for Nature Exploration and Conservation, and the Research Foundation - Flanders. Scientific collection permits were granted by the Ministry of Environment and Climate Affairs, Director General of Nature Conservation, Oman (Permit Number: 6210/10/53), and the Ministry of Land and Environment, National Administration of Conservation Areas, Mozambique (Permit Number: 04/2018). Genomic analyses were also funded through an Australian Research Council grant to TW and MAC (DP200100201). The genetic work on African samples was funded by a Pew Marine Fellowship to EA Serrao and FCT - Foundation for Science and Technology (Portugal) through UIDB/04326/2020, PTDC/MAR-EST/6053/2014 (Genekelp).</t>
  </si>
  <si>
    <t>10.1038/s41598-022-08264-3</t>
  </si>
  <si>
    <t>WOS:000772605500020</t>
  </si>
  <si>
    <t>Gobo, WV; Kunzmann, L; Iannuzzi, R; Bachelier, JB; Coiffard, C</t>
  </si>
  <si>
    <t>Gobo, William Vieira; Kunzmann, Lutz; Iannuzzi, Roberto; Bachelier, Julien B.; Coiffard, Clement</t>
  </si>
  <si>
    <t>First evidence of ranunculids in Early Cretaceous tropics</t>
  </si>
  <si>
    <t>GONDWANA CRATO FORMATION; SP NOV.; NORTHERN GONDWANA; MAGNOLIALEAN ANGIOSPERM; LEAF ARCHITECTURE; YIXIAN FORMATION; ARARIPE BASIN; POTOMAC GROUP; SP. NOV.; GEN. NOV</t>
  </si>
  <si>
    <t>Early Cretaceous floras containing angiosperms were described from several geographic areas, nearly from the Arctic to the Antarctic, and are crucial to understand their evolution and radiation. However, most of these records come from northern mid-latitudes whereas those of lower paleolatitude areas, such as the Crato Fossil Lagerstatte in NE Brazil, are less studied. Here, we describe from this region of northern Gondwanan origin, two fossil-species of eudicots belonging to a new extinct genus Santaniella gen. nov. Together with several vegetative axes and leaves, anatomically well-preserved fruits with seeds and persistent perianth-like organs allowed us to reconstruct its potential affinities with ranunculids, and presumably Ranunculaceae. Previous records putatively assigned to Ranunculales are all from mid-latitudes, and their first unequivocal occurrence in a low-latitude area supports further the hypothesis of a widespread radiation of the earliest diverging eudicot lineage by this early age.</t>
  </si>
  <si>
    <t>[Gobo, William Vieira; Iannuzzi, Roberto] Univ Fed Rio Grande Sul UFRGS, Dept Paleontol &amp; Estratig, Av Bento Goncalves 9500, BR-91509900 Porto Alegre, RS, Brazil; [Kunzmann, Lutz] Senckenberg Nat Hist Sammlungen Dresden, Abt Museum Mineral &amp; Geol, Konigsbrucker Landstr 159, D-01109 Dresden, Germany; [Bachelier, Julien B.; Coiffard, Clement] Free Univ Berlin, Inst Biol, Struct &amp; Funct Plant Divers Grp, Altensteinstr 6, D-14195 Berlin, Germany</t>
  </si>
  <si>
    <t>Universidade Federal do Rio Grande do Sul; Senckenberg Gesellschaft fur Naturforschung (SGN); Free University of Berlin</t>
  </si>
  <si>
    <t>Gobo, WV (corresponding author), Univ Fed Rio Grande Sul UFRGS, Dept Paleontol &amp; Estratig, Av Bento Goncalves 9500, BR-91509900 Porto Alegre, RS, Brazil.;Coiffard, C (corresponding author), Free Univ Berlin, Inst Biol, Struct &amp; Funct Plant Divers Grp, Altensteinstr 6, D-14195 Berlin, Germany.</t>
  </si>
  <si>
    <t>williamgobo@hotmail.com; ccoiffard@zedat.fu-berlin.de</t>
  </si>
  <si>
    <t>Gobo, William/JDC-8395-2023; Iannuzzi, Roberto/G-3641-2012</t>
  </si>
  <si>
    <t>Iannuzzi, Roberto/0000-0003-1432-8106; Vieira Gobo, William/0000-0002-3108-9330</t>
  </si>
  <si>
    <t>Projekt DEAL</t>
  </si>
  <si>
    <t>Open Access funding enabled and organized by Projekt DEAL.</t>
  </si>
  <si>
    <t>10.1038/s41598-022-07920-y</t>
  </si>
  <si>
    <t>WOS:000772605500037</t>
  </si>
  <si>
    <t>Descamps, S; Harris, SM; Fluhr, J; Bustamante, P; Cherel, Y; Trevail, AM; Brault-Favrou, M; Patrick, SC</t>
  </si>
  <si>
    <t>Descamps, S.; Harris, S. M.; Fluhr, J.; Bustamante, P.; Cherel, Y.; Trevail, A. M.; Brault-Favrou, M.; Patrick, S. C.</t>
  </si>
  <si>
    <t>Variation in Antarctic Petrel Foraging Ecology: Not All Individuals Specialize on Krill</t>
  </si>
  <si>
    <t>diet; foraging; seabird; Antarctic; krill (Euphausia superba)</t>
  </si>
  <si>
    <t>TROPHIC NICHE WIDTH; THALASSOICA-ANTARCTICA; DIET SPECIALIZATION; MERCURY EXPOSURE; ANIMAL MOVEMENT; POPULATION; MARINE; CONSEQUENCES; SELECTION; PENGUINS</t>
  </si>
  <si>
    <t>Individual heterogeneity in foraging behaviour determines how individuals and populations respond to changes in the availability and distribution of resources. Antarctic krill Euphausia superba is a pivotal species in Southern Ocean food webs and an important target for Southern Ocean fisheries. Changes in its abundance could dramatically impact marine predators, with effects depending on the extent to which all individuals rely on krill as prey. The Antarctic petrel Thalassoica antarctica is a high latitude seabird thought to be dependent on krill in part of its breeding range. Here, by combining fine-scale GPS tracking of petrel foraging trips with diet data, we examined the level and consistency of inter-individual variation in foraging strategies in breeding Antarctic petrels in Dronning Maud Land, Antarctica, and assessed whether all individuals share a similar reliance on Antarctic krill. We found that Antarctic petrels showed high levels of repeatability in their diet and foraging movements at sea, indicating consistent individual differences in foraging strategies. During consecutive foraging trips, petrels tend to make trips of similar lengths and durations to reach similar terminal locations and to feed on similar prey. These individual differences in diet were spatially structured, with individuals travelling towards the west consuming a more fish-based diet. These different foraging tactics did not appear to be associated with different costs and/or benefits as adult body mass, chick survival and chick growth were unrelated to birds' foraging movements and diet. Our results show that, even if a large part of the population may be dependent on krill, some individuals specialize on fish. Such inter-individual variation in foraging suggests that this population could be more resilient to changes in the marine environment, such as a decline in krill abundance or a shift in krill distributions.</t>
  </si>
  <si>
    <t>[Descamps, S.; Fluhr, J.] Norwegian Polar Res Inst, Fram Ctr, Tromso, Norway; [Harris, S. M.] Cornell Lab Ornithol, Ithaca, NY USA; [Bustamante, P.; Brault-Favrou, M.] La Rochelle Univ, Littoral Environm &amp; Soc LIENSs, UMR CNRS 7266, La Rochelle, France; [Bustamante, P.] Inst Univ deFrance IUF, Paris, France; [Cherel, Y.] La Rochelle Univ, Ctr Etud Biol Chize CEBC, UMR CNRS 7372, Villiers En Bois, France; [Trevail, A. M.] Univ Exeter, Coll Life &amp; Environm Sci, Ctr Ecol &amp; Conservat, Penryn, Cornwall, England; [Patrick, S. C.] Univ Liverpool, Sch Environm Sci, Liverpool, Merseyside, England</t>
  </si>
  <si>
    <t>Norwegian Polar Institute; Cornell University; University of Exeter; University of Liverpool</t>
  </si>
  <si>
    <t>Descamps, S (corresponding author), Norwegian Polar Res Inst, Fram Ctr, Tromso, Norway.</t>
  </si>
  <si>
    <t>sebastien.descamps@npolar.no</t>
  </si>
  <si>
    <t>Bustamante, Paco/G-5833-2011; Trevail, Alice M./Y-9000-2019; Harris, Stephanie M/ABE-2675-2020; Harris, Stephanie M/JHU-3968-2023</t>
  </si>
  <si>
    <t>Bustamante, Paco/0000-0003-3877-9390; Trevail, Alice M./0000-0002-6459-5213; Harris, Stephanie M/0000-0002-8580-9444; Harris, Stephanie M/0000-0002-8580-9444</t>
  </si>
  <si>
    <t>Norwegian Research council (NARE program)</t>
  </si>
  <si>
    <t>The study was funded by the Norwegian Research council (NARE program).</t>
  </si>
  <si>
    <t>10.3389/fmars.2022.809852</t>
  </si>
  <si>
    <t>0L2HH</t>
  </si>
  <si>
    <t>WOS:000781300600001</t>
  </si>
  <si>
    <t>Capponi, M; Sampietro, D; Ebbing, J; Ferraccioli, F</t>
  </si>
  <si>
    <t>Capponi, M.; Sampietro, D.; Ebbing, J.; Ferraccioli, F.</t>
  </si>
  <si>
    <t>Antarctica 3-D crustal structure investigation by means of the Bayesian gravity inversion: the Wilkes Land case study</t>
  </si>
  <si>
    <t>GEOPHYSICAL JOURNAL INTERNATIONAL</t>
  </si>
  <si>
    <t>Gravity anomalies and Earth structure; Antarctica; Inverse theory; Statistical methods; Crustal structure</t>
  </si>
  <si>
    <t>SEDIMENT THICKNESS; VELOCITY STRUCTURE; MODEL; LITHOSPHERE; FIELD</t>
  </si>
  <si>
    <t>In this study, a Bayesian gravity inversion algorithm is applied to infer a complete 3-D density model of the crust in the region of the Wilkes Land. One of the main objective of this work is to provide information on the thickening/thinning of the crust beneath the basin or the amount and characteristics of sediment deposits in the area. After collecting all the latest available geophysical data and models of the study region, neglecting gravity derived information, a first 3-D model was defined in terms of principal geological horizons and density distribution together with an estimate of its accuracy. Then, two gravity observations, namely gravity disturbances and second radial derivative of the anomalous potential, were jointly inverted in order to adjust the a-priori 3-D model and obtain the so-called a posterior improved model, now coherent with gravity. The present work summarizes the principal results obtained within the inversion performed in the Wilkes Land region together with a sensitivity analysis to assess the reliability of the inverted 3-D model. The results show a crustal thickness below the Wilkes Land higher than 25 km, characterized by higher densities, sedimentary basins that reach in some zones thicknesses of about 7 km and geometries below the Trans-Antarctic Mountains that suggest a large root of the mountains and lighter mantle densities.</t>
  </si>
  <si>
    <t>[Capponi, M.; Sampietro, D.] Geomat Res &amp; Dev Srl, Lomazzo, Italy; [Ebbing, J.] Univ Kiel, Inst Geosci, Kiel, Germany; [Ferraccioli, F.] British Antarctic Survey, Cambridge, England; [Ferraccioli, F.] OGS, Trieste, Italy</t>
  </si>
  <si>
    <t>University of Kiel; UK Research &amp; Innovation (UKRI); Natural Environment Research Council (NERC); NERC British Antarctic Survey; Istituto Nazionale di Oceanografia e di Geofisica Sperimentale</t>
  </si>
  <si>
    <t>Capponi, M (corresponding author), Geomat Res &amp; Dev Srl, Lomazzo, Italy.</t>
  </si>
  <si>
    <t>martina.capponi@g-red.eu</t>
  </si>
  <si>
    <t>Ebbing, Joerg/B-8796-2013</t>
  </si>
  <si>
    <t>Ebbing, Joerg/0000-0001-7492-5338; Ferraccioli, Fausto/0000-0002-9347-4736; Sampietro, Daniele/0000-0001-9747-8497</t>
  </si>
  <si>
    <t>0956-540X</t>
  </si>
  <si>
    <t>1365-246X</t>
  </si>
  <si>
    <t>GEOPHYS J INT</t>
  </si>
  <si>
    <t>Geophys. J. Int.</t>
  </si>
  <si>
    <t>10.1093/gji/ggac036</t>
  </si>
  <si>
    <t>ZY5KC</t>
  </si>
  <si>
    <t>WOS:000772624200006</t>
  </si>
  <si>
    <t>Sitnikova, TY; Naumova, TV; Mekhanikova, IV; Kiyashko, SI; Kalmychkov, GV; Karanovic, I; Zakharenko, AS; Bukin, YS; Khabuev, AV; Ivanov, VG; Khlystov, OM; Zemskaya, TI</t>
  </si>
  <si>
    <t>Sitnikova, Tatiana Ya; Naumova, Tatiana, V; Mekhanikova, Irina, V; Kiyashko, Sergey, I; Kalmychkov, Gennady, V; Karanovic, Ivana; Zakharenko, Alexandra S.; Bukin, Yuri S.; Khabuev, Andrey, V; Ivanov, Vyacheslav G.; Khlystov, Oleg M.; Zemskaya, Tamara, I</t>
  </si>
  <si>
    <t>Sluggish methane discharge and biological traits of benthic invertebrates in Lake Baikal</t>
  </si>
  <si>
    <t>Environments; Zoobenthos; Abundance; Microorganisms; Food</t>
  </si>
  <si>
    <t>BOTTOM SEDIMENTS; MICROBIAL COMMUNITIES; HYDROCARBON-GAS; SEEP COMMUNITY; ABYSSAL ZONE; PORE WATERS; COLD SEEP; OIL; AREA; MEIOFAUNA</t>
  </si>
  <si>
    <t>The biological traits of invertebrates inhabiting freshwater methane seeps are poorly understood. We analysed the relationship between invertebrate abundance and environmental factors such as methane concentration, location of gas hydrates in sediments, sediment composition, and the total number of microorganisms (TNMs), including methanotrophs. The abundance of invertebrates varied greatly (CV 10-136%) across box core samples and stations. No significant differences (P &gt; 0.05) in the abundance of invertebrates were found between stations with sluggish methane discharge, methane concentrations, and gas hydrates located deep in sediments (&gt; 70 cm) and the reference stations. The abundance of meio- and macrobenthic invertebrates reached similar to 130,000 ind. m(-2) around gas hydrates similar to 30 cm deep in the sediments. The abundance of nematodes significantly depended on the presence of sulfur bacteria and copepod detritus, while oligochaetes were correlated with the TNMs. Amphipod abundance was dependent on the number of methanotrophic bacteria, while ostracods and copepods showed no dependence on the studied biotic factors. Stable isotope analysis of delta C-13 and delta N-15 indicated that oligochaetes and chironomids consumed different proportions of chemosynthetic carbon. Most benthic invertebrates also formed aggregates, possibly enabling the complete utilization of food resources.</t>
  </si>
  <si>
    <t>[Sitnikova, Tatiana Ya; Naumova, Tatiana, V; Mekhanikova, Irina, V; Zakharenko, Alexandra S.; Bukin, Yuri S.; Khabuev, Andrey, V; Ivanov, Vyacheslav G.; Khlystov, Oleg M.; Zemskaya, Tamara, I] Limnol Inst SB RAS, Irkutsk 664033, Russia; [Kiyashko, Sergey, I] AV Zhirmunsky Natl Sci Ctr Marine Biol FEB RAS, Vladivostok 690041, Russia; [Kalmychkov, Gennady, V] AP Vinogradov Inst Geochem SD RAS, Irkutsk 664033, Russia; [Karanovic, Ivana] Hanyang Univ, Coll Nat Sci, Dept Life Sci, Seoul 04763, South Korea; [Karanovic, Ivana] Univ Tasmania, Inst Marine &amp; Antarctic Studies, Private Bag 49, Hobart, Tas 7001, Australia</t>
  </si>
  <si>
    <t>Russian Academy of Sciences; Irkutsk Science Centre of the Russian Academy of Sciences; Limnological Institute SB RAS; Hanyang University; University of Tasmania</t>
  </si>
  <si>
    <t>Sitnikova, TY (corresponding author), Limnol Inst SB RAS, Irkutsk 664033, Russia.</t>
  </si>
  <si>
    <t>sekiyash@mail.ru; ivana@hanyang.ac.kr; sit@lin.irk.ru</t>
  </si>
  <si>
    <t>Naumova, Tatyana V/B-5887-2018; Zemskaya, Tamara/HKP-0014-2023; Sitnikova, Tatiana Ya/J-3309-2018; Zakharenko, Alexandra/J-3575-2018</t>
  </si>
  <si>
    <t>Zemskaya, Tamara/0000-0002-3575-0472; Ivanov, Vyacheslav/0000-0002-6524-1169; Naumova, Tat'ana Vladimirovna/0000-0002-4430-0705; Sitnikova, Tatiana/0000-0002-3278-6111</t>
  </si>
  <si>
    <t>conservation of Lake Baikal; Metropole Company; LIN SB RAS [0279-2021-0006, 0279-2021-0010]</t>
  </si>
  <si>
    <t>conservation of Lake Baikal; Metropole Company; LIN SB RAS</t>
  </si>
  <si>
    <t>The authors thank the crew of the research vessel Vereshchagin for assistance in sample collection. The service of the deep-water manned Mir submersible was organized and financially supported by the funds of the conservation of Lake Baikal and the Metropole Company. The authors are grateful to V. Nischeta and E. Chernyaev, the pilots of the Mir submersible, Dr. N.V. Bazova for providing the video, to Dr. T.A. Sherbakova for translating of the first version of the manuscript into English; Yu.M. Vitushenko, and the SNAS website for English proofreading of the final version of the manuscript. We also acknowledge the valuable comments and suggestions of anonymous reviewers and associate editor Dr. Stefano Amalfitano. The study was carried out within the State Project Nos. 0279-2021-0006 (Samplings, Measurements of the Methane Concentrations, Microbiological Analysis, and Investigation of Invertebrates) and 0279-2021-0010 (Statistical Analysis) (LIN SB RAS).</t>
  </si>
  <si>
    <t>10.1007/s10750-022-04837-5</t>
  </si>
  <si>
    <t>0I4GX</t>
  </si>
  <si>
    <t>WOS:000772258100001</t>
  </si>
  <si>
    <t>Senemari, S; Mejía-Molina, A</t>
  </si>
  <si>
    <t>Senemari, Saeedeh; Mejia-Molina, Alejandra</t>
  </si>
  <si>
    <t>Calcareous nannofossil biostratigraphy and paleoenvironment of the Eocene-Oligocene interval in the Pabdeh Formation in southwestern Iran</t>
  </si>
  <si>
    <t>INTERNATIONAL JOURNAL OF EARTH SCIENCES</t>
  </si>
  <si>
    <t>Biostratigraphy; Calcareous nannofossil; Eocene; Oligocene; Zagros Basin</t>
  </si>
  <si>
    <t>THERMAL MAXIMUM; ANTARCTIC GLACIATION; MIDDLE EOCENE; ZAGROS BASIN; REGIONAL STRATIGRAPHY; KERGUELEN PLATEAU; CLIMATIC CHANGES; OCEAN; PALEOGENE; BIOCHRONOLOGY</t>
  </si>
  <si>
    <t>Studies of the Paleogene sequence in the Zagros Basin of Iran are crucial due to the existence of large oil fields such as the Pazanan oil field. This study examines calcareous nannofossils from the Eocene-Oligocene interval in the upper part of the Pabdeh Formation in the Zagros Basin. Samples were taken from a well drilled in the Pazanan oil field, located in the Dezful Embayment (Zagros Basin, southwestern Iran). The studied section is similar to 54 m thick and comprises mainly a succession of marls and limestones. Calcareous nannofossil biostratigraphy allows the studied interval to be assigned to Martini (Standard tertiary and quaternary calcareous nannoplankton zonation. In: Proceedings of the 2nd planktonic conference. Roma, Italy, p 739-785, 1971) Zones NP19 (Isthmolithus recurvus Zone) through NP22 (Helicosphaera reticulata Zone), which spans the Priabonian and Rupelian stages and includes the Eocene/Oligocene boundary. The nannoflora paleoecology allows us to characterize major changes in paleoproductivity during this interval. Late Eocene (Priabonian) assemblages are dominated by oligotrophic nannofossils. Above the Eocene/Oligocene boundary, there is a diverse assemblage of eutrophic calcareous nannofossils, with a significant decrease in the abundance of oligotrophic species. As well as nutrient supply, water temperature also appears to be another main controlling factor of the paleoenvironment in this region, where there is an increase in cold-water species recorded at the base of the Oligocene (Zone NP21), accompanied by a decrease in warmwater species. These variation in the calcareous nannofossil assemblages may indicate increased nutrient supply, climatic imbalances-associated with weather changes-and eventually sea-surface temperature (SST) cooling in this part of the Zagros Basin (Neo-Tethys domain) throughout the Eocene/Oligocene transition (EOT).</t>
  </si>
  <si>
    <t>[Senemari, Saeedeh] Imam Khomeini Int Univ, Fac Engn, Qazvin, Iran; [Mejia-Molina, Alejandra] Univ Salamanca, Fac Ciencias, Dept Geol, Grp Geociencias Ocean GGO, Salamanca 37008, Spain; [Mejia-Molina, Alejandra] Univ Pamplona, Fac Ciencias Basicas, Programa Geol, Pamplona, Colombia</t>
  </si>
  <si>
    <t>Imam Khomeini International University; University of Salamanca</t>
  </si>
  <si>
    <t>Senemari, S (corresponding author), Imam Khomeini Int Univ, Fac Engn, Qazvin, Iran.</t>
  </si>
  <si>
    <t>senemari2004@yahoo.com; alejandra@usal.es</t>
  </si>
  <si>
    <t>Mejia-Molina, Alejandra/0000-0002-0411-0042</t>
  </si>
  <si>
    <t>Imam Khomeini International University, Qazvin, Iran [751541]</t>
  </si>
  <si>
    <t>Imam Khomeini International University, Qazvin, Iran</t>
  </si>
  <si>
    <t>(Research grant = 751541), Imam Khomeini International University, Qazvin, Iran).</t>
  </si>
  <si>
    <t>1437-3254</t>
  </si>
  <si>
    <t>1437-3262</t>
  </si>
  <si>
    <t>INT J EARTH SCI</t>
  </si>
  <si>
    <t>Int. J. Earth Sci.</t>
  </si>
  <si>
    <t>10.1007/s00531-022-02180-7</t>
  </si>
  <si>
    <t>1B0VJ</t>
  </si>
  <si>
    <t>WOS:000772332800001</t>
  </si>
  <si>
    <t>Cucini, C; Nardi, F; Magnoni, L; Rebecchi, L; Guidetti, R; Convey, P; Carapelli, A</t>
  </si>
  <si>
    <t>Cucini, Claudio; Nardi, Francesco; Magnoni, Letizia; Rebecchi, Lorena; Guidetti, Roberto; Convey, Peter; Carapelli, Antonio</t>
  </si>
  <si>
    <t>Microhabitats, macro-differences: a survey of temperature records in Victoria Land terrestrial and freshwater environments</t>
  </si>
  <si>
    <t>Acari; Antarctica; Collembola; microclimate; Rotifera; Tardigrada</t>
  </si>
  <si>
    <t>INVERTEBRATES; BIOGEOGRAPHY; FLEXIBILITY; ANTARCTICA; RESPONSES; NEMATODES; SURVIVAL; SOILS</t>
  </si>
  <si>
    <t>The temperature experienced by micro-invertebrates in extreme environments (such as those of Antarctica) is a pivotal parameter regarding these animals' ecology and physiology. However, at present, detailed knowledge of microhabitat physical conditions in Antarctica is limited, as well as being biased towards sub-Antarctic and Maritime Antarctic regions. To better understand the temperature conditions experienced in the microhabitats of Continental Antarctica by the native microfauna, we recorded temperatures year round in ponds and soils in an area of the Victoria Land coast and compared these measurements with air temperature data from the closest automatic weather station. We identified an important difference in temperature dynamics between the air, soil and pond datasets. Ponds were the warmest sites overall, differing by up to 7.5 degrees C in comparison with the air temperature due to their greater thermal capacity, which also drove their patterns of freeze-thaw cycles and mean daily thermal excursion.</t>
  </si>
  <si>
    <t>[Cucini, Claudio; Nardi, Francesco; Carapelli, Antonio] Univ Siena, Dept Life Sci, Via Aldo Moro 2, I-53100 Siena, Italy; [Magnoni, Letizia] Univ Siena, Dept Informat Engn &amp; Math, Via Roma 56, I-53100 Siena, Italy; [Rebecchi, Lorena; Guidetti, Roberto] Univ Modena &amp; Reggio Emilia, Dept Life Sci, Via Campi 213-D, I-41125 Modena, Italy; [Convey, Peter] British Antarctic Survey, NERC, Madingley Rd, Cambridge CB3 0ET, England; [Convey, Peter] Univ Johannesburg, Dept Zool, POB 524, ZA-2006 Auckland Pk, South Africa</t>
  </si>
  <si>
    <t>University of Siena; University of Siena; Universita di Modena e Reggio Emilia; UK Research &amp; Innovation (UKRI); Natural Environment Research Council (NERC); NERC British Antarctic Survey; University of Johannesburg</t>
  </si>
  <si>
    <t>Nardi, F (corresponding author), Univ Siena, Dept Life Sci, Via Aldo Moro 2, I-53100 Siena, Italy.</t>
  </si>
  <si>
    <t>francesco.nardi@unisi.it</t>
  </si>
  <si>
    <t>Convey, Peter/AAV-5728-2020; CUCINI, CLAUDIO/AAK-4520-2020; Nardi, Francesco/E-5516-2011; Rebecchi, Lorena/E-1653-2015; Guidetti, Roberto/H-2855-2012</t>
  </si>
  <si>
    <t>Convey, Peter/0000-0001-8497-9903; CUCINI, CLAUDIO/0000-0003-1918-0702; Nardi, Francesco/0000-0003-0271-9855; CARAPELLI, Antonio/0000-0002-3165-9620; Rebecchi, Lorena/0000-0001-5610-806X; Guidetti, Roberto/0000-0001-6079-2538</t>
  </si>
  <si>
    <t>'Progetto Nazionale Ricerche in Antartide' (PNRA) [PNRA16_00234]; Natural Environment Research Council (NERC)</t>
  </si>
  <si>
    <t>'Progetto Nazionale Ricerche in Antartide' (PNRA); Natural Environment Research Council (NERC)(UK Research &amp; Innovation (UKRI)Natural Environment Research Council (NERC))</t>
  </si>
  <si>
    <t>This work was supported by the 'Progetto Nazionale Ricerche in Antartide' (PNRA) [PNRA16_00234]. PC is supported by Natural Environment Research Council (NERC) core funding to the British Antarctic Survey (BAS) 'Biodiversity, Evolution and Adaptation' Team.</t>
  </si>
  <si>
    <t>PII S0954102022000050</t>
  </si>
  <si>
    <t>10.1017/S0954102022000050</t>
  </si>
  <si>
    <t>Green Accepted, Green Published, hybrid</t>
  </si>
  <si>
    <t>WOS:000772217100001</t>
  </si>
  <si>
    <t>Murakami, T; Takeuchi, N; Mori, H; Hirose, Y; Edwards, A; Irvine-Fynn, T; Li, ZQ; Ishii, S; Segawa, T</t>
  </si>
  <si>
    <t>Murakami, Takumi; Takeuchi, Nozomu; Mori, Hiroshi; Hirose, Yuu; Edwards, Arwyn; Irvine-Fynn, Tristram; Li, Zhongqin; Ishii, Satoshi; Segawa, Takahiro</t>
  </si>
  <si>
    <t>Metagenomics reveals global-scale contrasts in nitrogen cycling and cyanobacterial light-harvesting mechanisms in glacier cryoconite</t>
  </si>
  <si>
    <t>Glacier ecosystem; Cryoconite; Metagenomics; Denitrification; Cyanobacteria; Phycobilisome; Chromatic acclimation</t>
  </si>
  <si>
    <t>EASTERN TIEN-SHAN; NO. 1; NITRATE ASSIMILATION; MICROBIAL ACTIVITY; READ ALIGNMENT; CARBON; PHYCOBILISOME; BACTERIAL; QUALITY; BIOGEOCHEMISTRY</t>
  </si>
  <si>
    <t>Background: Cryoconite granules are mineral-microbial aggregates found on glacier surfaces worldwide and are hotspots of biogeochemical reactions in glacier ecosystems. However, despite their importance within glacier ecosystems, the geographical diversity of taxonomic assemblages and metabolic potential of cryoconite communities around the globe remain unclear. In particular, the genomic content of cryoconite communities on Asia's high mountain glaciers, which represent a substantial portion of Earth's ice masses, has rarely been reported. Therefore, in this study, to elucidate the taxonomic and ecological diversities of cryoconite bacterial consortia on a global scale, we conducted shotgun metagenomic sequencing of cryoconite acquired from a range of geographical areas comprising Polar (Arctic and Antarctic) and Asian alpine regions. Results: Our metagenomic data indicate that compositions of both bacterial taxa and functional genes are particularly distinctive for Asian cryoconite. Read abundance of the genes responsible for denitrification was significantly more abundant in Asian cryoconite than the Polar cryoconite, implying that denitrification is more enhanced in Asian glaciers. The taxonomic composition of Cyanobacteria, the key primary producers in cryoconite communities, also differs between the Polar and Asian samples. Analyses on the metagenome-assembled genomes and fluorescence emission spectra reveal that Asian cryoconite is dominated by multiple cyanobacterial lineages possessing phycoerythrin, a green light-harvesting component for photosynthesis. In contrast, Polar cryoconite is dominated by a single cyanobacterial species Phormidesmis priestleyi that does not possess phycoerythrin. These findings suggest that the assemblage of cryoconite bacterial communities respond to regional- or glacier-specific physicochemical conditions, such as the availability of nutrients (e.g., nitrate and dissolved organic carbon) and light (i.e., incident shortwave radiation). Conclusions: Our genome-resolved metagenomics provides the first characterization of the taxonomic and metabolic diversities of cryoconite from contrasting geographical areas, highlighted by the distinct light-harvesting approaches of Cyanobacteria and nitrogen utilization between Polar and Asian cryoconite, and implies the existence of environmental controls on the assemblage of cryoconite communities. These findings deepen our understanding of the biodiversity and biogeochemical cycles of glacier ecosystems, which are susceptible to ongoing climate change and glacier decline, on a global scale.</t>
  </si>
  <si>
    <t>[Murakami, Takumi; Mori, Hiroshi] Natl Inst Genet, Dept Informat, Shizuoka, Japan; [Murakami, Takumi; Mori, Hiroshi] Natl Inst Genet, Adv Genom Ctr, Shizuoka, Japan; [Takeuchi, Nozomu] Chiba Univ, Grad Sch Sci, Dept Earth Sci, Chiba, Japan; [Hirose, Yuu] Toyohashi Univ Technol, Dept Appl Chem &amp; Life Sci, Toyohashi, Aichi, Japan; [Edwards, Arwyn] Aberystwyth Univ, Inst Biol Environm &amp; Rural Sci IBERS, Aberystwyth, Dyfed, Wales; [Edwards, Arwyn; Irvine-Fynn, Tristram] Aberystwyth Univ, Interdisciplinary Ctr Environm Microbiol, Aberystwyth, Dyfed, Wales; [Irvine-Fynn, Tristram] Aberystwyth Univ, Dept Geog &amp; Earth Sci, Aberystwyth, Dyfed, Wales; [Li, Zhongqin] Chinese Acad Sci, Northwest Inst Ecoenvironm &amp; Resources, State Key Lab Cryospher Sci, Tien Shan Glaciol Stn, Lanzhou, Peoples R China; [Ishii, Satoshi] Univ Minnesota, Dept Soil Water &amp; Climate, St Paul, MN 55108 USA; [Ishii, Satoshi] Univ Minnesota, BioTechnol Inst, St Paul, MN 55108 USA; [Segawa, Takahiro] Univ Yamanashi, Ctr Life Sci Res, Kofu, Yamanashi, Japan</t>
  </si>
  <si>
    <t>Research Organization of Information &amp; Systems (ROIS); National Institute of Genetics (NIG) - Japan; Research Organization of Information &amp; Systems (ROIS); National Institute of Genetics (NIG) - Japan; Chiba University; Toyohashi University of Technology; Aberystwyth University; UK Research &amp; Innovation (UKRI); Biotechnology and Biological Sciences Research Council (BBSRC); Institute of Biological, Environmental, Rural &amp; Sciences (IBERS); Aberystwyth University; Aberystwyth University; Chinese Academy of Sciences; University of Minnesota System; University of Minnesota Twin Cities; University of Minnesota System; University of Minnesota Twin Cities; University of Yamanashi</t>
  </si>
  <si>
    <t>Murakami, T (corresponding author), Natl Inst Genet, Dept Informat, Shizuoka, Japan.;Murakami, T (corresponding author), Natl Inst Genet, Adv Genom Ctr, Shizuoka, Japan.;Segawa, T (corresponding author), Univ Yamanashi, Ctr Life Sci Res, Kofu, Yamanashi, Japan.</t>
  </si>
  <si>
    <t>tmurakami@nig.ac.jp; tsegawa@yamanashi.ac.jp</t>
  </si>
  <si>
    <t>Takeuchi, Nozomu/Q-7869-2016</t>
  </si>
  <si>
    <t>Takeuchi, Nozomu/0000-0002-3267-5534; Irvine-Fynn, Tristram/0000-0003-3157-6646; Mori, Hiroshi/0000-0003-0806-7704; Murakami, Takumi/0000-0002-4738-0464; Segawa, Takahiro/0000-0002-3111-708X</t>
  </si>
  <si>
    <t>JSPS KAKENHI [19K23766, 19H01143, 20K21840, 21H03588]; Arctic Challenge for Sustainability II (ArCS II) [JPMXD1420318865]; Institute for Fermentation, Osaka [G-2020-2-133]; Great Britain Sasakawa Foundation [3998]; NERC [NE/V012991/1]; Grants-in-Aid for Scientific Research [21H03588, 20K21840, 19K23766] Funding Source: KAKEN</t>
  </si>
  <si>
    <t>JSPS KAKENHI(Ministry of Education, Culture, Sports, Science and Technology, Japan (MEXT)Japan Society for the Promotion of ScienceGrants-in-Aid for Scientific Research (KAKENHI)); Arctic Challenge for Sustainability II (ArCS II); Institute for Fermentation, Osaka(Institute for Fermentation (IFO)); Great Britain Sasakawa Foundation;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</si>
  <si>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study was financially supported by JSPS KAKENHI to TM (19K23766), NT (19H01143 and 20K21840), TS (21H03588), and also by the Arctic Challenge for Sustainability II (ArCS II), Program Grant Number JPMXD1420318865, and a grant from the Institute for Fermentation, Osaka (G-2020-2-133). Sample collections in Svalbard were supported by Great Britain Sasakawa Foundation Grant #3998 to NT, TI-F and AE, and NERC Grant NE/V012991/1 to AE.</t>
  </si>
  <si>
    <t>10.1186/s40168-022-01238-7</t>
  </si>
  <si>
    <t>ZX7NH</t>
  </si>
  <si>
    <t>WOS:000772080100001</t>
  </si>
  <si>
    <t>Zhang, SW; Zhao, WY; Yang, C; Li, YX; Liu, MY; Meng, XZ; Cai, MH</t>
  </si>
  <si>
    <t>Zhang, Shengwei; Zhao, Wenyu; Yang, Chao; Li, Yanxia; Liu, Mengyue; Meng, Xiang-Zhou; Cai, Minghong</t>
  </si>
  <si>
    <t>Assessment of currently used organochlorine pesticides in surface water and sediments in Xiangjiang river, a drinking water source in China: Occurrence and distribution characteristics under flood events</t>
  </si>
  <si>
    <t>Currently used organochlorine pesticides &amp; nbsp;(CUOCPs) ; Surface water; Sediments; Flood effects; Drinking water source</t>
  </si>
  <si>
    <t>PAHS; OCPS; AIR</t>
  </si>
  <si>
    <t>Xiangjiang (XJ) is a typical urban inland river that serves as a drinking water source, which may be affected by the currently used organochlorine pesticides (CUOCPs) originating from agricultural activities in the vicinity. On this basis, this study comprehensively explored the occurrence and distribution characteristics of CUOCPs in surface water and sediments under long-term precipitation and subsequent floods. Considering the low concentration of CUOCPs in water, a technique combining high-throughput organic analysis with high-volume solid phase extraction (High-throat/Hi-volume SPE) was introduced for effective analysis of CUCOPs. The results showed that the concentration of CUOCPs in the water and sediments of XJ ranged from 2.33 to 6.40 ng L-1 (average of 3.93 +/- 1.15 ng L-1) and from 1.52 to 21.2 ng g(-1) (average of 6.60 +/- 4.31 ng g(-1) dw), respectively. The distribution of CUOCPs in water was consistent throughout XJ, but that in sediments was not uniform, indicating a stronger impact of floods on water than on sediments. Water-sediment partition coefficients were generally &gt; 2 L g(-1), showing a tendency of CUOCP dominance in sediments. The results of principal component analysis and cluster analysis showed that the occurrence of CUOCPs is significantly affected by exogenous disturbance, which could be flood events; meanwhile, clusters of CUOCPs were found in both water and sediments in the source-limited middle reaches in urban areas. Redundancy analysis (RDA) showed that CUOCP occurrences were not positively correlated with nutrient elements (nitrogen and phosphorus), but related to pH and dissolved oxygen (DO), indicating complex sources.&amp; nbsp;</t>
  </si>
  <si>
    <t>[Zhang, Shengwei; Li, Yanxia] Beijing Normal Univ, Sch Environm, State Key Lab Water Environm Simulat, Beijing 100875, Peoples R China; [Zhang, Shengwei; Cai, Minghong] Polar Res Inst China, Minist Nat Resources, Key Lab Polar Sci, Shanghai 200136, Peoples R China; [Zhao, Wenyu; Liu, Mengyue] Changsha Univ Sci &amp; Technol, Sch Chem &amp; Food Engn, Changsha 410114, Peoples R China; [Yang, Chao; Meng, Xiang-Zhou] Tongji Univ, Coll Environm Sci &amp; Engn, State Key Lab Pollut Control &amp; Resources Reuse, Shanghai 200092, Peoples R China; [Cai, Minghong] Polar Res Inst China, Antarctic Great Wall Ecol Natl Observat &amp; Res Stn, 1000 Xuelong Rd, Shanghai 201209, Peoples R China; [Cai, Minghong] Shanghai Jiao Tong Univ, Sch Oceanog, 1954 Huashan Rd, Shanghai 200030, Peoples R China</t>
  </si>
  <si>
    <t>Beijing Normal University; Polar Research Institute of China; Ministry of Natural Resources of the People's Republic of China; Changsha University of Science &amp; Technology; Tongji University; Polar Research Institute of China; Shanghai Jiao Tong University</t>
  </si>
  <si>
    <t>Cai, MH (corresponding author), Polar Res Inst China, Minist Nat Resources, Key Lab Polar Sci, Shanghai 200136, Peoples R China.</t>
  </si>
  <si>
    <t>caiminghong@pric.org.cn</t>
  </si>
  <si>
    <t>Zhang, Shengwei/HZI-0177-2023; Liu, Mengyue/HNP-0239-2023</t>
  </si>
  <si>
    <t>Cai, Minghong/0000-0003-2107-4386</t>
  </si>
  <si>
    <t>National Natural Science Foundation of China [41776202]; National Key Research and Development Program of China [2021YFC2801103]; Research Fund of Science and Technology Innovation Platform of Key Laboratory of Dongting Lake Aquatic Eco Environmental Control and Restoration of Hunan Province, Changsha University of Science Technology [2018DT02]; Research Fund of Aquatic Resources Food Processing Engineering Technology Research Centre of Hunan Province [2018KJY11]</t>
  </si>
  <si>
    <t>National Natural Science Foundation of China(National Natural Science Foundation of China (NSFC)); National Key Research and Development Program of China; Research Fund of Science and Technology Innovation Platform of Key Laboratory of Dongting Lake Aquatic Eco Environmental Control and Restoration of Hunan Province, Changsha University of Science Technology; Research Fund of Aquatic Resources Food Processing Engineering Technology Research Centre of Hunan Province</t>
  </si>
  <si>
    <t>This research is supported by the National Natural Science Foundation of China through Grants 41776202, the National Key Research and Development Program of China through Grant 2021YFC2801103, the Research Fund of Science and Technology Innovation Platform of Key Laboratory of Dongting Lake Aquatic Eco Environmental Control and Restoration of Hunan Province, Changsha University of Science &amp; Technology (2018DT02), the Research Fund of Aquatic Resources Food Processing Engineering Technology Research Centre of Hunan Province (2018KJY11).</t>
  </si>
  <si>
    <t>10.1016/j.envpol.2022.119133</t>
  </si>
  <si>
    <t>0Z8NK</t>
  </si>
  <si>
    <t>WOS:000791328000003</t>
  </si>
  <si>
    <t>Barrera, A; Acuña-Rodríguez, IS; Ballesteros, GI; Atala, C; Molina-Montenegro, MA</t>
  </si>
  <si>
    <t>Barrera, Andrea; Acuna-Rodriguez, Ian S.; Ballesteros, Gabriel I.; Atala, Cristian; Molina-Montenegro, Marco A.</t>
  </si>
  <si>
    <t>Biological Soil Crusts as Ecosystem Engineers in Antarctic Ecosystem</t>
  </si>
  <si>
    <t>soil biocrusts; Colobanthus quitensis; enzymatic process; metabarcoding; Antarctic ecosystem</t>
  </si>
  <si>
    <t>BIOCRUST-FORMING LICHENS; CRYPTOBIOTIC CRUSTS; MICROBIOTIC CRUSTS; PLANTS; DESERT; GROWTH; PATTERNS; POLYSACCHARIDES; STOICHIOMETRY; POPULATIONS</t>
  </si>
  <si>
    <t>Biological soil crusts (BSC) are considered as pivotal ecological elements among different ecosystems of the world. The effects of these BSC at the micro-site scale have been related to the development of diverse plant species that, otherwise, might be strongly limited by the harsh abiotic conditions found in environments with low water availability. Here, we describe for the first time the bacterial composition of BSCs found in the proximities of Admiralty Bay (Maritime Antarctica) through 16S metabarcoding. In addition, we evaluated their effect on soils (nutrient levels, enzymatic activity, and water retention), and on the fitness and performance of Colobanthus quitensis, one of the two native Antarctic vascular plants. This was achieved by comparing the photochemical performance, foliar nutrient, biomass, and reproductive investment between C. quitensis plants growing with or without the influence of BSC. Our results revealed a high diversity of prokaryotes present in these soil communities, although we found differences in terms of their abundances. We also found that the presence of BSCs is linked to a significant increase in soils' water retention, nutrient levels, and enzymatic activity when comparing with control soils (without BSCs). In the case of C. quitensis, we found that measured ecophysiological performance parameters were significantly higher on plants growing in association with BSCs. Taken together, our results suggest that BSCs in Antarctic soils are playing a key role in various biochemical processes involved in soil development, while also having a positive effect on the accompanying vascular flora. Therefore, BSCs would be effectively acting as ecosystem engineers for the terrestrial Antarctic ecosystem.</t>
  </si>
  <si>
    <t>[Barrera, Andrea; Acuna-Rodriguez, Ian S.; Molina-Montenegro, Marco A.] Univ Talca, Inst Ciencias Biol, Talca, Chile; [Ballesteros, Gabriel I.] Univ Talca, Inst Invest Interdisciplinaria I3, Talca, Chile; [Atala, Cristian] Pontificia Univ Catolica Valparaiso, Fac Ciencias, Inst Biol, Valparaiso, Chile; [Molina-Montenegro, Marco A.] Univ Catolica Norte, Ctr Estudios Avanzados Zonas Aridas CEAZA, Fac Ciencias Mar, Coquimbo, Chile; [Molina-Montenegro, Marco A.] Univ Catolica Maule, Ctr Invest Estudios Avanzados Maule CIEAM, Talca, Chile</t>
  </si>
  <si>
    <t>Universidad de Talca; Pontificia Universidad Catolica de Valparaiso; Universidad Catolica del Norte; Universidad Catolica del Maule</t>
  </si>
  <si>
    <t>Molina-Montenegro, MA (corresponding author), Univ Talca, Inst Ciencias Biol, Talca, Chile.;Molina-Montenegro, MA (corresponding author), Univ Catolica Norte, Ctr Estudios Avanzados Zonas Aridas CEAZA, Fac Ciencias Mar, Coquimbo, Chile.;Molina-Montenegro, MA (corresponding author), Univ Catolica Maule, Ctr Invest Estudios Avanzados Maule CIEAM, Talca, Chile.</t>
  </si>
  <si>
    <t>marco.molina@utalca.cl</t>
  </si>
  <si>
    <t>Ballesteros, Gabriel/IAN-7082-2023; Ballesteros, Gabriel/AAW-7032-2021</t>
  </si>
  <si>
    <t>Ballesteros, Gabriel/0000-0002-3179-3168; Atala, Cristian/0000-0003-1337-9534</t>
  </si>
  <si>
    <t>INACH [DT_20-18]; CONICYT Doctoral Scholarship [21191647]; FONDECYT [1181034]; ANID-PIA-Anillo INACH ACT [192057]</t>
  </si>
  <si>
    <t>INACH; CONICYT Doctoral Scholarship(Comision Nacional de Investigacion Cientifica y Tecnologica (CONICYT)); FONDECYT(Comision Nacional de Investigacion Cientifica y Tecnologica (CONICYT)CONICYT FONDECYT); ANID-PIA-Anillo INACH ACT</t>
  </si>
  <si>
    <t>This study was supported through projects INACH DT_20-18, CONICYT Doctoral Scholarship 21191647, FONDECYT 1181034, and the ANID-PIA-Anillo INACH ACT 192057.</t>
  </si>
  <si>
    <t>MAR 22</t>
  </si>
  <si>
    <t>10.3389/fmicb.2022.755014</t>
  </si>
  <si>
    <t>0K2KW</t>
  </si>
  <si>
    <t>WOS:000780623100001</t>
  </si>
  <si>
    <t>Amoo, M; Salzmann, U; Pound, MJ; Thompson, N; Bijl, PK</t>
  </si>
  <si>
    <t>Amoo, Michael; Salzmann, Ulrich; Pound, Matthew J.; Thompson, Nick; Bijl, Peter K.</t>
  </si>
  <si>
    <t>Eocene to Oligocene vegetation and climate in the Tasmanian Gateway region were controlled by changes in ocean currents and pCO2</t>
  </si>
  <si>
    <t>TEMPERATE RAIN-FORESTS; ANTARCTIC GLACIATION; CENOZOIC HISTORY; ATMOSPHERIC CO2; PROXY DATA; SOUTHERN; EVOLUTION; AUSTRALIA; TRANSITION; POLLEN</t>
  </si>
  <si>
    <t>Considered one of the most significant climate reorganizations of the Cenozoic period, the Eocene-Oligocene Transition (EOT; ca. 34.44-33.65) is characterized by global cooling and the first major glacial advance on Antarctica. In the southern high latitudes, the EOT cooling is primarily recorded in the marine realm, and its extent and effect on the terrestrial climate and vegetation are poorly documented. Here, we present new, well-dated, continuous, high-resolution palynological (sporomorph) data and quantitative sporomorph-based climate estimates recovered from the East Tasman Plateau (ODP Site 1172) to reconstruct climate and vegetation dynamics from the late Eocene (37.97 Ma) to the early Oligocene (33.06 Ma). Our results indicate three major climate transitions and four vegetation communities occupying Tasmania under different precipitation and temperature regimes: (i) a warm-temperate Nothofagus-Podocarpaceae-dominated rainforest with paratropical elements from 37.97 to 37.52 Ma; (ii) a cool-temperate Nothofagus-dominated rainforest with secondary Podocarpaceae rapidly expanding and taking over regions previously occupied by the warmer taxa between 37.306 and 35.60 Ma; (iii) fluctuation between warm-temperate-paratropical taxa and cool temperate forest from 35.50 to 34.49 Ma, followed by a cool phase across the EOT (34.30-33.82 Ma); and (iv) a post-EOT (earliest Oligocene) recovery characterized by a warm-temperate forest association from 33.55 to 33.06 Ma. Coincident with changes in the stratification of water masses and sequestration of carbon from surface water in the Southern Ocean, our sporomorph-based temperature estimates between 37.52 and 35.60 Ma (phase ii) showed 2-3 degrees C terrestrial cooling. The unusual fluctuation between warm and cold temperate forest between 35.50 to 34.59 Ma is suggested to be linked to the initial deepening of the Tasmanian Gateway, allowing eastern Tasmania to come under the influence of warm water associated with the proto-Leeuwin Current (PLC). Further to the above, our terrestrial data show the mean annual temperature declining by about 2 degrees C across the EOT before recovering in the earliest Oligocene. This phenomenon is synchronous with regional and global cooling during the EOT and linked to declining pCO(2). However, the earliest Oligocene climate rebound along eastern Tasmania is linked to a transient recovery of atmospheric pCO(2) and sustained deepening of the Tasmanian Gateway, promoting PLC throughflow. The three main climate transitional events across the studied interval (late Eocene-earliest Oligocene) in the Tasmanian Gateway region suggest that changes in ocean circulation due to accelerated deepening of the Tasmanian Gateway may not have been solely responsible for the changes in terrestrial climate and vegetation dynamics; a series of regional and global events, including a change in the stratification of water masses, sequestration of carbon from surface waters, and changes in pCO(2), may have also played vital roles.</t>
  </si>
  <si>
    <t>[Amoo, Michael; Salzmann, Ulrich; Pound, Matthew J.; Thompson, Nick] Northumbria Univ, Dept Geog &amp; Environm Sci, Newcastle Upon Tyne, Tyne &amp; Wear, England; [Bijl, Peter K.] Univ Utrecht, Marine Palynol &amp; Palaeoceanog, Princetonlaan 8A, Utrecht, Netherlands</t>
  </si>
  <si>
    <t>Northumbria University; Utrecht University</t>
  </si>
  <si>
    <t>Amoo, M (corresponding author), Northumbria Univ, Dept Geog &amp; Environm Sci, Newcastle Upon Tyne, Tyne &amp; Wear, England.</t>
  </si>
  <si>
    <t>michael.amoo@northumbria.ac.uk</t>
  </si>
  <si>
    <t>; Salzmann, Ulrich/H-9929-2017</t>
  </si>
  <si>
    <t>Bijl, Peter/0000-0002-1710-4012; Salzmann, Ulrich/0000-0001-5598-5327; Thompson, Nick/0000-0002-8407-2647; Amoo, Michael/0000-0002-1816-9221; Pound, Matthew/0000-0001-8029-9548</t>
  </si>
  <si>
    <t>US National Science Foundation under the Joint Oceanographic Institutions (JOI); Natural Environment Research Council (NERC) [NE/S007512/1]; European Research Council [802835]; European Research Council (ERC) [802835] Funding Source: European Research Council (ERC); NERC [NE/S007512/1] Funding Source: UKRI</t>
  </si>
  <si>
    <t>US National Science Foundation under the Joint Oceanographic Institutions (JOI); Natural Environment Research Council (NERC)(UK Research &amp; Innovation (UKRI)Natural Environment Research Council (NERC)); European Research Council(European Research Council (ERC)); European Research Council (ERC)(European Research Council (ERC)Spanish Government); NERC(UK Research &amp; Innovation (UKRI)Natural Environment Research Council (NERC))</t>
  </si>
  <si>
    <t>Samples for this study were supplied by the Ocean Drilling Program (ODP) sponsored by the US National Science Foundation under the management of the Joint Oceanographic Institutions (JOI). Florian Schwarz is thanked for providing technical support regarding sporomorph-based climate estimate calculations. The authors thank Ian Sluiter and an anonymous reviewer for their helpful comments that have greatly improved our manuscript. Nick Thompson received funding from the Natural Environment Research Council (NERC)-funded Doctoral Training Partnership ONE Planet [NE/S007512/1]. Peter K. Bijl acknowledges funding from the European Research Council for starting grant number 802835, OceaNice.</t>
  </si>
  <si>
    <t>10.5194/cp-18-525-2022</t>
  </si>
  <si>
    <t>ZZ6RR</t>
  </si>
  <si>
    <t>WOS:000773394200001</t>
  </si>
  <si>
    <t>Arkhipkin, AI; Brickle, P; Lee, B; Shaw, PW; McKeown, NJ</t>
  </si>
  <si>
    <t>Arkhipkin, Alexander, I; Brickle, Paul; Lee, Brendon; Shaw, Paul W.; McKeown, Niall J.</t>
  </si>
  <si>
    <t>Taxonomic re-appraisal for toothfish (Dissostichus: Notothenioidea) across the Antarctic Polar Front using genomic and morphological studies</t>
  </si>
  <si>
    <t>Dissostichus australis; endemism; mtDNA; new species; nuclear SNP analysis; southern Atlantic</t>
  </si>
  <si>
    <t>PATAGONIAN TOOTHFISH; SOUTHERN-OCEAN; POPULATION-STRUCTURE; GENETIC-STRUCTURE; ELEGINOIDES SMITT; DIVERGENCE; ISLANDS; DISPERSAL; FISH; DNA</t>
  </si>
  <si>
    <t>The Patagonian toothfish, Dissostichus eleginoides, is one of the largest predatory fishes inhabiting Southern Ocean waters spanning the Antarctic Polar Front (APF), a prominent biogeographic boundary restricting gene flow and driving species divergence between Antarctic and sub-Antarctic waters. In the light of emerging threats to toothfish conservation and sustainability, this study investigated genetic [mtDNA sequences and genome wide nuclear single nucleotide polymorphisms (SNPs)] and morphological data to critically evaluate the taxonomic status of toothfish north (Chile and Patagonian shelf) and south (South Georgia and South Sandwich Islands) of the APF. mtDNA revealed reciprocally monophyletic lineages on either side of the APF with coalescent analysis indicating these diverged during the Pleistocene. Integration with data from other sources suggests the Chilean/Patagonian lineage is endemic. SNP analysis confirmed restricted nuclear gene flow between both groups and revealed a consensus suite of positive outlier SNPs compatible with adaptive divergence between these groups. Finally, several morphological features permit unequivocal assignment of individuals to either of the clades. Based on the genetic, phenotypic and ecological divergence, the authors propose that toothfish on either side of the APF be recognised as distinct species, with the name D. eleginoides used for toothfish occurring in South American waters north of the APF and toothfish south of the APF being classified using the new name D. australis reflecting their southern distribution.</t>
  </si>
  <si>
    <t>[Arkhipkin, Alexander, I; Lee, Brendon] Fisheries Dept, Bypass Rd, Stanley F1QQ 1ZZ, Falkland Island; [Brickle, Paul] South Atlantic Environm Res Inst SAERI, Stanley, Falkland Island; [Shaw, Paul W.; McKeown, Niall J.] Aberystwyth Univ, Inst Biol Environm &amp; Rural Sci, Aberystwyth, Dyfed, Wales</t>
  </si>
  <si>
    <t>UK Research &amp; Innovation (UKRI); Biotechnology and Biological Sciences Research Council (BBSRC); Institute of Biological, Environmental, Rural &amp; Sciences (IBERS); Aberystwyth University</t>
  </si>
  <si>
    <t>Arkhipkin, AI (corresponding author), Fisheries Dept, Bypass Rd, Stanley F1QQ 1ZZ, Falkland Island.</t>
  </si>
  <si>
    <t>aarkhipkin@naturalresources.gov.fk</t>
  </si>
  <si>
    <t>McKeown, Niall/AAK-5989-2020</t>
  </si>
  <si>
    <t>McKeown, Niall/0000-0002-7351-5553; Lee, Brendon/0000-0003-1682-8905</t>
  </si>
  <si>
    <t>10.1111/jfb.15013</t>
  </si>
  <si>
    <t>WOS:000771712600001</t>
  </si>
  <si>
    <t>Uribe, RA; Perea, A; Ortiz, M</t>
  </si>
  <si>
    <t>Uribe, Roberto A.; Perea, Angel; Ortiz, Marco</t>
  </si>
  <si>
    <t>Determining ecosystem properties and short-term dynamical simulations in Eisenia cokeri kelp forest (north-center of Peru): Implications for conservation and monitoring</t>
  </si>
  <si>
    <t>ESTUARINE COASTAL AND SHELF SCIENCE</t>
  </si>
  <si>
    <t>Eisenia cokeri; Trophic modelling; Ascendency; Resilience; High order effects</t>
  </si>
  <si>
    <t>SE PACIFIC COAST; COMPARATIVE NETWORK STRUCTURE; BALANCED TROPHIC MODELS; FOOD-WEB; TONGOY BAY; BENTHIC COMMUNITIES; ECOLOGICAL-SYSTEMS; ARENICOLA-MARINA; CHILE; ECOPATH</t>
  </si>
  <si>
    <t>A mass-balanced and dynamical multispecies trophic model was constructed for the kelp forest ecosystem dominated by Eisenia cokeri in the central-northern Peruvian coast. Information of biomass, productivity, food spectrum, consumption, catches, and dynamics of the commercial and non-commercial local populations was needed and examined using Ecopath with Ecosim (EwE) software. The brown macroalgae E. cokeri accounted for-60% of total system biomass,-30% of total system throughput (TST), and-26% of ascendency (A), indicating its relevance in the aggregation and transference of energy/matter in the network, as well as in the development and growth status of this coastal ecological system. Based on the values of TST, A, A/C and Ov/C ratios, and path redundancy, this kelp forest would be more developed but less resistant to disturbances than other kelp forests along the SE Pacific and Antarctic coast. Likewise, Luidia magellanica, Heliaster helianthus and Labrisomus phillipi were the components that accounted for the complexity (lowest % of AMI) of the benthic-pelagic network system. The outcomes of mixed trophic impacts (MTI) indicate that the asteroids L. magellanica, H. helianthus, and other sea stars (OSS) propagate the highest magnitudes of direct and indirect effects on the other model compartments. Meanwhile, the dynamical responses using Ecosim short-term simulations (increasing 10%, 30%, and 50% the total mortality by fishing), the brown macroalgae E. cokeri, small epifauna (SE), and Tegula spp. exhibited the highest impacts on the remaining compartments in the model-system. The system recovery time (SRT) (as a measure of system resilience) indicated that E. cokeri, H. helianthus, and Tegula spp. would take the longest time to return (after disturbance) to their initial condition. The macroscopic properties estimated in the present work could be considered as baseline ecosystem conditions before performing an intensive exploitation on E. cokeri.</t>
  </si>
  <si>
    <t>[Uribe, Roberto A.] Inst Mar Peru IMARPE, Area Macroalgas &amp; Biodiversidad, Ave Ribera 805, Huanchaco, La Libertad, Peru; [Perea, Angel] Inst Mar Peru IMARPE, Lab Costero Chimbote, Ancash, Peru; [Ortiz, Marco] Univ Antofagasta, Inst Ciencias Natur Alexander Humboldt, Fac Ciencias Mar Recursos Biol, Antofagasta, Chile; [Ortiz, Marco] Univ Antofagasta, Inst Antofagasta, Lab Modelamiento Sistemas Ecol, Antofagasta, Chile</t>
  </si>
  <si>
    <t>Instituto del Mar del Peru; Universidad de Antofagasta; Universidad de Antofagasta</t>
  </si>
  <si>
    <t>Ortiz, M (corresponding author), Univ Antofagasta, Inst Ciencias Natur Alexander Humboldt, Fac Ciencias Mar Recursos Biol, Antofagasta, Chile.</t>
  </si>
  <si>
    <t>marco.ortiz@uantof.cl</t>
  </si>
  <si>
    <t>Uribe, Roberto A./HKV-7182-2023</t>
  </si>
  <si>
    <t>Uribe, Roberto A./0000-0001-5302-0820; Ortiz, Marco/0000-0002-1126-7216</t>
  </si>
  <si>
    <t>0272-7714</t>
  </si>
  <si>
    <t>1096-0015</t>
  </si>
  <si>
    <t>ESTUAR COAST SHELF S</t>
  </si>
  <si>
    <t>Estuar. Coast. Shelf Sci.</t>
  </si>
  <si>
    <t>10.1016/j.ecss.2022.107813</t>
  </si>
  <si>
    <t>1F4NZ</t>
  </si>
  <si>
    <t>WOS:000795146700007</t>
  </si>
  <si>
    <t>Won, SJ; Yim, JH; Kim, HK</t>
  </si>
  <si>
    <t>Won, Seok-Jae; Yim, Joung Han; Kim, Hyung-Kwoun</t>
  </si>
  <si>
    <t>Functional production, characterization, and immobilization of a cold-adapted cutinase from Antarctic Rhodococcus sp.</t>
  </si>
  <si>
    <t>PROTEIN EXPRESSION AND PURIFICATION</t>
  </si>
  <si>
    <t>Cutinase; Rhodococcus; Cold-adapted; Functional production; Immobilization</t>
  </si>
  <si>
    <t>FUSARIUM-SOLANI CUTINASE; HIGH-LEVEL EXPRESSION; ENZYMES; TRANSESTERIFICATION; HYDROLYSIS; ESTERASE</t>
  </si>
  <si>
    <t>A lipolytic enzyme (Rcut) was discovered from the Rhodococcusstrain (RosL12) isolated from the Antarctic Ross Sea. The corresponding gene composed of 651 bases encoding 216 amino acids. It was found to be a cutinase gene through BLAST search. Rcut has a signal sequence consisting of 29 amino acids. An active Rcut was produced after the intact gene containing the signal sequence was transformed into Escherichia coli Rosetta-gami (TM) 2 (DE3) pLysS. Rcut was purified through a nickel-nitrilotriacetic acid purification system and a carboxymethyl Sepharose column chromatography. Its specific activity was 2190 U/mg. Rcut showed the highest activity at 40 degrees C and had a low activation energy of 3.16 kcal/mol. This means that it is a typical cold-adapted enzyme. Rcut showed high activity towards medium chain fatty acids (C-4-C-10). Rcut degraded polycaprolactone and polyethylene terephthalate, suggesting that it could be used for decomposition of synthetic plastics causing environmental pollution. Rcut was immobilized on methacrylate-divinyl benzene bead. This immobilized Rcut (immRcut) showed higher thermal stability than the free enzyme. ImmRcut performed transesterification of various esters and ethanol in a non-polar solvent, suggesting that it could be used for the synthesis of industrially useful ester compounds.</t>
  </si>
  <si>
    <t>[Won, Seok-Jae; Kim, Hyung-Kwoun] Catholic Univ Korea, Dept Biotechnol, 43 Jibong Ro, Bucheon Si 14662, Gyeonggi Do, South Korea; [Yim, Joung Han] Korea Polar Res Inst, Incheon 406840, South Korea</t>
  </si>
  <si>
    <t>Catholic University of Korea; Korea Polar Research Institute (KOPRI)</t>
  </si>
  <si>
    <t>Kim, HK (corresponding author), Catholic Univ Korea, Dept Biotechnol, 43 Jibong Ro, Bucheon Si 14662, Gyeonggi Do, South Korea.</t>
  </si>
  <si>
    <t>hkkim@catholic.ac.kr</t>
  </si>
  <si>
    <t>Korea Polar Research Institute [PE21150]; Research Fund 2021 of The Catholic University of Korea</t>
  </si>
  <si>
    <t>Korea Polar Research Institute(Korea Polar Research Institute of Marine Research Placement (KOPRI)); Research Fund 2021 of The Catholic University of Korea</t>
  </si>
  <si>
    <t>This research was supported by Korea Polar Research Institute (PE21150) . This work was also supported by the Research Fund 2021 of The Catholic University of Korea.</t>
  </si>
  <si>
    <t>1046-5928</t>
  </si>
  <si>
    <t>1096-0279</t>
  </si>
  <si>
    <t>PROTEIN EXPRES PURIF</t>
  </si>
  <si>
    <t>Protein Expr. Purif.</t>
  </si>
  <si>
    <t>10.1016/j.pep.2022.106077</t>
  </si>
  <si>
    <t>Biochemical Research Methods; Biochemistry &amp; Molecular Biology; Biotechnology &amp; Applied Microbiology</t>
  </si>
  <si>
    <t>1C1IS</t>
  </si>
  <si>
    <t>WOS:000792882100003</t>
  </si>
  <si>
    <t>Dedden, AV; Rogers, TL</t>
  </si>
  <si>
    <t>Dedden, Adelaide V.; Rogers, Tracey L.</t>
  </si>
  <si>
    <t>Stable Isotope Oscillations in Whale Baleen Are Linked to Climate Cycles, Which May Reflect Changes in Feeding for Humpback and Southern Right Whales in the Southern Hemisphere</t>
  </si>
  <si>
    <t>stable isotopes; baleen whales; climate cycles; environmental drivers; long-term patters; El Nino-Southern Oscillation; Southern Annular Mode; Indian Ocean Dipole</t>
  </si>
  <si>
    <t>KRILL EUPHAUSIA-SUPERBA; EL-NINO; SEA-ICE; NITROGEN ISOTOPES; ANTARCTIC KRILL; VARIABILITY; CARBON; AUSTRALIS; FREQUENCY; PATTERNS</t>
  </si>
  <si>
    <t>Baleen whales that undertake extensive long-distance migrations away from reliable food sources must depend on body reserves acquired prior to migration. Prey abundance fluctuates, which has been linked in some regions with climate cycles. However, where historically these cycles have been predictable, due to climate change they are occurring at higher frequencies and intensities. We tested if there were links between variability in whale feeding patterns and changes in climate cycles including the El Nino-Southern Oscillation (ENSO), Southern Annular Mode (SAM), and Indian Ocean Dipole (IOD). To reconstruct feeding patterns we used the values of bulk stable isotopes of nitrogen (delta N-15) and carbon (delta C-13) assimilated within the baleen plates of 18 humpback and 4 southern right whales between 1963 and 2019, then matched them with climate anomalies from the time in which the section of baleen grew. We show that variability in stable isotope values within baleen for both humpback and southern right whales is linked with shifts in climate cycles and may imply changes in feeding patterns due to resource availability. However, these relationships differed depending on the oceanic region in which the whales feed. In the western Pacific, Southern Ocean feeding humpback whales had elevated nitrogen and carbon stable isotope values during La Nina and positive SAM phases when lagged 4 years, potentially reflecting reduced feeding opportunities. On the other hand, in the Indian Ocean the opposite occurs, where lower nitrogen and carbon stable isotope values were found during positive SAM phases at 2-4-year lag periods for both Southern Ocean feeding humpback and southern right whales, which may indicate improved feeding opportunities. Identifying links between stable isotope values and changes in climate cycles may contribute to our understanding of how complex oscillation patterns in baleen are formed. As projections of future climate scenarios emphasise there will be greater variability in climate cycles and thus the primary food source of baleen whales, we can then use these links to investigate how long-term feeding patterns may change in the future.</t>
  </si>
  <si>
    <t>[Dedden, Adelaide V.; Rogers, Tracey L.] Univ New South Wales, Evolut &amp; Ecol Res Ctr, Sch Biol Earth &amp; Environm Sci, Sydney, NSW, Australia; [Dedden, Adelaide V.; Rogers, Tracey L.] Univ New South Wales, Ctr Marine Sci &amp; Innovat, Sch Biol Earth &amp; Environm Sci, Sydney, NSW, Australia</t>
  </si>
  <si>
    <t>University of New South Wales Sydney; University of New South Wales Sydney</t>
  </si>
  <si>
    <t>Dedden, AV (corresponding author), Univ New South Wales, Evolut &amp; Ecol Res Ctr, Sch Biol Earth &amp; Environm Sci, Sydney, NSW, Australia.;Dedden, AV (corresponding author), Univ New South Wales, Ctr Marine Sci &amp; Innovat, Sch Biol Earth &amp; Environm Sci, Sydney, NSW, Australia.</t>
  </si>
  <si>
    <t>a.dedden@unsw.edu.au</t>
  </si>
  <si>
    <t>Rogers, Tracey/0000-0002-7141-4177</t>
  </si>
  <si>
    <t>MAR 21</t>
  </si>
  <si>
    <t>10.3389/fmars.2022.832075</t>
  </si>
  <si>
    <t>0I3ML</t>
  </si>
  <si>
    <t>WOS:000779327100001</t>
  </si>
  <si>
    <t>Ramos, JE; Tam, J; Aramayo, V; Briceño, FA; Bandin, R; Buitron, B; Cuba, A; Fernandez, E; Flores-Valiente, J; Gomez, E; Jara, HJ; Ñiquen, M; Rujel, J; Salazar, CM; Sanjinez, M; Leon, RI; Nelson, M; Gutiérrez, D; Pecl, GT</t>
  </si>
  <si>
    <t>Ramos, Jorge E.; Tam, Jorge; Aramayo, Victor; Briceno, Felipe A.; Bandin, Ricardo; Buitron, Betsy; Cuba, Antonio; Fernandez, Ernesto; Flores-Valiente, Jorge; Gomez, Emperatriz; Jara, Hans J.; Niquen, Miguel; Rujel, Jesus; Salazar, Carlos M.; Sanjinez, Maria; Leon, Rafael, I; Nelson, Mark; Gutierrez, Dimitri; Pecl, Gretta T.</t>
  </si>
  <si>
    <t>Climate vulnerability assessment of key fishery resources in the Northern Humboldt Current System</t>
  </si>
  <si>
    <t>EL-NINO; MARINE ECOSYSTEM; PERUVIAN HAKE; OCEAN; IMPACTS; MANAGEMENT; OXYGEN; PRODUCTIVITY; SENSITIVITY; INDICATOR</t>
  </si>
  <si>
    <t>The Northern Humboldt Current System sustains one of the most productive fisheries in the world. However, climate change is anticipated to negatively affect fish production in this region over the next few decades, and detailed analyses for many fishery resources are unavailable. We implemented a trait-based Climate Vulnerability Assessment based on expert elicitation to estimate the relative vulnerability of 28 fishery resources (benthic, demersal, and pelagic) to the impacts of climate change by 2055; ten exposure factors (e.g., temperature, salinity, pH, chlorophyll) and 13 sensitivity attributes (biological and population-level traits) were used. Nearly 36% of the species assessed had high or very high vulnerability. Benthic species were ranked the most vulnerable (gastropod and bivalve species). The pelagic group was the second most vulnerable; the Pacific chub mackerel and the yellowfin tuna were amongst the most vulnerable pelagic species. The demersal group had the relatively lowest vulnerability. This study allowed identification of vulnerable fishery resources, research and monitoring priorities, and identification of the key exposure factors and sensitivity attributes which are driving that vulnerability. Our findings can help fishery managers incorporate climate change into harvest level and allocation decisions, and assist stakeholders plan for and adapt to a changing future.</t>
  </si>
  <si>
    <t>[Ramos, Jorge E.; Leon, Rafael, I; Pecl, Gretta T.] Univ Tasmania, Inst Marine &amp; Antarctic Studies, Hobart, Tas, Australia; [Ramos, Jorge E.] Directorate Nat Resources, Falkland Isl Fisheries Dept, Stanley, Falkland Island; [Tam, Jorge; Aramayo, Victor; Buitron, Betsy; Cuba, Antonio; Fernandez, Ernesto; Gomez, Emperatriz; Jara, Hans J.; Niquen, Miguel; Rujel, Jesus; Salazar, Carlos M.; Sanjinez, Maria; Gutierrez, Dimitri] Inst Mar Peru, Lima, Peru; [Tam, Jorge; Flores-Valiente, Jorge; Gutierrez, Dimitri] Univ Peruana Cayetano Heredia, Ctr Invest Desarrollo Integral &amp; Sostenible CIDIS, Fac Ciencias &amp; Filosoffia, Lab Ciencias Mar, Lima, Peru; [Aramayo, Victor] Univ Nacl Mayor San Marcos, Fac Ciencias Biol, Lima, Peru; [Briceno, Felipe A.] Univ Austral Chile, Inst Acuicultura, Lab Ecofisiol Crustaceos, Puerto Montt, Chile; [Bandin, Ricardo] Soc Peruana Derecho Ambiental, Lima, Peru; [Nelson, Mark] NOAA Fisheries, ECS, Off Sci &amp; Technol, Silver Spring, MD USA; [Pecl, Gretta T.] Univ Tasmania, Ctr Marine Socioecol, Hobart, Tas, Australia</t>
  </si>
  <si>
    <t>University of Tasmania; Instituto del Mar del Peru; Universidad Peruana Cayetano Heredia; Universidad Nacional Mayor de San Marcos; Universidad Austral de Chile; National Oceanic Atmospheric Admin (NOAA) - USA; University of Tasmania</t>
  </si>
  <si>
    <t>Ramos, JE (corresponding author), Univ Tasmania, Inst Marine &amp; Antarctic Studies, Hobart, Tas, Australia.;Ramos, JE (corresponding author), Directorate Nat Resources, Falkland Isl Fisheries Dept, Stanley, Falkland Island.</t>
  </si>
  <si>
    <t>jeramos@utas.edu.au</t>
  </si>
  <si>
    <t>Aramayo, Víctor/AGE-2904-2022; Pecl, Gretta/D-7267-2011; Robledo, Jorge Alejandro Kurczyn/I-8473-2017</t>
  </si>
  <si>
    <t>Pecl, Gretta/0000-0003-0192-4339; Ramos, Jorge E/0000-0002-8690-761X; Jara, Hans/0000-0001-9015-1950; Flores Valiente, Jorge Arturo/0000-0002-0587-3818</t>
  </si>
  <si>
    <t>Australian Research Council Future Fellowship; Inter-American Development Bank through the IMARPE-PRODUCE-MINAM Project Adaptation to climate change of the fishery sector and marine-coastal ecosystem of Peru [PE-G1001/PE-T1297]; Adaptation Fund through PROFONANPE (Fondo de Promocion de las Areas Naturales Protegidas del Peru)</t>
  </si>
  <si>
    <t>Australian Research Council Future Fellowship(Australian Research Council); Inter-American Development Bank through the IMARPE-PRODUCE-MINAM Project Adaptation to climate change of the fishery sector and marine-coastal ecosystem of Peru; Adaptation Fund through PROFONANPE (Fondo de Promocion de las Areas Naturales Protegidas del Peru)</t>
  </si>
  <si>
    <t>Carlos Romero and Lucero Achaya provided logistic support during the workshops and during the assessment, respectively. Kelly Ortega-Cisneros provided suggestions on data analyses. GTP was supported by an Australian Research Council Future Fellowship. This study was supported with funds from the Inter-American Development Bank through the IMARPE-PRODUCE-MINAM Project Adaptation to climate change of the fishery sector and marine-coastal ecosystem of Peru (PE-G1001/PE-T1297) and from the Adaptation Fund through PROFONANPE (Fondo de Promocion de las Areas Naturales Protegidas del Peru).</t>
  </si>
  <si>
    <t>10.1038/s41598-022-08818-5</t>
  </si>
  <si>
    <t>ZX0JS</t>
  </si>
  <si>
    <t>WOS:000771589000021</t>
  </si>
  <si>
    <t>Dutta, R; Sridharan, S; Ojha, S</t>
  </si>
  <si>
    <t>Dutta, Reetambhara; Sridharan, S.; Ojha, Sayantani</t>
  </si>
  <si>
    <t>Impact of stratospheric planetary wave and ozone variabilities on the austral polar middle atmospheric circulation</t>
  </si>
  <si>
    <t>Ozone loss; Meridional heat flux; Mesospheric winds; Semi-diurnal tide</t>
  </si>
  <si>
    <t>INTERANNUAL VARIABILITY; HOLE; CHLORINE; VORTEX; TIDES; SINK</t>
  </si>
  <si>
    <t>Analysis of the meteor radar wind observations in the upper mesosphere and lower thermosphere (UMLT) region (82-98 km) over Rothera (67.5 degrees S, 68.1 degrees W) reveals that the monthly mean zonal winds show a large interannual variability during November-December, when compared to other months. Large westward winds are observed during November-December of the years 2006-2011, 2015, 2018 and 2020, when the amount of ozone loss is more in the southern high-latitude stratosphere (57.5 degrees S-77.5 degrees S). The ERA-5 reanalysis winds at 30 hPa over 67.5 degrees S also show an interannual variability with large eastward winds at stratospheric heights during October-November of those years. The presence of high meridional heat flux due primarily to the planetary wave (PW) of zonal wavenumber 1 in the other years increases the polar stratospheric temperature and subsequently reduces the catalytic destruction of ozone by preventing the formation of polar stratospheric clouds (PSCs). Further, it is also found that the ozone loss influences the migrating semi-diurnal (SW2) tidal variabilities at upper mesospheric heights with low activity corresponding to the years having more ozone loss. These results indicate the impact of planetary waves on the catalytic destruction of Antarctic ozone leading to the circulation and tidal amplitude changes extend (c) 2022 COSPAR. Published by Elsevier B.V. All rights reserved.</t>
  </si>
  <si>
    <t>[Dutta, Reetambhara; Sridharan, S.] Natl Atmospher Res Lab, Pakala Mandal 517112, Andhra Pradesh, India; [Dutta, Reetambhara; Ojha, Sayantani] Indian Inst Space Sci &amp; Technol, Valiamala PO, Thiruvananthapuram 695547, Kerala, India</t>
  </si>
  <si>
    <t>Department of Space (DoS), Government of India; National Atmospheric Research Laboratory (NARL); Department of Space (DoS), Government of India; Indian Institute of Space Science &amp; Technology</t>
  </si>
  <si>
    <t>Sridharan, S (corresponding author), Natl Atmospher Res Lab, Pakala Mandal 517112, Andhra Pradesh, India.</t>
  </si>
  <si>
    <t>susridharan@narl.gov.in</t>
  </si>
  <si>
    <t>DUTTA, REETAMBHARA/0000-0002-4141-1207</t>
  </si>
  <si>
    <t>10.1016/j.asr.2022.01.025</t>
  </si>
  <si>
    <t>0N1NQ</t>
  </si>
  <si>
    <t>WOS:000782613500004</t>
  </si>
  <si>
    <t>Chen, XC; Liu, JJ; Liu, RY; Hu, HQ; Zhang, BC; Yukimatu, AS</t>
  </si>
  <si>
    <t>Chen, Xiangcai; Liu, Jianjun; Liu, Ruiyuan; Hu, Hongqiao; Zhang, Beichen; Yukimatu, Akira Sessai</t>
  </si>
  <si>
    <t>Comparison of Digisonde derived ion drifts and SuperDARN line-of-sight velocities over Zhongshan Station, Antarctica</t>
  </si>
  <si>
    <t>Doppler shift; Plasma flow; SuperDARN HF radar; Digisonde portable sounder DPS; Polar ionosphere</t>
  </si>
  <si>
    <t>HF-RADARS; CONVECTION</t>
  </si>
  <si>
    <t>In this study, ion drift velocities measured by Digisonde instruments over Zhongshan Station (ZHS, geog. 69.38S, 76.38E), Antarctica, are compared with measurements from Super Dual Auroral Radar Network (SuperDARN) HF radars. For SuperDARN Syowa East (SYE) and Kerguelen (KER) radars that intersect with ZHS, a data set comprised of adjacent range gates from nearest radar beams is used. Digisonde ion drift measurements were projected onto the direction of co-located and concurrent line-of-sight SuperDARN velocities. A comparison of the velocities shows a clear correlation (R = 0.92) between the two data sets. Projected Digisonde velocity was found to be, on average, larger than the line-of-sight SuperDARN radar velocities by a factor of 1.7. Time dependence distributions of Digisonde-SuperDARN SYE radars showed that the larger velocity discrepancies are more located at the dawnside convection cell. Considering the known features of the high-latitude convection patterns at cusp latitude, the statistical results imply the velocity discrepancies are related to the differences in the temporal and spatial evolution of plasma structures.</t>
  </si>
  <si>
    <t>[Chen, Xiangcai; Liu, Jianjun; Liu, Ruiyuan; Hu, Hongqiao; Zhang, Beichen] Polar Res Inst China, MNR Key Lab Polar Sci, Shanghai, Peoples R China; [Chen, Xiangcai] Chinese Acad Sci, State Key Lab Space Weather, Beijing, Peoples R China; [Yukimatu, Akira Sessai] Natl Inst Polar Res, Tokyo, Japan; [Yukimatu, Akira Sessai] Grad Univ Adv Studies, Dept Polar Sci, SOKENDAI, Hayama, Japan</t>
  </si>
  <si>
    <t>Polar Research Institute of China; Chinese Academy of Sciences; Research Organization of Information &amp; Systems (ROIS); National Institute of Polar Research (NIPR) - Japan; Graduate University for Advanced Studies - Japan</t>
  </si>
  <si>
    <t>Chen, XC; Liu, JJ (corresponding author), Polar Res Inst China, MNR Key Lab Polar Sci, Shanghai, Peoples R China.;Chen, XC (corresponding author), Chinese Acad Sci, State Key Lab Space Weather, Beijing, Peoples R China.</t>
  </si>
  <si>
    <t>chenxiangcai@pric.org.cn; liujianjun@pric.org.cn</t>
  </si>
  <si>
    <t>Chen, Xiangcai/S-9746-2019</t>
  </si>
  <si>
    <t>Chen, Xiangcai/0000-0002-6325-5049; Liu, Jianjun/0000-0003-0465-6210</t>
  </si>
  <si>
    <t>National Key Research and Devel-opment Program of China [2021YFE0106400, 2018YFC1407300]; Shanghai Science and Technology Innovation Action Plan [21DZ1206100]; National Natural Sci-ence Foundation of China [42130210, 41774166, 41704159, 41874173, 42120104003, 41874195]; International Cooperation Advance Research on Key Scientific Issues of the International Meridian Project [A131901W14]; United States of America; Science Program of Japanese Antarctic Research Expedition (JARE); National Institute of Polar Research (NIPR) under MEXT</t>
  </si>
  <si>
    <t>National Key Research and Devel-opment Program of China; Shanghai Science and Technology Innovation Action Plan; National Natural Sci-ence Foundation of China(National Natural Science Foundation of China (NSFC)); International Cooperation Advance Research on Key Scientific Issues of the International Meridian Project; United States of America; Science Program of Japanese Antarctic Research Expedition (JARE); National Institute of Polar Research (NIPR) under MEXT</t>
  </si>
  <si>
    <t>This work was supported by the National Key Research and Devel-opment Program of China (Grant No. 2021YFE0106400 and 2018YFC1407300) , the Shanghai Science and Technology Innovation Action Plan under Grant 21DZ1206100, and the National Natural Sci-ence Foundation of China (Grant No. 42130210, 41774166, 41704159, 41874173, 42120104003, 41874195) , and International Cooperation Advance Research on Key Scientific Issues of the International Meridian Project (A131901W14) . The author acknowledges the use of data from the Chinese Meridian Project, the DPS data can be obtained from http ://data.meridianproject.ac.cn. SuperDARN is a collection of scientific HF radars funded by the national scientific funding agencies of Australia, Canada, China, France, Italy, Japan, Norway, South Africa, United Kingdom, and United States of America. The radar data used in this work is available from the Virginia Tech portal at http://vt.supe rdarn.org. SuperDARN SENSU Syowa HF radars are operated by the Science Program of Japanese Antarctic Research Expedition (JARE) . It was supported by National Institute of Polar Research (NIPR) under MEXT.</t>
  </si>
  <si>
    <t>10.1016/j.polar.2022.100789</t>
  </si>
  <si>
    <t>0W9WZ</t>
  </si>
  <si>
    <t>WOS:000789370000001</t>
  </si>
  <si>
    <t>Ishikawa, H; Otsuki, M; Tamura, T; Konishi, K; Bando, T; Ishizuka, M; Ikenaka, Y; Nakayama, SMM; Mitani, Y</t>
  </si>
  <si>
    <t>Ishikawa, Hiroshi; Otsuki, Mayuko; Tamura, Tsutomu; Konishi, Kenji; Bando, Takaharu; Ishizuka, Mayumi; Ikenaka, Yoshinori; Nakayama, Shouta M. M.; Mitani, Yoko</t>
  </si>
  <si>
    <t>Foraging ecology of mature male Antarctic minke whales (Balaenoptera bonaerensis) revealed by stable isotope analysis of baleen plates</t>
  </si>
  <si>
    <t>Antarctic ecosystem; Feeding habits; Euphausia superba; Migration</t>
  </si>
  <si>
    <t>MARINE PLANKTON; CARBON; ACUTOROSTRATA; TEMPERATURE; MIGRATIONS; ENRICHMENT; LATITUDE; PATTERNS; TISSUES; CALL</t>
  </si>
  <si>
    <t>The Antarctic minke whale (Balaenoptera bonaerensis) is a seasonal migrator that feeds mainly on Antarctic krill at higher latitudes during the summer and travels to lower latitudes to breed in winter. A previous study using delta C-13 and delta N-15 values of baleen plates showed that pregnant Antarctic minke whales feed on Antarctic krill in the foraging season, with less feeding during the breeding season. However, long-term changes in the habitat use and diet of males remain unknown. In this study, we estimated the foraging habits of nine mature male Antarctic minke whales using the stable isotope signatures of baleen plates. From Bayesian stable isotope mixing models, it was found that Antarctic krill was the predominant prey of male whales, and prey species in lower latitudes were rarely incorporated into the baleen plates. This result is consistent with that of female Antarctic minke whales. Eight whales showed at least one oscillation in delta C-13 and delta N-15 values, whereas one whale (AM246) showed no variation in delta N-15 values. This possibly indicates that AM246 remained in the Antarctic water year-round. Our results suggest multiple migration patterns of male Antarctic minke whales.</t>
  </si>
  <si>
    <t>[Ishikawa, Hiroshi] Hokkaido Univ, Sch Fisheries Sci, 20-5 Benten, Hakodate, Hokkaido 0400051, Japan; [Otsuki, Mayuko; Mitani, Yoko] Hokkaido Univ, Field Sci Ctr Northern Biosphere, 20-5 Benten, Hakodate, Hokkaido 0400051, Japan; [Tamura, Tsutomu; Konishi, Kenji; Bando, Takaharu] Inst Cetacean Res, 4-5, Toyomi-cho, Chuo-ku, Tokyo 1040055, Japan; [Ishizuka, Mayumi; Ikenaka, Yoshinori; Nakayama, Shouta M. M.] Hokkaido Univ, Fac Vet Med, Kita 18, Kita, Nishi 9, Sapporo, Hokkaido 0600818, Japan; [Ikenaka, Yoshinori] Hokkaido Univ, Vet Teaching Hosp, Fac Vet Med, Translat Res Unit, Kita 18, Nishi 9, Kita-ku, Sapporo, Hokkaido 0600818, Japan; [Ikenaka, Yoshinori] North West Univ, Unit Environm Sci &amp; Management, Water Res Grp, Potchefstroom, South Africa; [Ikenaka, Yoshinori] Hokkaido Univ, One Hlth Res Ctr, Kita 18, Nishi 9, Kita-ku, Sapporo, Hokkaido 0600818, Japan; [Otsuki, Mayuko] Hokkaido Univ, Grad Sch Fisheries Sci, 3-1-1 Minato,, Hakodate, Hokkaido 0418611, Japan; [Mitani, Yoko] Kyoto Univ, Wildlife Res Ctr, 2-24 Tanaka-Sekiden-cho, Sakyo, Kyoto 6068203, Japan</t>
  </si>
  <si>
    <t>Hokkaido University; Hokkaido University; Hokkaido University; Hokkaido University; North West University - South Africa; Hokkaido University; Hokkaido University; Kyoto University</t>
  </si>
  <si>
    <t>Otsuki, M (corresponding author), Hokkaido Univ, Field Sci Ctr Northern Biosphere, 20-5 Benten, Hakodate, Hokkaido 0400051, Japan.</t>
  </si>
  <si>
    <t>motsuki@ees.hokudai.ac.jp</t>
  </si>
  <si>
    <t>Otsuki, Mayuko/S-3063-2018</t>
  </si>
  <si>
    <t>Otsuki, Mayuko/0000-0002-3765-664X</t>
  </si>
  <si>
    <t>Institute of Cetacean Research; Fisheries Agency of Japan</t>
  </si>
  <si>
    <t>Financial support to Mayuko Otsuki and Yoko Mitani was provided by the Institute of Cetacean Research. This project was also supported by the Fisheries Agency of Japan.</t>
  </si>
  <si>
    <t>10.1016/j.polar.2021.100785</t>
  </si>
  <si>
    <t>WOS:000789370000002</t>
  </si>
  <si>
    <t>Gorenstein, I; Wainer, I; Mata, MM; Tonelli, M</t>
  </si>
  <si>
    <t>Gorenstein, Iuri; Wainer, Ilana; Mata, Mauricio M.; Tonelli, Marcos</t>
  </si>
  <si>
    <t>Revisiting Antarctic sea-ice decadal variability since 1980</t>
  </si>
  <si>
    <t>Antarctic sea ice extent; Probability density function; SIE variability</t>
  </si>
  <si>
    <t>TRENDS; EXTENT</t>
  </si>
  <si>
    <t>Sea-ice extent (SIE) satellite data has been stored and studied over the past four decades. Antarctica's SIE has recently attained both its maximum (2014) and its minimum (2017) values, which raised questions regarding how SIE variability is evolving. Here we discuss a new approach to improve our understanding of SIE variability for the 1982-1993 and 2006-2017 periods. Using a probability density function and examining the mean and standard deviation of SIE distributions as a function of seasonality. Results show that the whole Southern Ocean presented both mean and standard deviation growth in all seasons. The largest SIE distribution difference for Southern Ocean between 1982-1993 and 2006-2017 periods was observed in July, August and September (JAS), during which all individual Sea sectors presented growth of the SIE mean. Not only different Sea sectors showed different variations, but the SIE data distributions from the same Sea sector yielded different changes with differing seasons. January, February and March (JFM) together with April, May and June were the seasons with the largest SIE decadal variability for Weddell, Indian, Amundsen and West Pacific Sea Sectors, while the Ross Sea showed greater SIE variability during JAS and October November, December. This methodology showed consistent results with the traditional SIE trend calculation and introduced a new quantification index for evaluating the differences between two distributions not necessarily connected in time.</t>
  </si>
  <si>
    <t>[Gorenstein, Iuri; Wainer, Ilana; Tonelli, Marcos] Univ Sao Paulo, Intituto Oceanog, Sao Paulo, Brazil; [Mata, Mauricio M.] Univ Fed Rio Grande, Inst Oceanog, Rio Grande, Brazil</t>
  </si>
  <si>
    <t>Universidade de Sao Paulo; Universidade Federal do Rio Grande</t>
  </si>
  <si>
    <t>Gorenstein, I (corresponding author), Univ Sao Paulo, Intituto Oceanog, Sao Paulo, Brazil.</t>
  </si>
  <si>
    <t>iuri.gorenstein@usp.br</t>
  </si>
  <si>
    <t>Tonelli, Marcos/GYE-2675-2022; WAINER, ILANA/B-4540-2011; Tonelli, Marcos/B-4547-2019; Mata, Mauricio/H-4605-2011</t>
  </si>
  <si>
    <t>WAINER, ILANA/0000-0003-3784-623X; Gorenstein, Iuri/0000-0003-0149-4850; Tonelli, Marcos/0000-0002-0984-6358; Mata, Mauricio/0000-0002-9028-8284</t>
  </si>
  <si>
    <t>FAPESP, Brazil [2015/17659-0, 2017/16511-5]; CNPq, Brazil [301726/2013-2, 405869/2013-4, 573720/2008-8]; Coordenacao de Aperfeicoamento de Pessoal de Nivel Superior-Brasil (CAPES) [001]; [CNPq.MCT.INCT.CRIOSFERA 573720/2008-8]</t>
  </si>
  <si>
    <t>FAPESP, Brazil(Fundacao de Amparo a Pesquisa do Estado de Sao Paulo (FAPESP)); CNPq, Brazil(Conselho Nacional de Desenvolvimento Cientifico e Tecnologico (CNPQ)); Coordenacao de Aperfeicoamento de Pessoal de Nivel Superior-Brasil (CAPES)(Coordenacao de Aperfeicoamento de Pessoal de Nivel Superior (CAPES));</t>
  </si>
  <si>
    <t>The Data used in this study is available through Stroeve and Meier (2018) , and can be downloaded from https://nsidc.org/data/NSIDC-0192/versions/3. The authors would like to thank Dr. Laurence Padman for the thorough revision and the constructive comments and suggestions that greatly improved this manuscript. This study was supported in part by the grants FAPESP, Brazil: 2015/17659-0, 2017/16511-5; CNPq, Brazil: 301726/2013-2, 405869/2013-4; CNPq.MCT.INCT.CRIOSFERA 573720/2008-8 and Coordenacao de Aperfeicoamento de Pessoal de Nivel Superior-Brasil (CAPES) -Finance Code 001.</t>
  </si>
  <si>
    <t>10.1016/j.polar.2021.100743</t>
  </si>
  <si>
    <t>0N2XA</t>
  </si>
  <si>
    <t>WOS:000782705800008</t>
  </si>
  <si>
    <t>Kharitonov, VV</t>
  </si>
  <si>
    <t>Kharitonov, Victor V.</t>
  </si>
  <si>
    <t>Morphometry and unusual internal structure of ice ridge investigated at Barneo ice camp in April 2013</t>
  </si>
  <si>
    <t>Ice ridge; Thermal drilling; Internal structure; Consolidated layer; Ice fraction; Porosity; Temperature</t>
  </si>
  <si>
    <t>First-year ice ridge has been examined with respect to geometry and morphology at the Barneo ice camp in April 2013. Its characteristics are discussed in the paper. The sail height was 4.7 m, the keel depth was 8.6 m. The keel depth to sail height ratio was equal to 1.8. Structure of the keel of the examined ice ridge was too heterogeneous in its composition. Significant fragment in the keel of ice ridge is fully consolidated, its draft reaches to 5.8 m but the fragment's upper boundary is located at the sea level. This indicates the presence of hydrostatic unbalance. Away from the point of maximum keel draft on the cross-section, the average porosity of the unconsolidated part of the keel tends to increase, but again decreases at the periphery of the keel. The distribution of ice fraction in sea ice versus depth for the ice ridge is presented. Increased ice fraction corresponds to the consolidated layer. The depth of the lower boundary of consolidated layer is confirmed by distributions of ice temperature versus depth.</t>
  </si>
  <si>
    <t>[Kharitonov, Victor V.] State Inst Arctic &amp; Antarctic Res Inst, 38 Beringa st, St Petersburg 199397, Russia</t>
  </si>
  <si>
    <t>Kharitonov, VV (corresponding author), State Inst Arctic &amp; Antarctic Res Inst, 38 Beringa st, St Petersburg 199397, Russia.</t>
  </si>
  <si>
    <t>kharitonov@aari.ru</t>
  </si>
  <si>
    <t>Kharitonov, Victor/0000-0003-1847-9980</t>
  </si>
  <si>
    <t>10.1016/j.polar.2021.100736</t>
  </si>
  <si>
    <t>WOS:000782705800002</t>
  </si>
  <si>
    <t>Morozova, OV; Andreeva, IS; Zhirakovskiy, VY; Pechurkina, NI; Puchkova, LI; Saranina, IV; Emelyanova, EK; Kamynina, TP</t>
  </si>
  <si>
    <t>Morozova, Olga V.; Andreeva, Irina S.; Zhirakovskiy, Vladimir Yu; Pechurkina, Natalya I.; Puchkova, Larisa I.; Saranina, Irina V.; Emelyanova, Elena K.; Kamynina, Tatyana P.</t>
  </si>
  <si>
    <t>Antibiotic resistance and cold-adaptive enzymes of antarctic culturable bacteria from King George Island</t>
  </si>
  <si>
    <t>Culturable psychrophilic eubacteria; 16S rRNA gene phylogenetic analysis; Plasmids; Alkaline phosphatases; Lipases; Exo-and restriction endonucleases</t>
  </si>
  <si>
    <t>COMMUNITIES; PHYLOGENY; PLASMIDS; ECOLOGY; STATION; METAL; ACID; ICE</t>
  </si>
  <si>
    <t>Cryotolerance in microorganisms from polar regions provides their survival through alternating freezing and thawing cycles. Our research was aimed at biodiversity analysis of culturable bacteria from the King George Island near Antarctica including their antibiotic resistance and cold-adaptive enzymes. Average bacterial density was estimated as 3 x 10(6) cells/mL but the number of colony-forming units (CFU) was essentially lower -(3.2-9.2)x10(3) cells/mL. Totally, 83 stable strains were isolated and identified using phylogenetic analysis of 16S rRNA gene nucleotide sequences and phenotypic traits. Main groups were the Gram-negative Pseudomonas and Duganella species as well as Gram-positive Arthrobacter spp. Besides, eubacteria Psychrobacter, Flavobacterium, Clavibacter, Aquaspirillum, Polaromonas, Actinibacterium, Shewanella, Kocuria and families Comamonadacea, Actinobacteridae were found. Genetic diversity of the bacteria was elevated with plasmids of different lengths in 33 strains but no correlation between the plasmids content and antibiotic resistance was found. Among cold-adapted enzymes antioxidant catalases (91.5%), peroxidases (57.5%), alkaline phosphatases (42.2%) prevailed; unspecific exonucleases were revealed in 16.9% strains and restriction endonucleases of type II -in 8.4% strains only. Lypases were detected in 24 strains (28.9%) and could facilitate membrane fluidity at low temperatures. Despite the antibiotic resistance the Antarctic cultivable eubacteria are mainly not pathogenic and may serve as sources of plasmids and cold-adapted enzymes for biotechnology.</t>
  </si>
  <si>
    <t>[Andreeva, Irina S.; Pechurkina, Natalya I.; Puchkova, Larisa I.; Saranina, Irina V.; Emelyanova, Elena K.] State Res Ctr Virol &amp; Biotechnol Vector Rospotreb, Fed State Res Inst, Koltsov, Novosibirsk Reg, Russia; [Zhirakovskiy, Vladimir Yu] Russian Acad Sci, Siberian Branch, Inst Mineral &amp; Petrog, Novosibirsk, Russia; [Kamynina, Tatyana P.] Russian Acad Sci, Siberian Branch, Inst Chem Biol &amp; Fundamental Med, Novosibirsk, Russia; [Morozova, Olga V.] Fed Med &amp; Biol Agcy Russia, Fed Res Clin Ctr Phys Chem Med, Malaya Pirogovskaya St 1a, Moscow 119435, Russia; [Morozova, Olga V.] Russian Minist Hlth, Natl Res Ctr Epidemiol &amp; Microbiol NF Gamaleya, Gamaleya St 16, Moscow 123098, Russia</t>
  </si>
  <si>
    <t>State Research Center of Virology &amp; Biotechnology VECTOR; Russian Academy of Sciences; Sobolev Institute of Geology &amp; Mineralogy of the Russian Academy of Sciences; Institute of Chemical Biology &amp; Fundamental Medicine, Siberian Branch of the RAS; Russian Academy of Sciences; Lopukhin Federal Research &amp; Clinical Center of Physical-Chemical Medicine of Federal Medical Biological Agency; Russian Academy of Medical Sciences; Gamaleya National Research Center for Epidemiology &amp; Microbiology, RAMS; Ministry of Health of the Russian Federation</t>
  </si>
  <si>
    <t>Morozova, OV (corresponding author), Fed Med &amp; Biol Agcy Russia, Fed Res Clin Ctr Phys Chem Med, Malaya Pirogovskaya St 1a, Moscow 119435, Russia.</t>
  </si>
  <si>
    <t>omorozova2010@gmail.com</t>
  </si>
  <si>
    <t>Morozova, Olga/0000-0001-9630-0777</t>
  </si>
  <si>
    <t>10.1016/j.polar.2021.100756</t>
  </si>
  <si>
    <t>WOS:000782705800009</t>
  </si>
  <si>
    <t>Ozturk, RC; Feyzioglu, AM; Altinok, I</t>
  </si>
  <si>
    <t>Ozturk, Rafet Cagri; Feyzioglu, Ali Muzaffer; Altinok, Ilhan</t>
  </si>
  <si>
    <t>Prokaryotic community and diversity in coastal surface waters along the Western Antarctic Peninsula</t>
  </si>
  <si>
    <t>Metabarcoding; Prokaryotic community structure; Western Antarctic peninsula; Surface water</t>
  </si>
  <si>
    <t>SEA-ICE; SUMMER BACTERIOPLANKTON; METAGENOMIC ANALYSIS; POTTER COVE; MARINE; BACTERIAL; GENOMICS; MARITIME; WINTER; ARCHAEAL</t>
  </si>
  <si>
    <t>Identifying microorganisms and defining the community compositions are important for better understanding of the marine ecosystem and biochemical cycles. This study describes microbial community compositions of coastal surface waters of the Western Antarctic Peninsula (WAP). The V3-V4 regions of 16S rRNA genes were PCRamplified, and sequencing libraries were constructed to characterize the microbial community. A total of 157 bacteria species were identified and classified into 6 phyla, 50 families, and 91 genera. Whereas only two Archaea taxa of Crenarchaeota and Euryarchaeota, the first report from surface water of the WAP in summer, were identified. Our data showed a prevalence of ubiquitous bacterial phyla of Proteobacteria and Bacteroidetes. The dominant bacterial families across all water samples were mostly affiliated with Pseudoalteromonadaceae, and followed by Rhodobacteraceae, Moraxellaceae, and Flavobacteriaceae, which collectively accounted for almost 94% of all the generated sequences. Taxonomic compositions of the sampling sites were similar. However, the relative abundances of bacterial families were considerably varied. Bacterial communities in polar marine environments show strong spatial and temporal variation.</t>
  </si>
  <si>
    <t>[Ozturk, Rafet Cagri; Altinok, Ilhan] Karadeniz Tech Univ, Fac Marine Sci, Dept Fisheries Technol Engn, Trabzon, Turkey; [Feyzioglu, Ali Muzaffer] Karadeniz Tech Univ, Fac Marine Sci, Dept Marine Sci &amp; Technol Engn, Trabzon, Turkey</t>
  </si>
  <si>
    <t>Karadeniz Technical University; Karadeniz Technical University</t>
  </si>
  <si>
    <t>Altinok, I (corresponding author), Karadeniz Tech Univ, Fac Marine Sci, Dept Fisheries Technol Engn, Trabzon, Turkey.</t>
  </si>
  <si>
    <t>ialtinok@ktu.edu.tr</t>
  </si>
  <si>
    <t>Altinok, ilhan/H-1558-2013</t>
  </si>
  <si>
    <t>Altinok, ilhan/0000-0003-3475-521X; OZTURK, Rafet Cagri/0000-0003-1785-4056</t>
  </si>
  <si>
    <t>Ministry of Industry and Technology</t>
  </si>
  <si>
    <t>The project was supported under the third Turkish Antarctica Expedition (TAE-III) by the Ministry of Industry and Technology, which was carried under the auspices of the Turkish Republic Presidency. The project was coordinated by Istanbul Technical University (ITU) , Scien-tific Research Projects (BAP) .</t>
  </si>
  <si>
    <t>10.1016/j.polar.2021.100764</t>
  </si>
  <si>
    <t>WOS:000782705800005</t>
  </si>
  <si>
    <t>Topalian, J; González, ML; Chiapella, JO; Urdampilleta, JD</t>
  </si>
  <si>
    <t>Topalian, Juliana; Gonzalez, Maria Laura; Chiapella, Jorge Oscar; Urdampilleta, Juan Domingo</t>
  </si>
  <si>
    <t>Retrotransposons in Deschampsia antarctica E. Desv. (Poaceae) genome: Diversity, abundance and chromosomal distribution</t>
  </si>
  <si>
    <t>Deschampsia antarctica; Chromosomes; Repetitive DNA; Retroelements; Antarctica</t>
  </si>
  <si>
    <t>DNA; ELEMENTS; ALIGNMENT; EVOLUTION</t>
  </si>
  <si>
    <t>Deschampsia antarctica is one of the two native vascular plants present in the Antarctic continent. More than half of its genome is composed of repetitive DNA. The present work aims to study the amount, composition and chromosomal localization of the main retroelements in the genome of D. antarctica, via a bioinformatic analysis and cytogenetic approach in two Antarctic localities. The retroelements are the largest fraction of genomic repetitive DNA. Ty3-Gypsy superfamily was more abundant than Ty1-Copia in D. antarctica's genome. However, Ty1-Copia was more diverse. Angela, SIRE, TatV and Tekay families were the most abundant in the studied genome. The hybridization signals showed that the four retrotransposon families have dispersal distributions in both Antarctic localities studied. However, some differences in the chromosomal distribution were observed among families and between localities. This study contributes to the understanding of the diversity and distribution of repetitive DNA in D. antarctica.</t>
  </si>
  <si>
    <t>[Topalian, Juliana; Gonzalez, Maria Laura; Urdampilleta, Juan Domingo] Univ Nacl Cordoba, Consejo Nacl Invest Cient &amp; Tecn, Inst Multidisciplinario Biol Vegetal, CC 495, Cordoba, Argentina; [Chiapella, Jorge Oscar] Univ Nacl Comahue, Consejo Nacl Invest Cient &amp; Tecn, Inst Invest Biodiversidad &amp; Medioambiente, San Carlos De Bariloche, Rio Negro, Argentina</t>
  </si>
  <si>
    <t>Consejo Nacional de Investigaciones Cientificas y Tecnicas (CONICET); National University of Cordoba; Consejo Nacional de Investigaciones Cientificas y Tecnicas (CONICET); Universidad Nacional del Comahue</t>
  </si>
  <si>
    <t>González, ML (corresponding author), UNC, CONICET, Inst Multidisciplinario Biol Vegetal, RA-5000 Cordoba, Argentina.</t>
  </si>
  <si>
    <t>mlgonzalez@imbiv.unc.edu.ar</t>
  </si>
  <si>
    <t>MEZQUITA, MARIA LUZ GONZÁLEZ/GNP-0102-2022</t>
  </si>
  <si>
    <t>MEZQUITA, MARIA LUZ GONZÁLEZ/0000-0002-6013-7434; Chiapella, Jorge/0000-0003-1686-1211; Topalian, Juliana/0000-0003-2918-773X; Urdampilleta, Juan Domingo/0000-0001-9922-2866</t>
  </si>
  <si>
    <t>CONICET; SECyT-UNC; IAPT</t>
  </si>
  <si>
    <t>CONICET(Consejo Nacional de Investigaciones Cientificas y Tecnicas (CONICET)); SECyT-UNC(Secretaria de Ciencia y Tecnologia (SECYT)); IAPT</t>
  </si>
  <si>
    <t>The authors are grateful to CONICET, SECyT-UNC and IAPT for financial support. Besides, the authors are grateful to Direcci ' on Nacional del Ant ' artico and the personnel of the Carlini Station for logistic support for fieldwork in Antarctica and Mrs. Jorgelina Brasca for the revision of the manuscript.</t>
  </si>
  <si>
    <t>10.1016/j.polar.2021.100762</t>
  </si>
  <si>
    <t>WOS:000782705800007</t>
  </si>
  <si>
    <t>Huang, J; Guo, HD; Liu, G; Wang, HR; Deng, Y; Dong, RB</t>
  </si>
  <si>
    <t>Huang, Jing; Guo, Huadong; Liu, Guang; Wang, Hairong; Deng, Yu; Dong, Runbo</t>
  </si>
  <si>
    <t>Observational angular analysis of Moon-based Earth observations</t>
  </si>
  <si>
    <t>INTERNATIONAL JOURNAL OF REMOTE SENSING</t>
  </si>
  <si>
    <t>Remote sensing; satellite orbservations; platforms</t>
  </si>
  <si>
    <t>Different from existing satellite platforms, a Moon-based platform provides a novel method for monitoring the Earth, owing to its high temporal and spatial scales. In this study, the elevation angle and azimuth angle for Earth features were calculated based on a geometric relationship and through a series of coordinate transformations of both Earth features and a Moon-based platform. According to the latitude of the Earth, choosing regions which are sensitive to climate change - the Tibet Plateau, Arctic region and Antarctic region as reference examples for the study. The results of the examples of the Earth showed that a Moon-based platform could synchronously observe the polar regions. Furthermore, using four extreme cases when the Moon rotates along with the Earth as examples, the distribution of observation angles showed a peculiarity of spatial continuity. By combining the angular coverages in the Arctic and Antarctic regions, a Moon-based platform could observe almost the entire polar region, and variations in the observation angle in one orbital period had the characteristics of temporal continuity. On comparing the polar-orbiting satellites and Deep Space Climate Observatory, a Moon-based platform had more angular combinations and observational frequencies. The findings of this study provide significant information for Moon-based Earth monitoring.</t>
  </si>
  <si>
    <t>[Huang, Jing; Guo, Huadong; Liu, Guang; Dong, Runbo] Chinese Acad Sci, Aerosp Informat Res Inst, Beijing, Peoples R China; [Huang, Jing; Guo, Huadong; Liu, Guang; Dong, Runbo] Univ Chinese Acad Sci, Coll Resources &amp; Environm, Beijing, Peoples R China; [Huang, Jing; Guo, Huadong; Liu, Guang; Dong, Runbo] Int Res Ctr Big Data Sustainable Dev Goals, 9 Dengzhuang Rd, Beijing 100094, Peoples R China; [Wang, Hairong] Nanjing Univ, Sch Earth Sci &amp; Engn, Nanjing, Peoples R China; [Deng, Yu] Peking Univ, Sch Earth &amp; Space Sci, Beijing, Peoples R China</t>
  </si>
  <si>
    <t>Chinese Academy of Sciences; Aerospace Information Research Institute, CAS; Chinese Academy of Sciences; University of Chinese Academy of Sciences, CAS; Nanjing University; Peking University</t>
  </si>
  <si>
    <t>Liu, G (corresponding author), Int Res Ctr Big Data Sustainable Dev Goals, 9 Dengzhuang Rd, Beijing 100094, Peoples R China.</t>
  </si>
  <si>
    <t>liuguang@radi.ac.cn</t>
  </si>
  <si>
    <t>Wang, Hairong/HGF-1825-2022</t>
  </si>
  <si>
    <t>liu, guang/0000-0001-8596-8528; Wang, Hairong/0000-0002-6706-2965</t>
  </si>
  <si>
    <t>National Key Research and Development Program of China [2020YFE0202100]; National Natural Science Foundation of China [42101413]; Key Research Program of Frontier Sciences, CAS [QYZDY-SSW-DQC026]</t>
  </si>
  <si>
    <t>National Key Research and Development Program of China; National Natural Science Foundation of China(National Natural Science Foundation of China (NSFC)); Key Research Program of Frontier Sciences, CAS</t>
  </si>
  <si>
    <t>This work was supported in part by the National Key Research and Development Program of China, [No. 2020YFE0202100], National Natural Science Foundation of China [No. 42101413] and the Key Research Program of Frontier Sciences, CAS, grant number QYZDY-SSW-DQC026.</t>
  </si>
  <si>
    <t>0143-1161</t>
  </si>
  <si>
    <t>1366-5901</t>
  </si>
  <si>
    <t>INT J REMOTE SENS</t>
  </si>
  <si>
    <t>Int. J. Remote Sens.</t>
  </si>
  <si>
    <t>MAR 19</t>
  </si>
  <si>
    <t>10.1080/01431161.2022.2058894</t>
  </si>
  <si>
    <t>0O2CB</t>
  </si>
  <si>
    <t>WOS:000783337300001</t>
  </si>
  <si>
    <t>Ferchichi, H; St-Hilaire, A; Ouarda, TBMJ; Lévesque, B</t>
  </si>
  <si>
    <t>Ferchichi, Habiba; St-Hilaire, Andre; Ouarda, Taha B. M. J.; Levesque, Benoit</t>
  </si>
  <si>
    <t>Prediction of Coastal Water Temperature Using Statistical Models</t>
  </si>
  <si>
    <t>ESTUARIES AND COASTS</t>
  </si>
  <si>
    <t>Coastal water temperature; Machine learning models; Statistical modeling</t>
  </si>
  <si>
    <t>SEA-SURFACE TEMPERATURE; NORTH-ATLANTIC OSCILLATION; WIND-SPEED; ATMOSPHERIC CIRCULATION; ANTARCTIC OSCILLATION; AIR-TEMPERATURE; LSTM MODEL; VARIABILITY; GULF; IMPACTS</t>
  </si>
  <si>
    <t>Water temperature plays an important role in the equilibrium of the aquatic system and the overall health of aquaculture biota. Two machine learning models (random forests and artificial neural network) and regression model (multiple linear regression) were developed to estimate coastal sea surface temperatures (SST) in the Estuary and Gulf of St. Lawrence (Eastern Canada) after being trained on in situ data from available stations. The SST prediction is formulated as a regression model in function of a selected set of predictors. Different measures of correlation were used to examine the evolution of the SST as a function of meteorological (air temperature and wind speed), oceanographic (tidal range), and hydrological (flow) variables as well as teleconnection patterns in order to select the best inputs for the tested models. This study tested the abilities of commonly used regression model (Multiple Linear Regression) and machine learning models (Random Forests and Artificial Neural Network) to predict the daily SST, given the most relevant predictors. The results showed the importance of the selected predictors in SST prediction accuracy using the machine learning models, given that they capture the complex and non-linear relationship between the targeted SST and explanatory variables. The ANN model had shown the lowest root-mean-square error (RMSE) ranging between 0.82 degrees C and 2.64 degrees C, with an overall RMSE of 1.72 degrees C across all the stations against 1.96 degrees C using the RF.</t>
  </si>
  <si>
    <t>[Ferchichi, Habiba; St-Hilaire, Andre] Inst Natl Rech Sci, Ctr Eau Terre Environm, 490 Couronne, Quebec City, PQ G1K 9A9, Canada; [St-Hilaire, Andre] Univ New Brunswick, Canadian River Inst, Fredericton, NB, Canada; [Ouarda, Taha B. M. J.] Inst Natl Rech Sci, Ctr Eau Terre Environm, Canada Res Chair Stat Hydroclimatol, 490 Couronne, Quebec City, PQ G1K 9A9, Canada; [Levesque, Benoit] Inst Natl Sante Publ Quebec, Direct Sante Environm &amp; Toxicol, 945 Ave Wolfe, Quebec City, PQ G1V 5B3, Canada; [Levesque, Benoit] Univ Laval, Fac Med, Dept Med Sociale &amp; Prevent, Quebec City, PQ, Canada</t>
  </si>
  <si>
    <t>University of Quebec; Institut national de la recherche scientifique (INRS); University of New Brunswick; University of Quebec; Institut national de la recherche scientifique (INRS); Institut national de sante publique du Quebec (INSPQ); Laval University</t>
  </si>
  <si>
    <t>Ferchichi, H (corresponding author), Inst Natl Rech Sci, Ctr Eau Terre Environm, 490 Couronne, Quebec City, PQ G1K 9A9, Canada.</t>
  </si>
  <si>
    <t>habibaferchichi1@gmail.com</t>
  </si>
  <si>
    <t>St-Hilaire, André/W-7120-2019; ferchichi, Habiba/KAM-5905-2024</t>
  </si>
  <si>
    <t>Ferchichi, Habiba/0000-0001-5175-9189; St-Hilaire, Andre/0000-0001-9161-4742</t>
  </si>
  <si>
    <t>OURANOS, a climate-science consortium based in Quebec</t>
  </si>
  <si>
    <t>The authors thank OURANOS, a climate-science consortium based in Quebec, for funding this research. The authors would like to thank Pr. Yves Gratton for helping to find data sources.</t>
  </si>
  <si>
    <t>1559-2723</t>
  </si>
  <si>
    <t>1559-2731</t>
  </si>
  <si>
    <t>ESTUAR COAST</t>
  </si>
  <si>
    <t>Estuaries Coasts</t>
  </si>
  <si>
    <t>10.1007/s12237-022-01070-0</t>
  </si>
  <si>
    <t>4Z8KA</t>
  </si>
  <si>
    <t>WOS:000770735600001</t>
  </si>
  <si>
    <t>De Koker, N</t>
  </si>
  <si>
    <t>De Koker, N.</t>
  </si>
  <si>
    <t>Spectral inversion for ice-induced propeller moments from measurements on the propulsion shaft of a polar research vessel</t>
  </si>
  <si>
    <t>MECHANICAL SYSTEMS AND SIGNAL PROCESSING</t>
  </si>
  <si>
    <t>Ice-induced propeller loads; Spectral inversion; Real-time monitoring; Polar vessel propulsion systems</t>
  </si>
  <si>
    <t>A spectral inversion method to monitor ice-induced impact loading on the propulsion systems of vessels operating in polar waters is presented. The method adapts a continuous simulation method by representing the dynamic equilibrium of torsional loads on the shaft in the frequency domain. Shaft-line measurements are then inverted for propeller and motor torques via progressive solution of a series of low-rank linear equations. After validating the method using a benchmark ice-loading model, it is applied to operational measurements from the propulsion system of the SA Agulhas II. It is shown that the method is suitable for real-time or near real-time monitoring of loading on the propulsion system, which would provide greater situational awareness to the ice pilot, lower risk during challenging ice-navigation.</t>
  </si>
  <si>
    <t>[De Koker, N.] Stellenbosch Univ, Dept Civil Engn, Stellenbosch, South Africa</t>
  </si>
  <si>
    <t>Stellenbosch University</t>
  </si>
  <si>
    <t>De Koker, N (corresponding author), Stellenbosch Univ, Dept Civil Engn, Stellenbosch, South Africa.</t>
  </si>
  <si>
    <t>ndekoker@sun.ac.za</t>
  </si>
  <si>
    <t>De Koker, Nico/AAB-4754-2020</t>
  </si>
  <si>
    <t>De Koker, Nico/0000-0002-5011-1935</t>
  </si>
  <si>
    <t>National Research Foundation (NRF) through the South African National Antarctic Programme [SNA14072479895]</t>
  </si>
  <si>
    <t>National Research Foundation (NRF) through the South African National Antarctic Programme</t>
  </si>
  <si>
    <t>Acknowledgements The author is indebted to Anriette Bekker and Brendon Nickerson for sharing sample data for propulsion line measurements aboard the SA Agulhas II, funded by the National Research Foundation (NRF) through the South African National Antarctic Programme (Grant No. SNA14072479895) .</t>
  </si>
  <si>
    <t>0888-3270</t>
  </si>
  <si>
    <t>1096-1216</t>
  </si>
  <si>
    <t>MECH SYST SIGNAL PR</t>
  </si>
  <si>
    <t>Mech. Syst. Signal Proc.</t>
  </si>
  <si>
    <t>10.1016/j.ymssp.2022.108982</t>
  </si>
  <si>
    <t>Engineering, Mechanical</t>
  </si>
  <si>
    <t>1C7EN</t>
  </si>
  <si>
    <t>WOS:000793277700004</t>
  </si>
  <si>
    <t>Brainard, J</t>
  </si>
  <si>
    <t>Brainard, Jeffrey</t>
  </si>
  <si>
    <t>Endurance preserved in Antarctic depths</t>
  </si>
  <si>
    <t>MAR 18</t>
  </si>
  <si>
    <t>ZV2SY</t>
  </si>
  <si>
    <t>WOS:000770386600003</t>
  </si>
  <si>
    <t>Jena, B; Bajish, CC; Turner, J; Ravichandran, M; Anilkumar, N; Kshitija, S</t>
  </si>
  <si>
    <t>Jena, B.; Bajish, C. C.; Turner, J.; Ravichandran, M.; Anilkumar, N.; Kshitija, S.</t>
  </si>
  <si>
    <t>Record low sea ice extent in the Weddell Sea, Antarctica in April/May 2019 driven by intense and explosive polar cyclones</t>
  </si>
  <si>
    <t>NPJ CLIMATE AND ATMOSPHERIC SCIENCE</t>
  </si>
  <si>
    <t>OPEN-OCEAN POLYNYA; SOUTHERN-HEMISPHERE; MAUD RISE; HIGH-LATITUDE; OZONE HOLE; VARIABILITY; TRENDS; TEMPERATURE; MODE; EXTREMES</t>
  </si>
  <si>
    <t>Sea ice extent (SIE) in the Weddell Sea attained exceptionally low levels in April (1.97 million km(2)) and May (3.06 million km(2)) 2019, with the values being similar to 22% below the long-term mean. Using in-situ, satellite and atmospheric reanalysis data, we show the large negative SIE anomalies were driven by the passage of a series of intense and explosive polar cyclones (with record low pressure), also known as atmospheric 'bombs', which had atmospheric rivers on their eastern flanks. These storms led to the poleward propagation of record-high swell and wind waves (similar to 9.6 m), resulting in southward ice advection (similar to 50 km). Thermodynamic processes also played a part, including record anomalous atmospheric heat (&gt;138 W m(-2)) and moisture (&gt;300 kg m(-1)s(-1)) fluxes from midlatitudes, along with ocean mixed-layer warming (&gt;2 degrees C). The atmospheric circulation anomalies were associated with an amplified wave number three pattern leading to enhanced meridional flow between midlatitudes and the Antarctic.</t>
  </si>
  <si>
    <t>[Jena, B.; Bajish, C. C.; Ravichandran, M.; Anilkumar, N.; Kshitija, S.] Govt India, Minist Earth Sci, Natl Ctr Polar &amp; Ocean Res, Vasco Da Gama, Goa, India; [Turner, J.] NERC, British Antarctic Survey, Cambridge, England; [Ravichandran, M.] Govt India, Minist Earth Sci, New Delhi, India</t>
  </si>
  <si>
    <t>Ministry of Earth Sciences (MoES) - India; National Centre for Polar and Ocean Research (NCPOR); UK Research &amp; Innovation (UKRI); Natural Environment Research Council (NERC); NERC British Antarctic Survey; Ministry of Earth Sciences (MoES) - India</t>
  </si>
  <si>
    <t>Jena, B (corresponding author), Govt India, Minist Earth Sci, Natl Ctr Polar &amp; Ocean Res, Vasco Da Gama, Goa, India.</t>
  </si>
  <si>
    <t>bjena@ncpor.res.in</t>
  </si>
  <si>
    <t>, Bajish/0000-0002-5909-094X; Ravichandran, Muthalagu/0000-0002-4602-0731</t>
  </si>
  <si>
    <t>Ministry of Earth Sciences, Government of India</t>
  </si>
  <si>
    <t>Ministry of Earth Sciences, Government of India(Ministry of Earth Science (MoES), Government of India)</t>
  </si>
  <si>
    <t>We acknowledge Director, National Centre for Polar and Ocean Research, for providing necessary support. The Ministry of Earth Sciences, Government of India, is acknowledged for funding support. We acknowledge data made available by various centres, including the National Snow and Ice Data Center, European Centre for Medium-range Weather Forecast, Copernicus Marine Environment Monitoring Service, National Aeronautics and Space Administration, National Oceanic and Atmospheric Administration, and their processing teams for providing various datasets via their portals. Thanks to the editor and three anonymous reviewers for conducting a rigorous peer-review process that helped to improve the quality of the paper. This is NCPOR contribution number J-80/2021-22.</t>
  </si>
  <si>
    <t>2397-3722</t>
  </si>
  <si>
    <t>NPJ CLIM ATMOS SCI</t>
  </si>
  <si>
    <t>npj Clim. Atmos. Sci.</t>
  </si>
  <si>
    <t>10.1038/s41612-022-00243-9</t>
  </si>
  <si>
    <t>ZV6IJ</t>
  </si>
  <si>
    <t>WOS:000770631300001</t>
  </si>
  <si>
    <t>Mehta, JM</t>
  </si>
  <si>
    <t>Mehta, Jayur Madhusudan</t>
  </si>
  <si>
    <t>Monument volumes and viewshed analysis at the Carson mounds site (22CO505), Coahoma County, Mississippi</t>
  </si>
  <si>
    <t>JOURNAL OF ARCHAEOLOGICAL SCIENCE-REPORTS</t>
  </si>
  <si>
    <t>Monumentality; Authority; Semiotics; Lidar; Remote sensing</t>
  </si>
  <si>
    <t>ARCHAEOLOGY; MATERIALITY</t>
  </si>
  <si>
    <t>Earthen mound construction is a cultural practice in the American Southeast that has over 5000 years of history. During this time, earthen mounds were variously associated with mortuary rituals, communal practices, social and political leadership, and/or cosmological structures of the universe. After CE 1200 in Mississippi's Yazoo Basin, a floodplain of the Mississippi River stretching from Memphis to Vicksburg, numerous large, fortified and mounded towns were constructed. At these sites there is significant variation in numbers of mounds and mound volume. Blitz and Livingood and Payne stipulate in earlier studies that most earthen mounds were built slowly by kin groups for community integration and possibly flood relief. They also suggest that large mounds at large sites take on meanings of hierarchy and leadership. Using Peircean semiotics, Jerry Moore's concept of relative scale, and with data compiled by Blitz and Livingood and Payne, this study evaluates mound volume and monumental viewsheds at the Carson site, a large Mississippian culture settlement that once had over 88 earthen mounds, some of which were small house mounds, and some of which were monumental.</t>
  </si>
  <si>
    <t>[Mehta, Jayur Madhusudan] Dept Anthropol, 311 Carraway Bldg,909 Antarctic Way, Tallahassee, FL 32310 USA</t>
  </si>
  <si>
    <t>State University System of Florida; Florida State University</t>
  </si>
  <si>
    <t>Mehta, JM (corresponding author), Dept Anthropol, 311 Carraway Bldg,909 Antarctic Way, Tallahassee, FL 32310 USA.</t>
  </si>
  <si>
    <t>jmehta@fsu.edu</t>
  </si>
  <si>
    <t>2352-409X</t>
  </si>
  <si>
    <t>J ARCHAEOL SCI-REP</t>
  </si>
  <si>
    <t>J. Archaeol. Sci.-Rep.</t>
  </si>
  <si>
    <t>10.1016/j.jasrep.2022.103409</t>
  </si>
  <si>
    <t>Archaeology</t>
  </si>
  <si>
    <t>1V9DU</t>
  </si>
  <si>
    <t>WOS:000806385300001</t>
  </si>
  <si>
    <t>Colvin, CN; Hollyman, PR; Richardson, CA; Chenery, SRN; Waggitt, JJ; McCarthy, ID</t>
  </si>
  <si>
    <t>Colvin, C. N.; Hollyman, P. R.; Richardson, C. A.; Chenery, S. R. N.; Waggitt, J. J.; McCarthy, I. D.</t>
  </si>
  <si>
    <t>The effect of environmental factors on shell growth and repair in Buccinum undatum</t>
  </si>
  <si>
    <t>Gastropod mollusc; Shell growth; Buccinum undatum; Fishery; Shell damage; Repair</t>
  </si>
  <si>
    <t>COMMON WHELK; OCEAN ACIDIFICATION; FOOD AVAILABILITY; MYTILUS-EDULIS; TEMPERATURE; GASTROPODA; SIZE; MORPHOLOGY; BIVALVE; CALCIFICATION</t>
  </si>
  <si>
    <t>The processes and factors which affect shell growth and repair in molluscs are poorly understood. In this study, the capabilities of shell growth and repair in the marine gastropod Buccinum undatum were investigated experimentally by implementing laboratory-controlled mechanical damage to the shell margin/lip. Three key factors, life stage (juvenile or adult), seawater temperature (5-15 degrees C) and food availability (unfed, weekly, or daily feeding), were investigated in a series of controlled laboratory experiments to establish their roles in the processes of shell growth and repair. Significant differences in rates of shell growth and repair between food and temperature regimes were observed, with the greatest difference occurring with different life stages. Rates of shell growth in non-damaged whelks were slightly faster but not significantly different from damaged individuals in any of the experiments. Tank-reared juveniles maintained in the highest seawater temperature regime (15 degrees C) displayed significantly faster rates of shell repair (F = 6.47, p &lt; 0.05) than conspecifics held at lower seawater temperatures. Through characterising both biological and environmental factors affecting shell growth and repair, it is demonstrated that there are multiple aspects influencing shell growth and shell repair. It is important to be able to understand and establish differences in rates of growth to better manage this commercial species.</t>
  </si>
  <si>
    <t>[Colvin, C. N.; Richardson, C. A.; Waggitt, J. J.; McCarthy, I. D.] Bangor Univ, Coll Nat Sci, Sch Ocean Sci, Menai Bridge LL59 5AB, AB, Wales; [Hollyman, P. R.] British Antarctic Survey, Madingley Rd, Cambridge CB3 0ET, England; [Chenery, S. R. N.] British Geol Survey, Ctr Environm Geochem, Nottingham NG12 5GG, England</t>
  </si>
  <si>
    <t>Bangor University; UK Research &amp; Innovation (UKRI); Natural Environment Research Council (NERC); NERC British Antarctic Survey; UK Research &amp; Innovation (UKRI); Natural Environment Research Council (NERC); NERC British Geological Survey</t>
  </si>
  <si>
    <t>Colvin, CN (corresponding author), Bangor Univ, Coll Nat Sci, Sch Ocean Sci, Menai Bridge LL59 5AB, AB, Wales.</t>
  </si>
  <si>
    <t>c.n.colvin@bangor.ac.uk</t>
  </si>
  <si>
    <t>; Chenery, Simon/G-4733-2013</t>
  </si>
  <si>
    <t>Colvin, Charlotte/0000-0003-4619-6136; Chenery, Simon/0000-0002-4096-0183; Hollyman, Philip/0000-0003-2665-5075</t>
  </si>
  <si>
    <t>family of C.N.C. and Bangor University</t>
  </si>
  <si>
    <t>This work was funded by the family of C.N.C. and Bangor University, and we would like to thank Mark and Lina Colvin for their support and reviewing of this manuscript. We are grateful to Berwyn Roberts for collecting B. undatum and for his invaluable help with maintaining aquaria and animal husbandry. We also thank Stef Kraft, Hele`na Bonici-Strohmer, and George Collinson for their assistance during this project.</t>
  </si>
  <si>
    <t>10.1016/j.jembe.2022.151720</t>
  </si>
  <si>
    <t>1C3UI</t>
  </si>
  <si>
    <t>WOS:000793047900002</t>
  </si>
  <si>
    <t>Potocki, M; Dixon, DA; Kurbatov, AV; Casassa, G; Zamora, R; Handley, MJ; Introne, D; Grigholm, B; Korotkikh, EV; Birkel, SD; Clifford, H; Mayewski, PA</t>
  </si>
  <si>
    <t>Potocki, Mariusz; Dixon, Daniel A.; V. Kurbatov, Andrei; Casassa, Gino; Zamora, Rodrigo; Handley, Michael J.; Introne, Douglas; Grigholm, Bjorn; V. Korotkikh, Elena; Birkel, Sean D.; Clifford, Heather; Mayewski, Paul A.</t>
  </si>
  <si>
    <t>Trace metal emission history captured in a Chilean ice core</t>
  </si>
  <si>
    <t>ATMOSPHERIC ENVIRONMENT</t>
  </si>
  <si>
    <t>Ice core; Pollution; Heavy metals; Central Chile; Environmental regulations</t>
  </si>
  <si>
    <t>HEAVY-METALS; ANTARCTIC SNOW; COATS LAND; POLLUTION</t>
  </si>
  <si>
    <t>Ice core records provide a robust tool for reconstructing past climate variability and for improving our under-standing of the relative contributions of natural and anthropogenic emissions into the atmosphere. In particular, heavy metal pollution from anthropogenic emissions poses a significant health and environmental risk. We present a sub-annually dated, continuously sampled Tupungatito ice core (TPG-12) data set that documents change in atmospheric pollution in Central Chile. Results from our well-preserved environmental record display a significant change in atmospheric pollutant concentrations coincident with anthropogenic activities in this re-gion, notably from Chile. TPG-12 Enrichment factors (EFs) for Cd, As, Pb, Cu, and Ag exhibit values in excess of natural inputs over the last one hundred years, with increases beginning around 1930. Terrestrial source dust elements such as Ce, La, Pr, and Ti do not exhibit similarly increased EF values, demonstrating an anthropogenic source for Cd, As, Pb, Cu, and Ag. Our results also capture a decrease in As and Pb starting in the early 2000s, in concert with new environmental regulations in Chile (Caldentey and Mondschein, 2003).</t>
  </si>
  <si>
    <t>[Potocki, Mariusz; Dixon, Daniel A.; V. Kurbatov, Andrei; Handley, Michael J.; Introne, Douglas; Grigholm, Bjorn; V. Korotkikh, Elena; Birkel, Sean D.; Clifford, Heather; Mayewski, Paul A.] Univ Maine, Climate Change Inst, Orono, ME USA; [Potocki, Mariusz; V. Kurbatov, Andrei; Clifford, Heather] Univ Maine, Sch Earth &amp; Climate Sci, Orono, ME USA; [Casassa, Gino] Univ Magallanes, Gaia Antarctic Res Ctr, Punta Arenas, Chile; [Casassa, Gino] Direcc Gen Aguas, Santiago, Chile; [Zamora, Rodrigo] Ctr Estudios Cient, Valdivia, Chile</t>
  </si>
  <si>
    <t>University of Maine System; University of Maine Orono; University of Maine System; University of Maine Orono; Universidad de Magallanes</t>
  </si>
  <si>
    <t>Potocki, M (corresponding author), Univ Maine, Climate Change Inst, Orono, ME USA.</t>
  </si>
  <si>
    <t>mariusz.potocki@maine.edu</t>
  </si>
  <si>
    <t>Mayewski, Paul Andrew/HRD-6969-2023</t>
  </si>
  <si>
    <t>Clifford, Heather/0000-0001-5795-1913; Kurbatov, Andrei/0000-0002-9819-9251</t>
  </si>
  <si>
    <t>National Science Foundation [1600018]; Div Atmospheric &amp; Geospace Sciences; Directorate For Geosciences [1600018] Funding Source: National Science Foundation</t>
  </si>
  <si>
    <t>National Science Foundation(National Science Foundation (NSF)); Div Atmospheric &amp; Geospace Sciences; Directorate For Geosciences(National Science Foundation (NSF)NSF - Directorate for Geosciences (GEO))</t>
  </si>
  <si>
    <t>&amp; nbsp;We greatly appreciate the support for the initial fieldwork necessary to recover the Tupungatito ice core. In particular, we would like to thank the Garrand Family of Portland, Maine for their generosity. This research was also supported by a grant from the National Science Foundation (1600018) to Paul Mayewski. Field logistics were provided by Gonzalo Campos and our Chilean arriero colleagues including the Ortega family from Los Maitenes, San Jose de Maipo. Data used in this paper are available at Climate Change Institute, University of Maine (htt ps://climatechange.umaine.edu) and National Snow and Ice Data Cen-ter (http://nsidc.org/data) .</t>
  </si>
  <si>
    <t>1352-2310</t>
  </si>
  <si>
    <t>1873-2844</t>
  </si>
  <si>
    <t>ATMOS ENVIRON</t>
  </si>
  <si>
    <t>Atmos. Environ.</t>
  </si>
  <si>
    <t>10.1016/j.atmosenv.2022.119002</t>
  </si>
  <si>
    <t>1C3SU</t>
  </si>
  <si>
    <t>WOS:000793043900002</t>
  </si>
  <si>
    <t>Xu, YY; Xiang, P; Qiu, WQ; Feng, YH; Jin, YS; Deng, SG; Tao, NP; Jin, YZ</t>
  </si>
  <si>
    <t>Xu, Yongyang; Xiang, Ping; Qiu, Weiqiang; Feng, Yuhui; Jin, Yingshan; Deng, Shanggui; Tao, Ningping; Jin, Yinzhe</t>
  </si>
  <si>
    <t>Dielectric properties of the Maillard reaction solution formed between enzymatic hydrolysate of Antarctic krill and glucose under microwave heating</t>
  </si>
  <si>
    <t>LWT-FOOD SCIENCE AND TECHNOLOGY</t>
  </si>
  <si>
    <t>Antarctic krill; Microwave heating; Maillard reaction solution; Dielectric properties; Energy barrier</t>
  </si>
  <si>
    <t>AMINO-ACID; ANTIOXIDANT ACTIVITY; EUPHAUSIA-SUPERBA; PROTEIN; COLOR; PERMITTIVITY</t>
  </si>
  <si>
    <t>A coaxial probe method has been used to measure the dielectric properties of the enzymatic hydrolysate and glucose Maillard reaction solution (MRS) of Antarctic krill under microwave heating and the penetration depth determined. The changes in pH, color, absorbance, amino acid content, and energy barrier of the MRS were investigated. The results show that the dielectric constant of the MRS decreased and the dielectric loss increased with an increase in the heating time in the frequency range of 300-3000 MHz (p &lt; 0.05). Upon increasing the heating time, the penetration depth and pH gradually decrease. The color difference (oE) of the MRS increased as the heating time increased. The color values of the MRS are correlated with the dielectric constant and dielectric loss (R2 &gt; 0.93). Non-fluorescent intermediates and melanin are gradually accumulated as the heating time increased. During the progress of the Maillard reaction, the total amino acid content in the enzymatic hydrolysate decreased from 29.84 +/- 0.23 to 16.56 +/- 0.19 mg/mL, and the aliphatic amino acid content decreased the most. Under microwave heating conditions, the energy barrier required by the MRS was 7.0 (+/- 0.01) x 10(-20)J.</t>
  </si>
  <si>
    <t>[Xu, Yongyang; Xiang, Ping; Qiu, Weiqiang; Tao, Ningping; Jin, Yinzhe] Shanghai Ocean Univ, Coll Food Sci &amp; Technol, Shanghai 201306, Peoples R China; [Feng, Yuhui] Jilin Tobacco Ind Co Ltd, Jilin 133000, Jilin, Peoples R China; [Jin, Yingshan] Yangzhou Univ, Coll Biosci &amp; Technol, Yangzhou 277600, Jiangsu, Peoples R China; [Deng, Shanggui] Zhejiang Ocean Univ, Coll Food &amp; Pharm, Zhoushan 316000, Zhejiang, Peoples R China</t>
  </si>
  <si>
    <t>Shanghai Ocean University; China National Tobacco Corporation; Yangzhou University; Zhejiang Ocean University</t>
  </si>
  <si>
    <t>Tao, NP; Jin, YZ (corresponding author), Shanghai Ocean Univ, Coll Food Sci &amp; Technol, Shanghai 201306, Peoples R China.</t>
  </si>
  <si>
    <t>nptao@shou.edu.cn; yzjin@shou.edu.cn</t>
  </si>
  <si>
    <t>Jiao, Yang/0000-0002-1355-880X; Jin, Yinzhe/0000-0001-8769-9018</t>
  </si>
  <si>
    <t>National Key R&amp;D Program of China [2020YFD0900905]</t>
  </si>
  <si>
    <t>This work was supported by the National Key R&amp;D Program of China (2020YFD0900905).</t>
  </si>
  <si>
    <t>0023-6438</t>
  </si>
  <si>
    <t>1096-1127</t>
  </si>
  <si>
    <t>LWT-FOOD SCI TECHNOL</t>
  </si>
  <si>
    <t>LWT-Food Sci. Technol.</t>
  </si>
  <si>
    <t>10.1016/j.lwt.2022.113355</t>
  </si>
  <si>
    <t>0W0VG</t>
  </si>
  <si>
    <t>WOS:000788755300003</t>
  </si>
  <si>
    <t>Roldan, DM; Carrizo, D; Sanchez-Garcia, L; Menes, RJ</t>
  </si>
  <si>
    <t>Roldan, Diego M.; Carrizo, Daniel; Sanchez-Garcia, Laura; Menes, Rodolfo Javier</t>
  </si>
  <si>
    <t>Diversity and Effect of Increasing Temperature on the Activity of Methanotrophs in Sediments of Fildes Peninsula Freshwater Lakes, King George Island, Antarctica</t>
  </si>
  <si>
    <t>Antarctica; global warming; methanotrophs; methane; methane-oxidizing bacteria; methanogenesis; polar lakes</t>
  </si>
  <si>
    <t>METHANE-OXIDIZING BACTERIUM; ANAEROBIC OXIDATION; PROKARYOTIC DIVERSITY; MICROBIAL OXIDATION; I METHANOTROPH; GEN-NOV; REDUCTION; SOIL; BIODIVERSITY; BIOMARKERS</t>
  </si>
  <si>
    <t>Global warming has a strong impact on polar regions. Particularly, the Antarctic Peninsula and nearby islands have experienced a marked warming trend in the past 50 years. Therefore, higher methane (CH4) emissions from this area could be expected in the future. Since mitigation of these emissions can be carried out by microbial oxidation, understanding this biological process is crucial since to our knowledge, no related studies have been performed in this area before. In this work, the aerobic CH4 oxidation potential of five freshwater lake sediments of Fildes Peninsula (King George Island, South Shetland Islands) was determined with values from 0.07 to 10 mu mol CH4 gdw(-1) day(-1) and revealed up to 100-fold increase in temperature gradients (5, 10, 15, and 20 degrees C). The structure and diversity of the bacterial community in the sediments were analyzed by next-generation sequencing (Illumina MiSeq) of 16S rRNA and pmoA genes. A total of 4,836 ASVs were identified being Proteobacteria, Actinobacteriota, Acidobacteriota, and Bacteroidota the most abundant phyla. The analysis of the pmoA gene identified 200 ASVs of methanotrophs, being Methylobacter Clade 2 (Type I, family Methylococcaceae) the main responsible of the aerobic CH4 oxidation. Moreover, both approaches revealed the presence of methanotrophs of the classes Gammaproteobacteria (families Methylococcaceae and Crenotrichaceae), Alphaproteobacteria (family Methylocystaceae), Verrucomicrobia (family Methylacidiphilaceae), and the candidate phylum of anaerobic methanotrophs Methylomirabilota. In addition, bacterial phospholipid fatty acids (PLFA) biomarkers were studied as a proxy for aerobic methane-oxidizing bacteria and confirmed these results. Methanotrophic bacterial diversity was significantly correlated with pH. In conclusion, our findings suggest that aerobic methanotrophs could mitigate in situ CH4 emissions in a future scenario with higher temperatures in this climate-sensitive area. This study provides new insights into the diversity of methanotrophs, as well as the influence of temperature on the CH4 oxidation potential in sediments of freshwater lakes in polar regions of the southern hemisphere.</t>
  </si>
  <si>
    <t>[Roldan, Diego M.; Menes, Rodolfo Javier] Univ Republica, Fac Quim, Lab Ecol Microbiana Medioambiental, Montevideo, Uruguay; [Roldan, Diego M.; Menes, Rodolfo Javier] Univ Republica, Fac Ciencias, Un Asociada Inst Quim Biol, Lab Microbiol, Montevideo, Uruguay; [Carrizo, Daniel; Sanchez-Garcia, Laura] Consejo Super Invest Cientif Institut, Ctr Astrobiol, Madrid, Spain</t>
  </si>
  <si>
    <t>Universidad de la Republica, Uruguay; Universidad de la Republica, Uruguay; Consejo Superior de Investigaciones Cientificas (CSIC); CSIC - Centro de Astrobiologia (INTA)</t>
  </si>
  <si>
    <t>Menes, RJ (corresponding author), Univ Republica, Fac Quim, Lab Ecol Microbiana Medioambiental, Montevideo, Uruguay.;Menes, RJ (corresponding author), Univ Republica, Fac Ciencias, Un Asociada Inst Quim Biol, Lab Microbiol, Montevideo, Uruguay.</t>
  </si>
  <si>
    <t>jmenes@fq.edu.uy</t>
  </si>
  <si>
    <t>Sanchez-Garcia, Laura/N-1172-2013</t>
  </si>
  <si>
    <t>Sanchez-Garcia, Laura/0000-0002-7444-1242; Roldan, Diego M./0000-0002-8900-9815; Menes, Rodolfo/0000-0001-8968-6149</t>
  </si>
  <si>
    <t>Instituto Antartico Uruguayo; ANII (Agencia Nacional de Investigacion e Innovacion); PEDECIBA (Programa de Desarrollo de las Ciencias Basicas); CAP-Universidad de la Republica, Uruguay; MCIN/AEI [ESP2017-87690-C3-3-R, RYC2018-023943-I]</t>
  </si>
  <si>
    <t>Instituto Antartico Uruguayo; ANII (Agencia Nacional de Investigacion e Innovacion); PEDECIBA (Programa de Desarrollo de las Ciencias Basicas); CAP-Universidad de la Republica, Uruguay; MCIN/AEI</t>
  </si>
  <si>
    <t>This work was partially supported by Instituto Antartico Uruguayo, ANII (Agencia Nacional de Investigacion e Innovacion), and PEDECIBA (Programa de Desarrollo de las Ciencias Basicas). DR was supported by a scholarship from CAP-Universidad de la Republica, Uruguay. RM was member of the National Research System (SNI-ANII) and PEDECIBA. DC and LS-G were funded by MCIN/AEI/10.13039/501100011033, through the projects ESP2017-87690-C3-3-R and RYC2018-023943-I.</t>
  </si>
  <si>
    <t>MAR 17</t>
  </si>
  <si>
    <t>10.3389/fmicb.2022.822552</t>
  </si>
  <si>
    <t>0H9UW</t>
  </si>
  <si>
    <t>WOS:000779074800001</t>
  </si>
  <si>
    <t>Ardra, D; Kuttippurath, J; Roy, R; Kumar, P; Raj, S; Müller, R; Feng, WH</t>
  </si>
  <si>
    <t>Ardra, Divakaran; Kuttippurath, Jayanarayanan; Roy, Raina; Kumar, Pankaj; Raj, Sarath; Mueller, Rolf; Feng, Wuhu</t>
  </si>
  <si>
    <t>The Unprecedented Ozone Loss in the Arctic Winter and Spring of 2010/2011 and 2019/2020</t>
  </si>
  <si>
    <t>ACS EARTH AND SPACE CHEMISTRY</t>
  </si>
  <si>
    <t>climate change; arctic ozone; polar vortex; ozone hole; satellite measurements; ozonesonde</t>
  </si>
  <si>
    <t>QUASI-BIENNIAL OSCILLATION; ANTARCTIC OZONE; POLAR VORTEX; MLS OBSERVATIONS; MARCH 2011; DEPLETION; CHEMISTRY; CHLORINE; TRANSPORT; STRATOSPHERE</t>
  </si>
  <si>
    <t>Polar ozone depletion has been a major environmental threat for humanity since the late 1980s. The 2011 Arctic winter caught much global attention because of the amount of ozone loss (2.3-3.4 ppmv at 450-475 K potential temperature), and a similar loss was also observed in the 2020 winter (2.5-3.5 ppmv at 400-500 K). Since the difference between the winter of 2010/11 and 2019/20 in terms of ozone loss is small, we investigate the change in terms of polar processing in these years, as that would help future projections of ozone recovery in polar regions. The ozone loss estimated by different methods (passive tracer and vortex descent) shows the highest loss in April in both years 2011 and 2020, but the peak ozone loss altitude was different. The overall ozone loss was more extensive in the lower stratosphere in 2020, but a relatively large loss occurred at higher altitudes in 2011. Prolonged chlorine activation was evident in 2020, longer than that in 2011, which also enhanced loss in the lower stratosphere in 2020. The situation in 2020 resulted in very small values of column ozone, which were below 220 DU for more than 3 weeks, and a near-complete ozone loss (93%) at certain altitudes in the lower stratosphere. The ozone loss in 2020 was similar to that in the Antarctic and was triggered by the presence of a strong and stable polar vortex with zonal winds of constant velocity (40-45 ms(-1)) and temperature conditions favoring large areas of polar stratospheric clouds (PSCs) (10 million km(2)) for most of the winter. The relatively lower values of momentum flux suggest that the tropospheric forcing was lower in 2020. Therefore, both winters had less disturbed and long-lasting polar vortices allowing lower temperatures, large areas of PSCs, and longer periods of severe chlorine activation, which in turn led to the record-breaking ozone loss of the levels found in the Antarctic vortex for some days.</t>
  </si>
  <si>
    <t>[Ardra, Divakaran; Kuttippurath, Jayanarayanan; Roy, Raina; Kumar, Pankaj; Raj, Sarath] Indian Inst Technol Kharagpur, CORAL, Kharagpur 721302, W Bengal, India; [Ardra, Divakaran; Roy, Raina] Cochin Univ Sci &amp; Technol, Dept Phys Oceanog, Kochi 682016, Kerala, India; [Mueller, Rolf] Forschungszentrum Julich, IEK 7, D-52425 Julich, Germany; [Feng, Wuhu] Univ Leeds, Natl Ctr Atmospher Sci, Leeds LS2 9PH, W Yorkshire, England; [Feng, Wuhu] Univ Leeds, Sch Earth &amp; Environm, Leeds LS2 9JT, W Yorkshire, England</t>
  </si>
  <si>
    <t>Indian Institute of Technology System (IIT System); Indian Institute of Technology (IIT) - Kharagpur; Cochin University Science &amp; Technology; Helmholtz Association; Research Center Julich; UK Research &amp; Innovation (UKRI); Natural Environment Research Council (NERC); NERC National Centre for Atmospheric Science; University of Leeds; University of Leeds</t>
  </si>
  <si>
    <t>Müller, Rolf/A-6669-2013; Roy, Raina/IZE-4926-2023; Raj, Sarath/GQZ-0671-2022; Raj, Sarath/AGO-2301-2022; Kuttippurath, Jayanarayanan/M-2878-2019</t>
  </si>
  <si>
    <t>Kuttippurath, Jayanarayanan/0000-0003-4073-8918; Raj, Sarath/0000-0001-9352-5356</t>
  </si>
  <si>
    <t>2472-3452</t>
  </si>
  <si>
    <t>ACS EARTH SPACE CHEM</t>
  </si>
  <si>
    <t>ACS Earth Space Chem.</t>
  </si>
  <si>
    <t>10.1021/acsearthspacechem.1c00333</t>
  </si>
  <si>
    <t>Chemistry, Multidisciplinary; Geochemistry &amp; Geophysics</t>
  </si>
  <si>
    <t>Chemistry; Geochemistry &amp; Geophysics</t>
  </si>
  <si>
    <t>0D8WU</t>
  </si>
  <si>
    <t>WOS:000776269800018</t>
  </si>
  <si>
    <t>Fernandes, M; Oliva, M; Vieira, G; Lopes, L</t>
  </si>
  <si>
    <t>Fernandes, M.; Oliva, M.; Vieira, G.; Lopes, L.</t>
  </si>
  <si>
    <t>Geomorphology of the Aran Valley (Upper Garonne Basin, Central Pyrenees)</t>
  </si>
  <si>
    <t>JOURNAL OF MAPS</t>
  </si>
  <si>
    <t>Article; Early Access</t>
  </si>
  <si>
    <t>Aran Valley; Upper Garonne Basin; geomorphological map; glaciations; deglaciation</t>
  </si>
  <si>
    <t>SLOPE FAILURES; EVOLUTION; HOLOCENE; GLACIER; DEGLACIATION; MOUNTAINS; REGION; HAZARD; VIEW</t>
  </si>
  <si>
    <t>Geomorphological mapping in mountain regions is key for a better understanding of past and present environmental dynamics. Here, we present a 1:25000 scale geomorphological map covering 553 km(2) of the Aran Valley, Upper Garonne Basin (Central Pyrenees). The map identifies 44 different geomorphological units classified under glacial, periglacial, nival, karst, slope, alluvial, and fluvial categories. The area includes geomorphic evidence of past Quaternary glaciations reconstructed based on the distribution of moraines from the valley floor to the highest cirques. Following deglaciation of the valley, the landscape was mainly reshaped by periglacial, slope, alluvial and fluvial processes. In addition to paleoenvironmental reconstruction, the map can also be used to promote geoheritage and geoconservation, as well as for planning. As such, it is of relevance for areas exposed to natural hazards, since present-day slope failures and debris flows frequently impact the villages and infrastructures across the valley floor.</t>
  </si>
  <si>
    <t>[Fernandes, M.; Vieira, G.] Univ Lisbon, Ctr Geog Studies IGOT, Rua Branca Edmee Marques, P-1600276 Lisbon, Portugal; [Oliva, M.] Univ Barcelona, Dept Geog, Barcelona, Spain; [Lopes, L.] Univ Lisbon, Sch Agr, InBIO, Ctr Appl Ecol Prof Baeta Neves CEABN, Lisbon, Portugal</t>
  </si>
  <si>
    <t>Universidade de Lisboa; University of Barcelona; Universidade de Lisboa</t>
  </si>
  <si>
    <t>Fernandes, M (corresponding author), Univ Lisbon, Ctr Geog Studies IGOT, Rua Branca Edmee Marques, P-1600276 Lisbon, Portugal.</t>
  </si>
  <si>
    <t>marcelo.fernandes@campus.ul.pt</t>
  </si>
  <si>
    <t>Lopes, Luis F/C-2574-2018; Vieira, Goncalo/G-5958-2010; Oliva, Marc/K-5423-2014</t>
  </si>
  <si>
    <t>Lopes, Luis F/0000-0002-5132-9258; Vieira, Goncalo/0000-0001-7611-3464; Fernandes, Marcelo/0000-0001-6840-4317; Oliva, Marc/0000-0001-6521-6388</t>
  </si>
  <si>
    <t>Fundacao para a Ciencia e Tecnologia of Portugal [SFRH/139569/2018]; Centro de Estudos Geograficos - University of Lisbon [FCT - UIDB/00295/2020, UIDP/00295/2020]; Ramon y Cajal program [RYC-2015-17597]; Research Group ANTALP (Antarctic, Arctic, Alpine Environments) - Government of Catalonia through the AGAUR agency [2017-SGR-1102]; FCT under the SUSFOR - Sustainable Forests and Products Doctoral Programme [PT/BD/142963/2018]; Ministry of Economy of Spain [CTM2017-87976-P]</t>
  </si>
  <si>
    <t>Fundacao para a Ciencia e Tecnologia of Portugal(Fundacao para a Ciencia e a Tecnologia (FCT)); Centro de Estudos Geograficos - University of Lisbon; Ramon y Cajal program(Spanish Government); Research Group ANTALP (Antarctic, Arctic, Alpine Environments) - Government of Catalonia through the AGAUR agency; FCT under the SUSFOR - Sustainable Forests and Products Doctoral Programme; Ministry of Economy of Spain(Spanish Government)</t>
  </si>
  <si>
    <t>Marcelo Fernandes is funded by a PhD fellowship (SFRH/139569/2018) from the Fundacao para a Ciencia e Tecnologia of Portugal. Field work was supported by the Centro de Estudos Geograficos - University of Lisbon (FCT - UIDB/00295/2020 and UIDP/00295/2020). Marc Oliva is supported by the Research scientist, Ramon y Cajal program (RYC-2015-17597) and the Research Group ANTALP (Antarctic, Arctic, Alpine Environments; 2017-SGR-1102) funded by the Government of Catalonia through the AGAUR agency. Luis Lopes is a PhD fellow funded by the FCT (PT/BD/142963/2018), under the SUSFOR - Sustainable Forests and Products Doctoral Programme. This research is framed within the College on Polar and Extreme Environments (Polar2E) of the University of Lisbon, and it complements the study topics of the PALEOGREEN (CTM2017-87976-P) project of the Ministry of Economy of Spain.</t>
  </si>
  <si>
    <t>1744-5647</t>
  </si>
  <si>
    <t>J MAPS</t>
  </si>
  <si>
    <t>J. Maps</t>
  </si>
  <si>
    <t>2022 MAR 17</t>
  </si>
  <si>
    <t>10.1080/17445647.2022.2035266</t>
  </si>
  <si>
    <t>Geography; Geography, Physical</t>
  </si>
  <si>
    <t>Geography; Physical Geography</t>
  </si>
  <si>
    <t>ZV3XV</t>
  </si>
  <si>
    <t>WOS:000770468200001</t>
  </si>
  <si>
    <t>Liu, CW; Hao, GH; Li, YB; Zhao, JC; Lei, RB; Cheng, B; Gao, ZQ; Yang, QH</t>
  </si>
  <si>
    <t>Liu, Changwei; Hao, Guanghua; Li, Yubin; Zhao, Jiechen; Lei, Ruibo; Cheng, Bin; Gao, Zhiqiu; Yang, Qinghua</t>
  </si>
  <si>
    <t>The sensitivity of parameterization schemes in thermodynamic modeling of the landfast sea ice in Prydz Bay, East Antarctica</t>
  </si>
  <si>
    <t>Antarctic landfast sea ice; oceanic heat flux; parameterization schemes; sensitivity tests; thermodynamically modeling</t>
  </si>
  <si>
    <t>LONG-WAVE-RADIATION; OCEAN HEAT-FLUX; REGIONAL CLIMATE MODEL; THERMAL-RADIATION; WEDDELL SEA; THICKNESS; ABLATION; VARIABILITY; FORMULA; ALBEDO</t>
  </si>
  <si>
    <t>Based on the measurements conducted over the landfast sea ice in Prydz Bay, East Antarctica during the sea-ice growth season in 2016, various parameterization schemes in the high-resolution thermodynamic snow/ice model HIGHTSI are evaluated. The parameterization scheme of turbulent fluxes produces the largest errors compared with the parameterization schemes for other surface heat fluxes. However, the sea-ice thickness simulation is most sensitive to the differences in upward longwave radiation at the surface. In addition, the sea-ice thickness simulation during the growth season is highly sensitive to the oceanic heat flux, and a new oceanic heat flux parameterization scheme based on the bulk method is proposed. The new parameterization scheme is tested in a second year, and it significantly improves the model performance relative to the standard configuration when compared against observations. Finally, the seasonal variation in the heat budget and its influence on the sea-ice thickness variation are analyzed. The net shortwave radiation, sensible heat flux and conductive heat flux (the net longwave radiation and latent heat flux) are found to be the surface heat sources (heat sinks) during the growth season. The larger conductive heat flux and the smaller oceanic heat flux can intensify the growth of sea ice.</t>
  </si>
  <si>
    <t>[Liu, Changwei; Yang, Qinghua] Sun Yat Sen Univ, Sch Atmospher Sci, Zhuhai, Peoples R China; [Liu, Changwei; Yang, Qinghua] Southern Marine Sci &amp; Engn Guangdong Lab Zhuhai, Zhuhai, Peoples R China; [Hao, Guanghua] Minist Nat Resources, Natl Marine Environm Forecasting Ctr, Beijing, Peoples R China; [Li, Yubin; Gao, Zhiqiu] Nanjing Univ Informat Sci &amp; Technol, Coiiaborat Innovat Ctr Forecast &amp; Evaluat Meteoro, Sch Atmospher Phys, Nanjing, Peoples R China; [Zhao, Jiechen] Harbin Engn Univ, Qingdao Grad Sch, Qingdao Innovat &amp; Dev Ctr Base, Qingdao, Peoples R China; [Lei, Ruibo] Polar Res Inst China, Key Lab Polar Sci MNR, Shanghai 200136, Peoples R China; [Cheng, Bin] Finnish Meteorol Inst FMI, Helsinki, Finland; [Gao, Zhiqiu] Chinese Acad Sci, Inst Atmospher Phys, State Key Lab Atmospher Boundary Layer Phys &amp; Atm, Beijing, Peoples R China</t>
  </si>
  <si>
    <t>Sun Yat Sen University; Southern Marine Science &amp; Engineering Guangdong Laboratory; Southern Marine Science &amp; Engineering Guangdong Laboratory (Zhuhai); National Marine Environmental Forecasting Center; Ministry of Natural Resources of the People's Republic of China; Nanjing University of Information Science &amp; Technology; Harbin Engineering University; Polar Research Institute of China; Finnish Meteorological Institute; Chinese Academy of Sciences; Institute of Atmospheric Physics, CAS</t>
  </si>
  <si>
    <t>Yang, QH (corresponding author), Sun Yat Sen Univ, Sch Atmospher Sci, Zhuhai, Peoples R China.;Yang, QH (corresponding author), Southern Marine Sci &amp; Engn Guangdong Lab Zhuhai, Zhuhai, Peoples R China.</t>
  </si>
  <si>
    <t>yangqh25@mail.sysu.edu.cn</t>
  </si>
  <si>
    <t>Li, Yubin/HOC-0722-2023; Zhao, Jiechen/KHV-9905-2024; Hao, Guanghua/AAC-3979-2019; Cheng, Bin/D-4354-2013</t>
  </si>
  <si>
    <t>Li, Yubin/0000-0003-3965-3845; Yang, Qinghua/0000-0002-7114-2036; Cheng, Bin/0000-0001-8156-8412</t>
  </si>
  <si>
    <t>National Natural Science Foundation of China [41941009, 41922044, 42105072, 41876212]; Guangdong Basic and Applied Basic Research Foundation [2020B1515020025, 2021A1515011591, 2021A1515012209]; China Postdoctoral Science Foundation [2021M693585]; Fundamental Research Funds for the Central Universities, Sun Yat-sen University [19lgzd07, 2021qntd29]; Southern Marine Science and Engineering Guangdong Laboratory (Zhuhai) [SML2020SP007]; Academy of Finland [304345]</t>
  </si>
  <si>
    <t>National Natural Science Foundation of China(National Natural Science Foundation of China (NSFC)); Guangdong Basic and Applied Basic Research Foundation; China Postdoctoral Science Foundation(China Postdoctoral Science Foundation); Fundamental Research Funds for the Central Universities, Sun Yat-sen University(Fundamental Research Funds for the Central Universities); Southern Marine Science and Engineering Guangdong Laboratory (Zhuhai); Academy of Finland(Research Council of Finland)</t>
  </si>
  <si>
    <t>This study was supported by the National Natural Science Foundation of China (nos. 41941009, 41922044, 42105072 and 41876212), the Guangdong Basic and Applied Basic Research Foundation (nos. 2020B1515020025, 2021A1515011591 and 2021A1515012209), the China Postdoctoral Science Foundation (no. 2021M693585), the Fundamental Research Funds for the Central Universities, Sun Yat-sen University (nos. 19lgzd07 and 2021qntd29), the Southern Marine Science and Engineering Guangdong Laboratory (Zhuhai) (SML2020SP007) and the Academy of Finland (contract 304345). We thank the Chinese Arctic and Antarctic Administration and Polar Research Institute of China for logistic support. We also thank the Russian Progress II meteorological station for providing the precipitation data.</t>
  </si>
  <si>
    <t>PII S0022143022000089</t>
  </si>
  <si>
    <t>10.1017/jog.2022.8</t>
  </si>
  <si>
    <t>WOS:000770153000001</t>
  </si>
  <si>
    <t>Yu, JM; Oppo, DW; Jin, ZD; Lacerra, M; Ji, X; Umling, NE; Lund, DC; McCave, N; Menviel, L; Shao, J; Xu, C</t>
  </si>
  <si>
    <t>Yu, Jimin; Oppo, Delia W.; Jin, Zhangdong; Lacerra, Matthew; Ji, Xuan; Umling, Natalie E.; Lund, David C.; McCave, Nick; Menviel, Laurie; Shao, Jun; Xu, Chen</t>
  </si>
  <si>
    <t>Millennial and centennial CO2 release from the Southern Ocean during the last deglaciation</t>
  </si>
  <si>
    <t>GLOBAL OVERTURNING CIRCULATION; ANTARCTIC INTERMEDIATE WATER; MID-DEPTH ATLANTIC; NORTH-ATLANTIC; GLACIAL MAXIMUM; CARBON-DIOXIDE; DEEP-SEA; ATMOSPHERIC CO2; CACO3 PRESERVATION; ICE</t>
  </si>
  <si>
    <t>For its greenhouse effects, atmospheric CO2 can critically influence the global climate on millennial and centennial timescales. Pleistocene atmospheric CO2 variations must involve changes in ocean storage of carbon, but the mechanisms and pathways of carbon transfer between the oceanic and atmospheric reservoirs are poorly understood due, in part, to complications associated with interpretation of carbonate system proxy data. Here we employ a recently developed approach to reconstruct upper Atlantic air-sea CO2 exchange signatures through the last deglaciation. Using this approach, proxy and model data each suggest that there was a net release of CO2 via the Atlantic sector of the Southern Ocean during the early deglaciation, which probably contributed to the millennial-scale atmospheric CO2 rise during Heinrich Stadial 1 at similar to 18.0-14.7 kyr ago. Moreover, our data reveal a previously unrecognized mechanism for the centennial-scale atmospheric CO2 rise at the onset of the Bolling warming event around 14.7 kyr ago, namely, the expansion of Antarctic Intermediate Water, a water mass that is especially inefficient at sequestering atmospheric CO2. Our findings highlight the role of the Southern Ocean outgassing and intermediate water-mass production and volume variations in governing millennial- and centennial-timescale atmospheric CO2 rises during the last deglaciation.</t>
  </si>
  <si>
    <t>[Yu, Jimin] Pilot Natl Lab Marine Sci &amp; Technol Qingdao, Qingdao, Peoples R China; [Yu, Jimin; Ji, Xuan; Xu, Chen] Australian Natl Univ, Res Sch Earth Sci, Canberra, ACT, Australia; [Oppo, Delia W.] Woods Hole Oceanog Inst, Dept Geol &amp; Geophys, Woods Hole, MA 02543 USA; [Jin, Zhangdong] Chinese Acad Sci, Inst Earth Environm, SKLLQG, Xian, Peoples R China; [Lacerra, Matthew] Princeton Univ, Dept Geosci, Princeton, NJ 08544 USA; [Umling, Natalie E.] Amer Museum Nat Hist, Dept Earth &amp; Planetary Sci, New York, NY 10024 USA; [Lund, David C.] Univ Connecticut, Dept Marine Sci, Groton, CT 06340 USA; [McCave, Nick] Univ Cambridge, Dept Earth Sci, Cambridge, England; [Menviel, Laurie] Univ New South Wales, Climate Change Res Ctr, Earth &amp; Sustainabil Sci Res Ctr, Sydney, NSW, Australia; [Shao, Jun] Univ Southern Calif, Dept Earth Sci, Los Angeles, CA 90007 USA</t>
  </si>
  <si>
    <t>Laoshan Laboratory; Australian National University; Woods Hole Oceanographic Institution; Chinese Academy of Sciences; Institute of Earth Environment, CAS; Princeton University; American Museum of Natural History (AMNH); University of Connecticut; University of Cambridge; University of New South Wales Sydney; University of Southern California</t>
  </si>
  <si>
    <t>Yu, JM (corresponding author), Pilot Natl Lab Marine Sci &amp; Technol Qingdao, Qingdao, Peoples R China.;Yu, JM (corresponding author), Australian Natl Univ, Res Sch Earth Sci, Canberra, ACT, Australia.</t>
  </si>
  <si>
    <t>jimin.yu@anu.edu.au</t>
  </si>
  <si>
    <t>Menviel, Laurie/D-6902-2013; Yu, Jimin/I-7770-2012; McCave, Nick/G-7323-2016</t>
  </si>
  <si>
    <t>Menviel, Laurie/0000-0002-5068-1591; Yu, Jimin/0000-0002-3896-1777; Oppo, Delia/0000-0003-2946-5904; McCave, Nick/0000-0002-4702-5489; jin, zhang dong/0000-0002-1457-0552; Ji, Xuan/0000-0001-7127-1121; Xu, Chen/0000-0001-8253-8944</t>
  </si>
  <si>
    <t>NSFC [42076056, 41991322]; ARC [DP190100894, FT140100993, FT180100606]; Australian Research Council [FT140100993] Funding Source: Australian Research Council</t>
  </si>
  <si>
    <t>NSFC(National Natural Science Foundation of China (NSFC)); ARC(Australian Research Council); Australian Research Council(Australian Research Council)</t>
  </si>
  <si>
    <t>We thank L. X. Wu for valuable discussions about AAIW, S. F. Gu for providing model outputs shown in Fig. 5 and E. J. Rohling for assisting with statistics. This study is supported by NSFC 42076056 (J.Y.) NSFC 41991322 (Z.J.), ARC Discovery Projects DP190100894 (J.Y.) and ARC Future Fellowship FT140100993 (J.Y.) and FT180100606 (L.M.).</t>
  </si>
  <si>
    <t>10.1038/s41561-022-00910-9</t>
  </si>
  <si>
    <t>WOS:000770187800001</t>
  </si>
  <si>
    <t>Saunders, RA; Hollyman, PR; Thorpe, SE; Collins, MA</t>
  </si>
  <si>
    <t>Saunders, Ryan A.; Hollyman, Philip R.; Thorpe, Sally E.; Collins, Martin A.</t>
  </si>
  <si>
    <t>Population characteristics of benthopelagic Gymnoscopelus nicholsi (Pisces: Myctophidae) on the continental shelf of South Georgia (Southern Ocean) during austral summer</t>
  </si>
  <si>
    <t>Myctophidae; Gymnoscopelus; Benthopelagic ecology; South Georgia; Southern Ocean</t>
  </si>
  <si>
    <t>ICEFISH CHAMPSOCEPHALUS-GUNNARI; MESOPELAGIC FISH; SCOTIA SEA; FEEDING ECOLOGY; FAMILY MYCTOPHIDAE; DIET; VARIABILITY; NORTH; COMMUNITY; PATTERNS</t>
  </si>
  <si>
    <t>Southern Ocean myctophid fish (Family Myctophidae) are an important conduit of energy through foodwebs and between the surface layers and mesopelagic depths. Species that reside in both pelagic and near-bottom environments of continental shelves, such as Gymnoscopelus nicholsi and Gymnoscopelus bolini, may also be important in benthopelagic coupling, although their ecology and role in such processes remain unresolved. Here, we examined inter-annual variation in the depth of occurrence, biomass and population dynamics of benthopelagic G. nicholsi on the South Georgia shelf (100-350 m) using bottom trawl data collected between 1987 and 2019. Gymnoscopelus nicholsi was a regular component of the local benthopelagic community, particularly northwest of South Georgia, but was patchily distributed. It appeared to enter a benthopelagic phase at similar to 3 years, with annual growth and recruitment of year classes between similar to 3 and 5 years. However, transition of cohorts into the benthopelagic zone was not annual. There was clear inter-annual variation in G. nicholsi biomass and depth of occurrence. Shallower depth of occurrence was significantly (P &lt; 0.05) correlated with years of warmer summer sea surface temperatures, suggesting that inter-annual variation in local environmental conditions has an important influence on its migration behaviour and ecology. Our data also suggest that Antarctic hill is an important dietary component of the older G. nicholsi cohorts (similar to 5 years) in the benthopelagic zone. We note that Gymnoscopelus bolini is rare in bottom trawl catches between 100 and 350 m, although Antarctic hill appears to dominate its diet from the available data. Our study provides important information on understudied myctophid species in a poorly investigated region of the water column that is relevant for Southern Ocean ecosystem studies, particularly in relation to understanding trophic connectivity between the pelagic and near-bottom realms.</t>
  </si>
  <si>
    <t>[Saunders, Ryan A.; Hollyman, Philip R.; Thorpe, Sally E.; Collins, Martin A.] British Antarctic Survey, Nat Environm Res Council, Madingley Rd, Cambridge CB3 0ET, England</t>
  </si>
  <si>
    <t>Saunders, RA (corresponding author), British Antarctic Survey, Nat Environm Res Council, Madingley Rd, Cambridge CB3 0ET, England.</t>
  </si>
  <si>
    <t>ryaund@bas.ac.uk</t>
  </si>
  <si>
    <t>, Martin/ABE-6728-2020</t>
  </si>
  <si>
    <t>, Martin/0000-0001-7132-8650; Saunders, Ryan/0000-0002-1157-7222; Hollyman, Philip/0000-0003-2665-5075</t>
  </si>
  <si>
    <t>Government of South Georgia and South Sandwich Islands - Natural Environment Research Council; UK Research and Innovation</t>
  </si>
  <si>
    <t>Government of South Georgia and South Sandwich Islands - Natural Environment Research Council; UK Research and Innovation(UK Research &amp; Innovation (UKRI))</t>
  </si>
  <si>
    <t>The authors wish to thank the officers and crew of all research vessels involved in South Georgia surveys since 1986. We also thank the scientists who have assisted with the at-sea biological sampling over the years. The sea surface and bottom water temperature analyses were conducted using E.U. Copernicus Marine Service Information. The study was funded by the Government of South Georgia and South Sandwich Islands (GSGSSI) and contributes to the British Antarctic Survey's Ecosystem programme, which is funded by the Natural Environment Research Council, a part of UK Research and Innovation. We thank Cedric Cotte and two anonymous referees for constructive comments on the manuscript.</t>
  </si>
  <si>
    <t>10.1007/s00300-022-03033-4</t>
  </si>
  <si>
    <t>WOS:000770182800001</t>
  </si>
  <si>
    <t>Mdutyana, M; Sun, X; Burger, JM; Flynn, RF; Smith, S; Horsten, NR; Roychoudhury, AN; Planquette, H; Bucciarelli, E; Thomalla, SJ; Ward, BB; Fawcett, SE</t>
  </si>
  <si>
    <t>Mdutyana, Mhlangabezi; Sun, Xin; Burger, Jessica M.; Flynn, Raquel F.; Smith, Shantelle; Horsten, Natasha R.; Roychoudhury, Alakendra N.; Planquette, Helene; Bucciarelli, Eva; Thomalla, Sandy J.; Ward, Bess B.; Fawcett, Sarah E.</t>
  </si>
  <si>
    <t>The kinetics of ammonium uptake and oxidation across the Southern Ocean</t>
  </si>
  <si>
    <t>NITROGEN UPTAKE; TRACE-METALS; DIFFERENTIAL PHOTOINHIBITION; SUBSTRATE CONCENTRATION; COMMUNITY COMPOSITION; NITRIFICATION RATES; NATURAL-POPULATIONS; OXIDIZING ARCHAEON; ISOTOPIC ANALYSIS; NITRATE UPTAKE</t>
  </si>
  <si>
    <t>Central to the Southern Ocean's role in setting atmospheric CO2 is the seasonal alternation between upward mixing of nutrients and their subsequent consumption by phytoplankton. Active nutrient cycling within the mixed layer, including the release of ammonium (NH4+) and its removal by phytoplankton and nitrifiers, also affects Southern Ocean CO2 drawdown, yet remains poorly understood. We conducted kinetics experiments across the Southern Ocean south of Africa to investigate the dependence of NH4+ uptake (summer, winter) and oxidation (winter) on NH4+ concentration. NH4+ uptake followed a Michaelis-Menten function in both seasons, with the maximum rate (V-max) decreasing poleward, apparently controlled mainly by light in winter and temperature in summer. The half-saturation constant (K-m) increased poleward with increasing ambient NH4+ ([NH4+](amb)) and was threefold higher in winter (150-405 nM) than in summer (41-115 nM), suggesting that summertime phytoplankton are adapted to low-NH4+ conditions while winter communities typically receive a higher NH4+ supply. NH4+ oxidation showed a high affinity for NH4+ (K-m = 28-137 nM), suggesting a dominant role for ammonia-oxidizing archaea, and followed a Michaelis-Menten curve only when [NH4+](amb) was &lt;= 90 nM. V-max was near-constant across the region regardless of [NH4+](amb), temperature, or light. From coincident mixed-layer NH4+ oxidation and iron measurements, we hypothesize that iron availability may (co-)limit the V-max of NH4+ oxidation. If verified, this suggestion has implications for models that parameterize nitrification as a linear function of [NH4+](amb). Additionally, iron depletion may limit the role of mixed-layer nitrification, which is dominant in the winter Southern Ocean, in offsetting phytoplankton CO2 drawdown annually.</t>
  </si>
  <si>
    <t>[Mdutyana, Mhlangabezi; Burger, Jessica M.; Flynn, Raquel F.; Smith, Shantelle; Fawcett, Sarah E.] Univ Cape Town, Dept Oceanog, Cape Town, South Africa; [Mdutyana, Mhlangabezi; Horsten, Natasha R.; Thomalla, Sandy J.] CSIR, Southern Ocean Carbon &amp; Climate Observ SOCCO, Cape Town, South Africa; [Sun, Xin; Ward, Bess B.] Princeton Univ, Dept Geosci, Princeton, NJ 08544 USA; [Horsten, Natasha R.; Roychoudhury, Alakendra N.] Stellenbosch Univ, Dept Earth Sci, Stellenbosch, South Africa; [Horsten, Natasha R.; Planquette, Helene; Bucciarelli, Eva] Univ Brest, LEMAR, IFREMER, CNRS,IRD, Plouzane, France; [Fawcett, Sarah E.] Univ Cape Town, Marine &amp; Antarctic Res Ctr Innovat &amp; Sustainabil, Cape Town, South Africa</t>
  </si>
  <si>
    <t>University of Cape Town; Council for Scientific &amp; Industrial Research (CSIR) - South Africa; Princeton University; Stellenbosch University; Centre National de la Recherche Scientifique (CNRS); Ifremer; Institut de Recherche pour le Developpement (IRD); Universite de Bretagne Occidentale; University of Cape Town</t>
  </si>
  <si>
    <t>Mdutyana, M (corresponding author), Univ Cape Town, Dept Oceanog, Cape Town, South Africa.;Mdutyana, M (corresponding author), CSIR, Southern Ocean Carbon &amp; Climate Observ SOCCO, Cape Town, South Africa.</t>
  </si>
  <si>
    <t>mdtmhl001@myuct.ac.za</t>
  </si>
  <si>
    <t>Ward, Bess/0000-0001-7870-2684; Sun, Xin/0000-0003-0280-4283; Fawcett, Sarah/0000-0002-0878-6496; Flynn, Raquel Francesca/0000-0003-3118-4474</t>
  </si>
  <si>
    <t>South African National Research Foundation [110735, 129232, 110715, 93076, 116142, 112380, 110732, 114590]; UCT through a Harry Crossley Foundation Fellowship; Science Faculty PhD Fellowship; VC Future Leaders 2030 award; Research Committee Equipment grant; African Academy of Sciences/Royal Society through a FLAIR Fellowship; US National Science Foundation; ISblue project [ANR-17-EURE-0015]; French government; French-South Africa Campus France initiative</t>
  </si>
  <si>
    <t>South African National Research Foundation(National Research Foundation - South Africa); UCT through a Harry Crossley Foundation Fellowship; Science Faculty PhD Fellowship; VC Future Leaders 2030 award; Research Committee Equipment grant; African Academy of Sciences/Royal Society through a FLAIR Fellowship; US National Science Foundation(National Science Foundation (NSF)); ISblue project; French government; French-South Africa Campus France initiative</t>
  </si>
  <si>
    <t>We thank Captain Knowledge Bengu, the crew of the R/V S.A. Agulhas II, and Chief Scientists M. Vichi and H. Luyt, as well as C. Karriem, the Marine Biogeochemistry Lab at the University of Cape Town (UCT), especially K. Spence and E. Harris, and I. Newton and J. Luyt at the UCT Stable Light Isotope Laboratory. We are especially grateful to S. Oleynik for expert assistance during the first author's visit to Princeton University through the VSRC program. This work was supported by the South African National Research Foundation through Antarctic Programme grants to S.E.F. (110735, 129232), A.N.R. (110715), and S.J.T. (93076), an NEP grant to S.E.F. (116142), and postgraduate fellowships to M.M. (112380), J.M.B. (110732), and S.S. (114590); by UCT through a Harry Crossley Foundation Fellowship to M.M., a Science Faculty PhD Fellowship to R.F.F., a VC Future Leaders 2030 award and Research Committee Equipment grant to S.E.F.; by the African Academy of Sciences/Royal Society through a FLAIR Fellowship to S.E.F; by US National Science Foundation grants to B.B.W.; by the ISblue project (ANR-17-EURE-0015) and the French government under Investissements d'Avenir (to E.B.); and by the French-South Africa Campus France initiative. The authors also acknowledge the South African Department of Science and Innovation's Biogeochemistry Research Infrastructure Platform.</t>
  </si>
  <si>
    <t>10.1002/lno.12050</t>
  </si>
  <si>
    <t>0J4RP</t>
  </si>
  <si>
    <t>WOS:000770008900001</t>
  </si>
  <si>
    <t>Deutsch, AN; Levy, JS; Dickson, JL; Head, JW</t>
  </si>
  <si>
    <t>Deutsch, Ariel N.; Levy, Joseph S.; Dickson, James L.; Head, James W.</t>
  </si>
  <si>
    <t>Daily and seasonal processes shape hydrological activity and detectability of moisture in Antarctic, Mars-analog soils</t>
  </si>
  <si>
    <t>Mars; Brines; Habitability; Microclimate; Antarctica</t>
  </si>
  <si>
    <t>RECURRING SLOPE LINEAE; MCMURDO DRY VALLEYS; TAYLOR VALLEY; PHASE-TRANSITIONS; GARWOOD VALLEY; SALT CRUSTS; SEA-ICE; DELIQUESCENCE; WATER; DESERT</t>
  </si>
  <si>
    <t>Soil salt deliquescence and soil porewater solution growth are key processes that generate potentially habitable conditions in hyperarid environments on Earth and could form near-surface pore waters on Mars. However, direct detection of soils darkened by saline porewater solutions on Mars has proven difficult owing to the limited number of imaging opportunities over potential brine-bearing sites, the limited diel temporal coverage of orbital sensors, and the diversity of spectroscopic properties of potentially brine-bearing substrates that limits direct detection of hydrated mineral phases. Here, we explore how these observational limitations would affect the interpretation of highly dynamic soil salt patches observed in the McMurdo Dry Valleys, Antarctica. These salt patches show daily and seasonal albedo change, darkening and brightening over timescales of minutes. Fully darkened conditions occur at a median surface relative humidity of 67.9 &amp; nbsp;+/- 10.7%, while bright conditions occur at lower median surface relative humidity of 38.9 &amp; nbsp;+/- 14.5%, leading to the interpretation that the albedo changes are caused by soil salt deliquescence and brine droplet growth. These humidity thresholds and the daily hysteresis between deliquesced and effloresced conditions are consistent with the properties of sulfate and chloride salts found at the site, but occur on timescales much faster than those observed under laboratory conditions (minutes vs. hours-days). Darkened soil patch conditions are most common between 21:00 and 06:00 local time, and are not detected during 78% of afternoon imaging opportunities, suggesting that episodic, afternoon satellite imaging would not be effective in resolving rapid albedo changes on similar planetary landscapes such as Mars. Instead, synoptic, high-cadence imaging is a more suitable remote sensing tool for evaluating albedo changes driven by surface salt deliquescence and efflorescence.</t>
  </si>
  <si>
    <t>[Deutsch, Ariel N.; Dickson, James L.; Head, James W.] Brown Univ, Dept Earth Environm &amp; Planetary Sci, Providence, RI 02912 USA; [Levy, Joseph S.] Colgate Univ, Dept Geol, Hamilton, NY 13346 USA; [Dickson, James L.] CALTECH, Div Geol &amp; Planetary Sci, Pasadena, CA 91125 USA; [Deutsch, Ariel N.] NASA, Planetary Syst Branch, Ames Res Ctr, Moffett Field, CA 94035 USA</t>
  </si>
  <si>
    <t>Brown University; Colgate University; California Institute of Technology; National Aeronautics &amp; Space Administration (NASA); NASA Ames Research Center</t>
  </si>
  <si>
    <t>Levy, JS (corresponding author), Colgate Univ, Dept Geol, Hamilton, NY 13346 USA.</t>
  </si>
  <si>
    <t>jlevy@colgate.edu</t>
  </si>
  <si>
    <t>National Science Foundation [OPP-1847067, OPP-1343835]</t>
  </si>
  <si>
    <t>This work was supported in part by the National Science Foundation under grants OPP-1847067 and OPP-1343835 to JSL.</t>
  </si>
  <si>
    <t>10.1016/j.icarus.2022.114990</t>
  </si>
  <si>
    <t>1C7AV</t>
  </si>
  <si>
    <t>WOS:000793268100003</t>
  </si>
  <si>
    <t>Girardet, J; Sarano, F; Richard, G; Tixier, P; Guinet, C; Alexander, A; Sarano, V; Vitry, H; Preud'homme, A; Heuzey, R; Garcia-Cegarra, AM; Adam, O; Madon, B; Jung, JL</t>
  </si>
  <si>
    <t>Girardet, Justine; Sarano, Francois; Richard, Gaetan; Tixier, Paul; Guinet, Christophe; Alexander, Alana; Sarano, Veronique; Vitry, Hugues; Preud'homme, Axel; Heuzey, Rene; Garcia-Cegarra, Ana M.; Adam, Olivier; Madon, Benedicte; Jung, Jean-Luc</t>
  </si>
  <si>
    <t>Long Distance Runners in the Marine Realm: New Insights Into Genetic Diversity, Kin Relationships and Social Fidelity of Indian Ocean Male Sperm Whales</t>
  </si>
  <si>
    <t>marine megafauna; genetic diversity; cultural species; sperm whales; Indian Ocean; male-social fidelity; kin relationships</t>
  </si>
  <si>
    <t>PHYSETER-MACROCEPHALUS; NORTH PACIFIC; PAIRWISE RELATEDNESS; POPULATION-GENETICS; SEXUAL SEGREGATION; COMPUTER-PROGRAM; DEPREDATION; BEHAVIOR; KILLER; AZORES</t>
  </si>
  <si>
    <t>Adult male sperm whales (Physeter macrocephalus) are long distance runners of the marine realm, feeding in high latitudes and mating in tropical and subtropical waters where stable social groups of females and immatures live. Several areas of uncertainty still limit our understanding of their social and breeding behavior, in particular concerning the potential existence of geographical and/or social fidelities. In this study, using underwater observation and sloughed-skin sampling, we looked for male social fidelity to a specific matrilineal sperm whale group near Mauritius. In addition, we captured a wider picture of kin relationships and genetic diversity of male sperm whales in the Indian Ocean thanks to biopsies of eight individuals taken in a feeding ground near the Kerguelen and Crozet Archipelagos (Southern Indian Ocean). Twenty-six adult male sperm whales were identified when socializing with adult females and immatures off Mauritius. Sloughed-skin samples were taken from thirteen of them for genetic analysis. Long-term underwater observation recorded several noteworthy social interactions between adult males and adult females and/or immatures. We identified seven possible male recaptures over different years (three by direct observation, and four at the gametic level), which supports a certain level of male social fidelity. Two probable first- and thirty second-degree kin relationships were highlighted between members of the social unit and adult males, confirming that some of the adult males observed in Mauritian waters are reproductive. Male social philopatry to their natal group can be excluded, as none of the males sampled shared the haplotype characteristic of the matrilineal social group. Mitochondrial DNA control region haplotype and nucleotide diversities calculated over the 21 total male sperm whales sampled were similar to values found by others in the Indian Ocean. Our study strongly supports the existence of some levels of male sperm whale social fidelity, not directed to their social group of birth, in the Indian Ocean. Males sampled in breeding and feeding grounds are linked by kin relationships. Our results support a model of male mediated gene flow occurring at the level of the whole Indian Ocean, likely interconnected with large-scale geographical fidelity to ocean basin, and a small-scale social fidelity to matrilineal social groups.</t>
  </si>
  <si>
    <t>[Girardet, Justine; Jung, Jean-Luc] Univ Brest, Brest, France; [Girardet, Justine; Jung, Jean-Luc] Univ Antilles, Sorbonne Univ, CNRS,EPHE,Museum Natl Hist Nat, Inst Systemat Evol Biodivers ISYEB, Brest, France; [Sarano, Francois; Sarano, Veronique] Longitude 181, Valence, France; [Richard, Gaetan] Univ Brest, CNRS UMS 3113, Inst Univ Europeen Mer, Technopole Brest Iroise, Plouzane, France; [Tixier, Paul] Univ Montpellier, MARBEC, CNRS, IFREMER,IRD, Sete, France; [Guinet, Christophe] Univ Rochelle, UMR 7372 CNRS, Ctr Etudes Biolog Chize, Villiers En Bois, France; [Alexander, Alana] Univ Otago, Dept Anat, Dunedin, New Zealand; [Vitry, Hugues; Preud'homme, Axel] Marine Megafauna Conservat Org, Trou Aux Biches, Mauritius; [Heuzey, Rene] Label Bleu Prod, Marseille, France; [Garcia-Cegarra, Ana M.] Centro Investigac Fauna Marina Avistamiento Cetac, Mejillones, Chile; [Garcia-Cegarra, Ana M.] Univ Antofagasta, Inst Ciencias Natur Alexander Humboldt, Fac Ciencias Mar &amp; Recursos Biol, Antofagasta, Chile; [Adam, Olivier] Sorbonne Univ, CNRS, Inst Jean Rond Alembert, UMR 7190, Paris, France; [Adam, Olivier] Univ Paris Sud, CNRS UMR 9197, Inst Neurosci Paris Saclay, Bioacoust Team, Orsay, France; [Madon, Benedicte] Univ Brest, AMURE Amenagement Usages Ressources &amp; Espaces Mar, Ctr Droit &amp; Econ Mer, Plouzane, France</t>
  </si>
  <si>
    <t>Universite de Bretagne Occidentale; Centre National de la Recherche Scientifique (CNRS); Museum National d'Histoire Naturelle (MNHN); Sorbonne Universite; Universite de Bretagne Occidentale; Universite PSL; Ecole Pratique des Hautes Etudes (EPHE); Universite de Bretagne Occidentale; Institut Universitaire Europeen de la Mer (IUEM); Universite de Montpellier; Centre National de la Recherche Scientifique (CNRS); Institut de Recherche pour le Developpement (IRD); Ifremer; Centre National de la Recherche Scientifique (CNRS); CNRS - Institute of Ecology &amp; Environment (INEE); University of Otago; Universidad de Antofagasta; Centre National de la Recherche Scientifique (CNRS); CNRS - Institute for Engineering &amp; Systems Sciences (INSIS); Sorbonne Universite; Universite Paris Saclay; Universite Paris Cite; Centre National de la Recherche Scientifique (CNRS); CNRS - National Institute for Biology (INSB); Ifremer; Universite de Bretagne Occidentale</t>
  </si>
  <si>
    <t>Jung, JL (corresponding author), Univ Brest, Brest, France.;Jung, JL (corresponding author), Univ Antilles, Sorbonne Univ, CNRS,EPHE,Museum Natl Hist Nat, Inst Systemat Evol Biodivers ISYEB, Brest, France.</t>
  </si>
  <si>
    <t>jean-luc.jung@mnhn.fr</t>
  </si>
  <si>
    <t>Madon, Benedicte/IVV-1786-2023; Jung, Jean Luc/H-5108-2011</t>
  </si>
  <si>
    <t>Madon, Benedicte/0000-0001-8608-3895;</t>
  </si>
  <si>
    <t>French Polar Institute (IPEV program) [ORNITHOECO-109]</t>
  </si>
  <si>
    <t>French Polar Institute (IPEV program)</t>
  </si>
  <si>
    <t>The work in the sub-Antarctic region was supported by the French Polar Institute (IPEV program ORNITHOECO-109). The Lush Foundation partly supported the genetics lab work costs.</t>
  </si>
  <si>
    <t>MAR 16</t>
  </si>
  <si>
    <t>10.3389/fmars.2022.815684</t>
  </si>
  <si>
    <t>0H5IK</t>
  </si>
  <si>
    <t>WOS:000778765900001</t>
  </si>
  <si>
    <t>Erhardt, T; Bigler, M; Federer, U; Gfeller, G; Leuenberger, D; Stowasser, O; Röthlisberger, R; Schüpbach, S; Ruth, U; Twarloh, B; Wegner, A; Goto-Azuma, K; Kuramoto, T; Kjær, HA; Vallelonga, PT; Siggaard-Andersen, ML; Hansson, ME; Benton, AK; Fleet, LG; Mulvaney, R; Thomas, ER; Abram, N; Stocker, TF; Fischer, H</t>
  </si>
  <si>
    <t>Erhardt, Tobias; Bigler, Matthias; Federer, Urs; Gfeller, Gideon; Leuenberger, Daiana; Stowasser, Olivia; Rothlisberger, Regine; Schupbach, Simon; Ruth, Urs; Twarloh, Birthe; Wegner, Anna; Goto-Azuma, Kumiko; Kuramoto, Takayuki; Kjaer, Helle A.; Vallelonga, Paul T.; Siggaard-Andersen, Marie-Louise; Hansson, Margareta E.; Benton, Ailsa K.; Fleet, Louise G.; Mulvaney, Rob; Thomas, Elizabeth R.; Abram, Nerilie; Stocker, Thomas F.; Fischer, Hubertus</t>
  </si>
  <si>
    <t>High-resolution aerosol concentration data from the Greenland NorthGRIP and NEEM deep ice cores</t>
  </si>
  <si>
    <t>CONTINUOUS-FLOW ANALYSIS; MINERAL DUST; METHANE MEASUREMENTS; INJECTION ANALYSIS; MILLENNIAL CHANGES; CLIMATE SIGNALS; 1ST CHRONOLOGY; DIFFUSION; HOLOCENE; CALCIUM</t>
  </si>
  <si>
    <t>Records of chemical impurities from ice cores enable us to reconstruct the past deposition of aerosols onto polar ice sheets and alpine glaciers. Through this they allow us to gain insight into changes of the source, transport and deposition processes that ultimately determine the deposition flux at the coring location. However, the low concentrations of the aerosol species in the ice and the resulting high risk of contamination pose a formidable analytical challenge, especially if long, continuous and highly resolved records are needed. Continuous flow analysis, CFA, the continuous melting, decontamination and analysis of ice-core samples has mostly overcome this issue and has quickly become the de facto standard to obtain high-resolution aerosol records from ice cores after its inception at the University of Bern in the mid-1990s. Here, we present continuous records of calcium (Ca2+), sodium (Na+), ammonium (NH4+), nitrate (NO3-) and electrolytic conductivity at 1 mm depth resolution from the NGRIP (North Greenland Ice Core Project) and NEEM (North Greenland Eemian Ice Drilling) ice cores produced by the Bern Continuous Flow Analysis group in the years 2000 to 2011 . Both of the records were previously used in a number of studies but were never published in full 1 mm resolution. Alongside the 1 mm datasets we provide decadal averages, a detailed description of the methods, relevant references, an assessment of the quality of the data and its usable resolution. Along the way we will also give some historical context on the development of the Bern CFA system. The data is available in full 1 mm and 10-year-averaged resolution on PANGAEA (https://doi.org/10.1594/PANGAEA.935838, )</t>
  </si>
  <si>
    <t>[Erhardt, Tobias; Bigler, Matthias; Federer, Urs; Gfeller, Gideon; Leuenberger, Daiana; Stowasser, Olivia; Rothlisberger, Regine; Schupbach, Simon; Stocker, Thomas F.; Fischer, Hubertus] Univ Bern, Inst Phys, Climate &amp; Environm Phys, Bern, Switzerland; [Erhardt, Tobias; Bigler, Matthias; Federer, Urs; Gfeller, Gideon; Leuenberger, Daiana; Stowasser, Olivia; Rothlisberger, Regine; Schupbach, Simon; Stocker, Thomas F.; Fischer, Hubertus] Univ Bern, Oeschger Ctr Climate Change Res, Bern, Switzerland; [Erhardt, Tobias; Ruth, Urs; Twarloh, Birthe; Wegner, Anna] Alfred Wegener Inst, Helmholtz Ctr Polar &amp; Marine Sci, Bremerhaven, Germany; [Ruth, Urs] Robert Bosch GmbH, Corp Res, Stuttgart, Germany; [Goto-Azuma, Kumiko; Kuramoto, Takayuki] Natl Inst Polar Res, Res Org Informat &amp; Syst, Tokyo, Japan; [Goto-Azuma, Kumiko] Grad Univ Adv Studies SOKENDAI, Dept Polar Sci, Tokyo, Japan; [Kuramoto, Takayuki] Tokai Univ, Sch Humanities &amp; Culture, Dept Human Dev, Hiratsuka, Kanagawa, Japan; [Kjaer, Helle A.; Vallelonga, Paul T.] Univ Copenhagen, Niels Bohr Inst, Sect Phys Ice Climate &amp; Earth, Copenhagen, Denmark; [Siggaard-Andersen, Marie-Louise] Univ Copenhagen, Globe Inst, Sect Geogenet, Copenhagen, Denmark; [Hansson, Margareta E.] Univ Stockholm, Dept Phys Geog, Stockholm, Sweden; [Benton, Ailsa K.; Fleet, Louise G.; Mulvaney, Rob; Thomas, Elizabeth R.] British Antarctic Survey, Cambridge, England; [Benton, Ailsa K.] UK Govt, Dept Environm Food&amp; Rural Affairs, London, England; [Abram, Nerilie] Australian Natl Univ, Res Sch Earth Sci, Canberra, ACT, Australia; [Abram, Nerilie] Australian Natl Univ, ARC Ctr Excellence Climate Extremes, Canberra, ACT, Australia</t>
  </si>
  <si>
    <t>University of Bern; University of Bern; Helmholtz Association; Alfred Wegener Institute, Helmholtz Centre for Polar &amp; Marine Research; Bosch; Research Organization of Information &amp; Systems (ROIS); National Institute of Polar Research (NIPR) - Japan; Graduate University for Advanced Studies - Japan; Tokai University; University of Copenhagen; Niels Bohr Institute; University of Copenhagen; Stockholm University; UK Research &amp; Innovation (UKRI); Natural Environment Research Council (NERC); NERC British Antarctic Survey; Australian National University; Australian National University</t>
  </si>
  <si>
    <t>Erhardt, T (corresponding author), Univ Bern, Inst Phys, Climate &amp; Environm Phys, Bern, Switzerland.;Erhardt, T (corresponding author), Univ Bern, Oeschger Ctr Climate Change Res, Bern, Switzerland.;Erhardt, T (corresponding author), Alfred Wegener Inst, Helmholtz Ctr Polar &amp; Marine Sci, Bremerhaven, Germany.</t>
  </si>
  <si>
    <t>tobias.erhardt@climate.unibe.ch</t>
  </si>
  <si>
    <t>Kjær, Helle Astrid/HGC-7941-2022; Vallelonga, Paul/I-9650-2016; Erhardt, Tobias/C-4589-2019; Abram, Nerilie/AAT-5171-2021; Bigler, Matthias/HTT-3872-2023; Thomas, Elizabeth Ruth/ADF-3660-2022; Fischer, Hubertus/A-1211-2014</t>
  </si>
  <si>
    <t>Kjær, Helle Astrid/0000-0002-3781-9509; Erhardt, Tobias/0000-0002-6683-6746; Bigler, Matthias/0000-0003-0184-4013; Thomas, Elizabeth Ruth/0000-0002-3010-6493; Kuramoto, Takayuki/0000-0002-3044-8127; Fischer, Hubertus/0000-0002-2787-4221; Abram, Nerilie/0000-0003-1246-2344</t>
  </si>
  <si>
    <t>Swiss National Science Foundation (SNSF) [172506, 137635, 147174, 105523, 119612, 159563, 57053, 63333]; Oeschger Center for Climate Change Research; Denmark (SNF); Belgium (FNRS-CFB); France (IPEV and INSU/CNRS); Germany (AWI); Iceland (RannIs); Japan (MEXT); Sweden (SPRS); Switzerland (SNF); USA (NSF, Office of Polar Programs); Belgium (FNRS-CFB and FWO); Canada (NRCan/GSC); China (CAS); Denmark (FIST); France (IPEV, CNRS/INSU, CEA and ANR); Japan (NIPR); South Korea (KOPRI); Netherlands (NWO/ALW); Sweden (VR); United Kingdom (NERC); USA (US NSF, Office of Polar Programs); EU Seventh Framework programmes Past4Future and WaterundertheIce; Grants-in-Aid for Scientific Research [20H00638] Funding Source: KAKEN</t>
  </si>
  <si>
    <t>Swiss National Science Foundation (SNSF)(Swiss National Science Foundation (SNSF)); Oeschger Center for Climate Change Research; Denmark (SNF); Belgium (FNRS-CFB)(Fonds de la Recherche Scientifique - FNRS); France (IPEV and INSU/CNRS)(Centre National de la Recherche Scientifique (CNRS)); Germany (AWI); Iceland (RannIs); Japan (MEXT)(Ministry of Education, Culture, Sports, Science and Technology, Japan (MEXT)); Sweden (SPRS); Switzerland (SNF); USA (NSF, Office of Polar Programs); Belgium (FNRS-CFB and FWO)(Fonds de la Recherche Scientifique - FNRS); Canada (NRCan/GSC)(Natural Resources Canada); China (CAS)(Chinese Academy of Sciences); Denmark (FIST)(Department of Science &amp; Technology (India)); France (IPEV, CNRS/INSU, CEA and ANR)(Agence Nationale de la Recherche (ANR)Centre National de la Recherche Scientifique (CNRS)); Japan (NIPR); South Korea (KOPRI)(Korea Polar Research Institute of Marine Research Placement (KOPRI)); Netherlands (NWO/ALW)(Netherlands Organization for Scientific Research (NWO)Netherlands Government); Sweden (VR)(Swedish Research Council); United Kingdom (NERC)(UK Research &amp; Innovation (UKRI)Natural Environment Research Council (NERC)); USA (US NSF, Office of Polar Programs); EU Seventh Framework programmes Past4Future and WaterundertheIce(European Union (EU)); Grants-in-Aid for Scientific Research(Ministry of Education, Culture, Sports, Science and Technology, Japan (MEXT)Japan Society for the Promotion of ScienceGrants-in-Aid for Scientific Research (KAKENHI))</t>
  </si>
  <si>
    <t>This research has been supported by the Swiss National Science Foundation (SNSF) under the project numbers 172506, 137635, 147174, 105523, 119612, 159563, 57053 and 63333 and by the Oeschger Center for Climate Change Research.; NGRIP is directed and organized by the Department of Geophysics at the Niels Bohr Institute for Astronomy, Physics and Geophysics, University of Copenhagen. It is supported by funding agencies in Denmark (SNF), Belgium (FNRS-CFB), France (IPEV and INSU/CNRS), Germany (AWI), Iceland (RannIs), Japan (MEXT), Sweden (SPRS), Switzerland (SNF) and the USA (NSF, Office of Polar Programs). NEEM is directed and organized by the Centre for Ice and Climate at the Niels Bohr Institute and US NSF, Office of Polar Programs. It is supported by funding agencies and institutions in Belgium (FNRS-CFB and FWO), Canada (NRCan/GSC), China (CAS), Denmark (FIST), France (IPEV, CNRS/INSU, CEA and ANR), Germany (AWI), Iceland (RannIs), Japan (NIPR), South Korea (KOPRI), the Netherlands (NWO/ALW), Sweden (VR), Switzerland (SNF), the United Kingdom (NERC) and the USA (US NSF, Office of Polar Programs) and by the EU Seventh Framework programmes Past4Future and WaterundertheIce.</t>
  </si>
  <si>
    <t>10.5194/essd-14-1215-2022</t>
  </si>
  <si>
    <t>0D0LL</t>
  </si>
  <si>
    <t>WOS:000775695000001</t>
  </si>
  <si>
    <t>Tansey, E; Marchand, R; Protat, A; Alexander, SP; Ding, SS</t>
  </si>
  <si>
    <t>Tansey, Emily; Marchand, Roger; Protat, Alain; Alexander, Simon P.; Ding, Saisai</t>
  </si>
  <si>
    <t>Southern Ocean Precipitation Characteristics Observed From CloudSat and Ground Instrumentation During the Macquarie Island Cloud &amp; Radiation Experiment (MICRE): April 2016 to March 2017</t>
  </si>
  <si>
    <t>precipitation; Southern Ocean; Cloudsat; diurnal cycle; remote sensing</t>
  </si>
  <si>
    <t>SUPERCOOLED LIQUID CLOUDS; SIZE DISTRIBUTIONS; R/V INVESTIGATOR; TIPPING-BUCKET; CMIP5 MODELS; GAUGE; RADAR; WATER; DISDROMETER; BUDGETS</t>
  </si>
  <si>
    <t>A 1-year blended surface precipitation data set using Parsivel disdrometer, surface W-band radar, and tipping bucket measurements is produced for the Macquarie Island Cloud and Radiation Experiment (MICRE) and compared with retrievals from CloudSat (spaceborne 94 GHz radar). Surface precipitation was observed 44% +/- 4% of the time between April 2016 and March 2017. Precipitation composed primarily of small particles (diameter &lt;1 mm) occurred about 36% +/- 2% of the time, constituting 10% of total accumulation. Remaining precipitation contained enough large particles such that the disdrometer could be used to identify the precipitation type as rain, ice, snow or wet snow. Seasonal and annual statistics on frequency of occurrence and accumulation for each precipitation type observed during MICRE are presented. Most ice and mixed phase precipitation was shallow, originating at a height of 3 km or lower, and occurred most often when Macquarie Island was to the northwest of the nearest cyclonic low-pressure center. In contrast, rain was more often deep and occurred most frequently when the island was to the southeast of cyclonic lows. A weak diurnal cycle in frequency and mean rate was present with a minimum between 12:00 and 14:00 local time and maximum between 03:00 and 06:00 local time. The CloudSat 2C-Precip-Column product missed the lightest precipitation (because the near-surface reflectivity is &lt;-15 dBZ) and overestimated total liquid precipitation and occurrence of mixed phase precipitation, but captured reasonably well the distribution of rain rates for rates &gt;0.5 mm/hr.</t>
  </si>
  <si>
    <t>[Tansey, Emily; Marchand, Roger] Univ Washington, Dept Atmospher Sci, Seattle, WA 98195 USA; [Protat, Alain] Australian Bur Meteorol, Melbourne, Vic, Australia; [Protat, Alain; Alexander, Simon P.] Univ Tasmania, Inst Marine &amp; Antarctic Studies, Australian Antarctic Partnership Program, Hobart, Tas, Australia; [Alexander, Simon P.] Australian Antarctic Div, Hobart, Tas, Australia; [Ding, Saisai] Ocean Univ China, Dept Atmospher &amp; Ocean Sci, Beijing, Peoples R China</t>
  </si>
  <si>
    <t>University of Washington; University of Washington Seattle; Bureau of Meteorology - Australia; University of Tasmania; Australian Antarctic Division; Ocean University of China</t>
  </si>
  <si>
    <t>Tansey, E (corresponding author), Univ Washington, Dept Atmospher Sci, Seattle, WA 98195 USA.</t>
  </si>
  <si>
    <t>etansey@uw.edu</t>
  </si>
  <si>
    <t>Ding, Saisai/0000-0003-3874-6441; Tansey, Emily/0000-0002-2440-5454; Alexander, Simon/0000-0001-6823-8857</t>
  </si>
  <si>
    <t>U.S. Department of Energy Atmospheric System Research program [DE-SC0016225]; NASA [NNX16AM05G]; Australian Antarctic Division through Australian Antarctic Science Project [4292]; U.S. Department of Energy (DOE) [DE-SC0016225] Funding Source: U.S. Department of Energy (DOE); NASA [NNX16AM05G, 900724] Funding Source: Federal RePORTER</t>
  </si>
  <si>
    <t>U.S. Department of Energy Atmospheric System Research program; NASA(National Aeronautics &amp; Space Administration (NASA)); Australian Antarctic Division through Australian Antarctic Science Project; U.S. Department of Energy (DOE)(United States Department of Energy (DOE)); NASA(National Aeronautics &amp; Space Administration (NASA))</t>
  </si>
  <si>
    <t>This work was supported by the U.S. Department of Energy Atmospheric System Research program through Grant DE-SC0016225 and NASA through Grant NNX16AM05G. The authors would like to express extra thanks to Matthew Lebsock and John Haynes from NASA Jet Propulsion Laboratory for their guidance and feedback regarding the CloudSat R05 retrievals used in the analysis. Technical and logistical support for the deployment to Macquarie Island were provided by the Australian Antarctic Division through Australian Antarctic Science Project 4292, and we thank Andrew Klekociuk, John French, Peter de Vries, Terry Egan, Nick Cartwright, and Ken Barrett for all of their assistance. We would also like to thank Adrian McDonald for providing the University of Canterbury ceilometer data used to supplement the ARM ceilometer.</t>
  </si>
  <si>
    <t>e2021JD035370</t>
  </si>
  <si>
    <t>10.1029/2021JD035370</t>
  </si>
  <si>
    <t>ZW6TM</t>
  </si>
  <si>
    <t>WOS:000771343200009</t>
  </si>
  <si>
    <t>Chen, LJ; Zhang, XJ; Artemyev, A; Angelopoulos, V; Tsai, E; Wilkins, C; Horne, RB</t>
  </si>
  <si>
    <t>Chen, Lunjin; Zhang, Xiao-Jia; Artemyev, Anton; Angelopoulos, Vassilis; Tsai, Ethan; Wilkins, Colin; Horne, Richard B.</t>
  </si>
  <si>
    <t>Ducted Chorus Waves Cause Sub-Relativistic and Relativistic Electron Microbursts</t>
  </si>
  <si>
    <t>microburst; chorus; wave-particle interaction; radiation belt; electron precipitation</t>
  </si>
  <si>
    <t>OUTER RADIATION BELT; EMISSIONS</t>
  </si>
  <si>
    <t>During magnetospheric storms, radiation belt electrons are produced and then removed by collisions with the lower atmosphere on varying timescales. An efficient loss process is microbursts, strong, transient precipitation of electrons over a wide energy range, from tens of keV to sub-relativistic and relativistic energies (100s keV and above). However, the detailed generation mechanism of microbursts, especially over sub-relativistic and relativistic energies, remains unknown. Here, we show that these energetic electron microbursts may be caused by ducted whistler-mode lower-band chorus waves. Using observations of equatorial chorus waves nearby low-altitude precipitation as well as data-driven simulations, we demonstrate that the observed microbursts are the result of resonant interaction of electrons with ducted chorus waves rather than nonducted ones. Revealing the physical mechanism behind the microbursts advances our understanding of radiation belt dynamics and its impact on the lower atmosphere and space weather.</t>
  </si>
  <si>
    <t>[Chen, Lunjin] Univ Texas Dallas, Dept Phys, Richardson, TX 75083 USA; [Zhang, Xiao-Jia; Artemyev, Anton; Angelopoulos, Vassilis; Tsai, Ethan; Wilkins, Colin] Univ Calif Los Angeles, Dept Earth Planetary &amp; Space Sci, Los Angeles, CA USA; [Artemyev, Anton] RAS, Space Res Inst, Moscow, Russia; [Horne, Richard B.] British Antarctic Survey, Cambridge, England</t>
  </si>
  <si>
    <t>University of Texas System; University of Texas Dallas; University of California System; University of California Los Angeles; Russian Academy of Sciences; Space Research Institute of the Russian Academy of Sciences; UK Research &amp; Innovation (UKRI); Natural Environment Research Council (NERC); NERC British Antarctic Survey</t>
  </si>
  <si>
    <t>Chen, LJ (corresponding author), Univ Texas Dallas, Dept Phys, Richardson, TX 75083 USA.</t>
  </si>
  <si>
    <t>lunjin.chen@gmail.com</t>
  </si>
  <si>
    <t>Horne, Richard B/0000-0002-0412-6407; Zhang, Xiao-Jia/0000-0002-4185-5465; Angelopoulos, Vassilis/0000-0001-7024-1561; Chen, Lunjin/0000-0003-2489-3571</t>
  </si>
  <si>
    <t>NASA [80NSSC20K1578, 80NSSC21K1688, 80NSSC21K1320]; NSF [NSF-2021749, AGS-1242918, AGS-2019950, AGS-2021749]; AFOSR, under its University Nanosat Program [FA9453-12-D-0285]; California Space Grant program</t>
  </si>
  <si>
    <t>NASA(National Aeronautics &amp; Space Administration (NASA)); NSF(National Science Foundation (NSF)); AFOSR, under its University Nanosat Program; California Space Grant program</t>
  </si>
  <si>
    <t>L. Chen acknowledges support by the NASA grants 80NSSC21K1688 and 80NSSC21K1320. X.-J. Zhang, A. Artemyev, and V. Angelopoulos acknowledge support by the NASA award 80NSSC20K1578 and the NSF grants NSF-2021749, AGS-1242918, AGS-2019950, and AGS-2021749. The authors are grateful to teh NASA's CubeSat Launch Initiative for ELFIN's successful launch in the desired orbits. The authors acknowledge early support of ELFIN project by the AFOSR, under its University Nanosat Program, UNP-8 project, contract FA9453-12-D-0285, and the California Space Grant program. The authors acknowledge critical contributions of numerous volunteer ELFIN team student members.</t>
  </si>
  <si>
    <t>e2021GL097559</t>
  </si>
  <si>
    <t>10.1029/2021GL097559</t>
  </si>
  <si>
    <t>ZZ6XL</t>
  </si>
  <si>
    <t>WOS:000773409300029</t>
  </si>
  <si>
    <t>Middleton, L; Davis, PED; Taylor, JR; Nicholls, KW</t>
  </si>
  <si>
    <t>Middleton, L.; Davis, P. E. D.; Taylor, J. R.; Nicholls, K. W.</t>
  </si>
  <si>
    <t>Double Diffusion As a Driver of Turbulence in the Stratified Boundary Layer Beneath George VI Ice Shelf</t>
  </si>
  <si>
    <t>turbulence; ice shelf; boundary layer; double diffusion</t>
  </si>
  <si>
    <t>ENERGY; RATES; BASE</t>
  </si>
  <si>
    <t>Warmer and more persistent intrusions of Circumpolar Deep Water (CDW) onto the West Antarctic Peninsula are a key driver of the recent increase in ice shelf mass loss. The relatively warm and salty CDW is thought to be mixed up to the base of the ice shelves via shear-driven turbulence where it has a high capacity to melt the ice. We analyze data from a year-long mooring beneath George VI Ice Shelf at a location where double-diffusive layering was observed. The turbulent dissipation rates do not vary with mean flow speed, suggesting shear-driven mixing is not the driver of basal melt at this site. Instead, we predict the observed dissipation using a new method that links along-isopycnal stirring of temperature anomalies with double-diffusive convection. Our work suggests that along-isopycnal temperature variance may be a stronger indicator of melt than flow speed within strongly stratified ice shelf-ocean boundary layers.</t>
  </si>
  <si>
    <t>[Middleton, L.; Taylor, J. R.] Univ Cambridge, Dept Appl Math &amp; Theoret Phys, Ctr Math Sci, Cambridge, England; [Davis, P. E. D.; Nicholls, K. W.] British Antarctic Survey, Cambridge, England</t>
  </si>
  <si>
    <t>University of Cambridge; UK Research &amp; Innovation (UKRI); Natural Environment Research Council (NERC); NERC British Antarctic Survey</t>
  </si>
  <si>
    <t>Middleton, L (corresponding author), Univ Cambridge, Dept Appl Math &amp; Theoret Phys, Ctr Math Sci, Cambridge, England.</t>
  </si>
  <si>
    <t>middleton.leo@gmail.com</t>
  </si>
  <si>
    <t>Middleton, Leo/0000-0002-2821-6992; Davis, Peter/0000-0002-6471-6310</t>
  </si>
  <si>
    <t>Natural Environment Research Council [NE/L002507/1]; NERC [NE/N009746/1] Funding Source: UKRI</t>
  </si>
  <si>
    <t>Natural Environment Research Council(UK Research &amp; Innovation (UKRI)Natural Environment Research Council (NERC)); NERC(UK Research &amp; Innovation (UKRI)Natural Environment Research Council (NERC))</t>
  </si>
  <si>
    <t>The authors gratefully acknowledge helpful feedback from the ISOBL project team, as well as from two anonymous reviewers, whose comments helped improve this manuscript. This work was funded by a grant from the Natural Environment Research Council, NE/L002507/1.</t>
  </si>
  <si>
    <t>e2021GL096119</t>
  </si>
  <si>
    <t>10.1029/2021GL096119</t>
  </si>
  <si>
    <t>WOS:000773409300038</t>
  </si>
  <si>
    <t>Nakamura, S; Miyoshi, Y; Shiokawa, K; Omura, Y; Mitani, T; Takashima, T; Higashio, N; Shinohara, I; Hori, T; Imajo, S; Matsuoka, A; Tsuchiya, F; Kumamoto, A; Kasahara, Y; Shoji, M; Spence, H; Angelopoulos, V</t>
  </si>
  <si>
    <t>Nakamura, S.; Miyoshi, Y.; Shiokawa, K.; Omura, Y.; Mitani, T.; Takashima, T.; Higashio, N.; Shinohara, I; Hori, T.; Imajo, S.; Matsuoka, A.; Tsuchiya, F.; Kumamoto, A.; Kasahara, Y.; Shoji, M.; Spence, H.; Angelopoulos, V</t>
  </si>
  <si>
    <t>Simultaneous Observations of EMIC-Induced Drifting Electron Holes (EDEHs) in the Earth's Radiation Belt by the Arase Satellite, Van Allen Probes, and THEMIS</t>
  </si>
  <si>
    <t>magnetosphere; EMIC wave; Arase satellite; radiation belt; drifting wormhole; precipitation</t>
  </si>
  <si>
    <t>RELATIVISTIC ELECTRON; RAPID PRECIPITATION; WAVES; FLUX; MAGNETOSPHERE; SCATTERING; EVENT</t>
  </si>
  <si>
    <t>We present an observation of rapid flux depressions in relativistic electrons, which is referred to as EMIC-induced drifting electron holes (EDEHs). The Arase, Van Allen Probes, and THEMIS detected simultaneously electron flux fluctuations. The time variation of flux shows depressions of 1-min scale with energy dispersion, which appear only in the relativistic energy range and small pitch angles. These characteristics of the flux depression indicate that electromagnetic ion cyclotron waves caused pitch angle scattering on a short time scale in a longitudinally limited region. The Arase satellite detected the local depression of the phase space density of 1,000 MeV/G electron, indicating that EMIC waves cause the true loss of electrons. Tracing the energy dispersion profile of EDEHs, we show that EDEHs are formed at localized region in the dusk side. Multisatellite observations demonstrate that a series of EDEHs eventually cause a substantial depression of the radiation belt on 1-hr time scale.</t>
  </si>
  <si>
    <t>[Nakamura, S.; Miyoshi, Y.; Shiokawa, K.; Hori, T.; Imajo, S.; Shoji, M.] Nagoya Univ, Nagoya, Aichi, Japan; [Omura, Y.; Imajo, S.; Matsuoka, A.] Kyoto Univ, Kyoto, Kyoto, Japan; [Mitani, T.; Takashima, T.; Higashio, N.; Shinohara, I] ISAS JAXA, Sagamihara, Kanagawa, Japan; [Tsuchiya, F.; Kumamoto, A.] Tohoku Univ, Sendai, Miyagi, Japan; [Kasahara, Y.] Kanazawa Univ, Kanazawa, Ishikawa, Japan; [Spence, H.] Univ New Hampshire, Durham, NH 03824 USA; [Angelopoulos, V] Univ Calif Los Angeles, Earth Planetary &amp; Space Sci, Los Angeles, CA USA</t>
  </si>
  <si>
    <t>Nagoya University; Kyoto University; Japan Aerospace Exploration Agency (JAXA); Institute of Space &amp; Astronautical Science (ISAS); Tohoku University; Kanazawa University; University System Of New Hampshire; University of New Hampshire; University of California System; University of California Los Angeles</t>
  </si>
  <si>
    <t>Nakamura, S (corresponding author), Nagoya Univ, Nagoya, Aichi, Japan.</t>
  </si>
  <si>
    <t>nakamura.satoko@isee.nagoya-u.ac.jp</t>
  </si>
  <si>
    <t>Omura, Yoshiharu/P-8565-2014; 熊本, 篤志/JBS-8512-2023; Miyoshi, Yoshizumi/T-5748-2019; Mitani, Takefumi/GQH-5847-2022; KASAHARA, Yoshiya/E-7073-2015; Nakamura, Satoko/ABC-8245-2021; Tsuchiya, Fuminori/T-1957-2019</t>
  </si>
  <si>
    <t>Omura, Yoshiharu/0000-0002-6683-3940; 熊本, 篤志/0000-0002-3988-1488; Miyoshi, Yoshizumi/0000-0001-7998-1240; Tsuchiya, Fuminori/0000-0003-3386-6794; Angelopoulos, Vassilis/0000-0001-7024-1561; Mitani, Takefumi/0000-0003-0492-3104; Shinohara, Iku/0000-0003-2700-0353</t>
  </si>
  <si>
    <t>IUGONET (Inter-university Upper atmosphere Global Observation NETwork) - MEXT; Research Program of Japanese Antarctic Research Expedition (JARE) of the Ministry of Education, Culture, Sports, Science, and Technology of Japan (MEXT); ERG Science Center; IUGONET (Inter-university Upper atmosphere Global Observation NETwork) project; MEXT/JSPS KAKENHI [21K13978, 16H06286, 20H01955, 20H01959, 21H04518, 17H06140]; Sasakawa Scientific Research Grant from The Japan Science Society; Takahashi Industrial and Economic Research Foundation; Grants-in-Aid for Scientific Research [21K13978, 21H04518, 20H01955] Funding Source: KAKEN</t>
  </si>
  <si>
    <t>IUGONET (Inter-university Upper atmosphere Global Observation NETwork) - MEXT; Research Program of Japanese Antarctic Research Expedition (JARE) of the Ministry of Education, Culture, Sports, Science, and Technology of Japan (MEXT); ERG Science Center; IUGONET (Inter-university Upper atmosphere Global Observation NETwork) project; MEXT/JSPS KAKENHI(Ministry of Education, Culture, Sports, Science and Technology, Japan (MEXT)Japan Society for the Promotion of ScienceGrants-in-Aid for Scientific Research (KAKENHI)); Sasakawa Scientific Research Grant from The Japan Science Society; Takahashi Industrial and Economic Research Foundation; Grants-in-Aid for Scientific Research(Ministry of Education, Culture, Sports, Science and Technology, Japan (MEXT)Japan Society for the Promotion of ScienceGrants-in-Aid for Scientific Research (KAKENHI))</t>
  </si>
  <si>
    <t>We acknowledge the entire Van Allen Probes, ERG, THEMIS, and PWING teams for the use of data. Van Allen Probes data were obtained from the websites for EMFISIS and for ECT. ERG (Arase) data were obtained from the ERG Science Center operated by ISAS/JAXA and ISEE/Nagoya University (; Miyoshi et al., 2018), with the specific data versions as follows: XEP L2 v01_00, HEP L2 v03.01, MGF L2 v03.01, and orbit L2 v02. The THEMIS data are all available at Space Sciences Laboratory, University of California, Berkeley (). The distribution of the magnetic field data at Syowa Station were provided by National Institute of Polar Research, Japan, which has been partly supported by the IUGONET (Inter-university Upper atmosphere Global Observation NETwork) project () funded by the MEXT and by the Research Program of Japanese Antarctic Research Expedition (JARE) of the Ministry of Education, Culture, Sports, Science, and Technology of Japan (MEXT). The database construction for the PWING ground-based instruments is supported by the ERG Science Center () and the IUGONET (Inter-university Upper atmosphere Global Observation NETwork) project (). We are thankful to Hisao Yamagishi for his quick reading of our manuscript and for useful comments and discussions. This work was supported by the MEXT/JSPS KAKENHI Grants 21K13978, 16H06286, 20H01955, 20H01959, 21H04518, and 17H06140. This work was supported by the Sasakawa Scientific Research Grant from The Japan Science Society and Takahashi Industrial and Economic Research Foundation.</t>
  </si>
  <si>
    <t>e2021GL095194</t>
  </si>
  <si>
    <t>10.1029/2021GL095194</t>
  </si>
  <si>
    <t>WOS:000773409300004</t>
  </si>
  <si>
    <t>Naughten, KA; Holland, PR; Dutrieux, P; Kimura, S; Bett, DT; Jenkins, A</t>
  </si>
  <si>
    <t>Naughten, Kaitlin A.; Holland, Paul R.; Dutrieux, Pierre; Kimura, Satoshi; Bett, David T.; Jenkins, Adrian</t>
  </si>
  <si>
    <t>Simulated Twentieth-Century Ocean Warming in the Amundsen Sea, West Antarctica</t>
  </si>
  <si>
    <t>Antarctica; Amundsen Sea; ocean modeling; ice shelves; sea level rise</t>
  </si>
  <si>
    <t>ICE-SHELF; SOUTHERN-OCEAN; PINE ISLAND; CONTINENTAL-SHELF; MELTING ICE; CLIMATE; VARIABILITY; CIRCULATION; EMBAYMENT; RETREAT</t>
  </si>
  <si>
    <t>Rapid ice loss is occurring in the Amundsen Sea sector of the West Antarctic Ice Sheet. This ice loss is assumed to be a long-term response to oceanographic forcing, but ocean conditions in the Amundsen Sea are unknown prior to 1994. Here we present a modeling study of Amundsen Sea conditions from 1920 to 2013, using an ensemble of ice-ocean simulations forced by climate model experiments. We find that during the early twentieth century, the Amundsen Sea likely experienced more sustained cool periods than at present. Warm periods become more dominant over the simulations (mean trend 0.33 degrees C/century) causing an increase in ice shelf melting. The warming is likely driven by an eastward wind trend over the continental shelf break that is partly anthropogenically forced. Our simulations suggest that the Amundsen Sea responded to historical greenhouse gas forcing, and that future changes in emissions are also likely to affect the region.</t>
  </si>
  <si>
    <t>[Naughten, Kaitlin A.; Holland, Paul R.; Dutrieux, Pierre; Bett, David T.] British Antarctic Survey, Cambridge, England; [Kimura, Satoshi] Japan Agcy Marine Earth Sci &amp; Technol, Yokosuka, Kanagawa, Japan; [Jenkins, Adrian] Northumbria Univ, Dept Geog &amp; Environm Sci, Newcastle Upon Tyne, Tyne &amp; Wear, England</t>
  </si>
  <si>
    <t>UK Research &amp; Innovation (UKRI); Natural Environment Research Council (NERC); NERC British Antarctic Survey; Japan Agency for Marine-Earth Science &amp; Technology (JAMSTEC); Northumbria University</t>
  </si>
  <si>
    <t>Naughten, KA (corresponding author), British Antarctic Survey, Cambridge, England.</t>
  </si>
  <si>
    <t>kaight@bas.ac.uk</t>
  </si>
  <si>
    <t>Holland, Paul R/G-2796-2012; Jenkins, Adrian/IUN-2406-2023; Dutrieux, Pierre/GVS-2890-2022</t>
  </si>
  <si>
    <t>Dutrieux, Pierre/0000-0002-8066-934X; Naughten, Kaitlin/0000-0001-9475-9162; Jenkins, Adrian/0000-0002-9117-0616; Bett, David/0000-0003-3118-9902</t>
  </si>
  <si>
    <t>UKRI-JSPS project Quantifying Human Influence on Ocean Melting of the West Antarctic Ice Sheet [NE/S011994/1]; FIC [NE/S011994/1] Funding Source: UKRI; NERC [NE/J005770/1, NE/J005746/1, NE/T012803/1] Funding Source: UKRI</t>
  </si>
  <si>
    <t>UKRI-JSPS project Quantifying Human Influence on Ocean Melting of the West Antarctic Ice Sheet; FIC; NERC(UK Research &amp; Innovation (UKRI)Natural Environment Research Council (NERC))</t>
  </si>
  <si>
    <t>During the development of this manuscript, the authors benefited from group discussions with Alberto Naveira Garabato, Alessandro Silvano, Kofan Lu, Oana Dragomir, Jan De Rydt, and Christopher Bull. Martin Losch provided advice while tuning MITgcm. The authors are grateful to the CESM Climate Variability and Change Working Group for producing the Pacific Pacemaker Ensemble and assisting with data access. Computational resources were provided by the ARCHER UK National Supercomputing Service, the NEXCS HPC Service, and the JASMIN data analysis environment. This research is part of the UKURI-JSPS project Quantifying Human Influence on Ocean Melting of the West Antarctic Ice Sheet NE/S011994/1.</t>
  </si>
  <si>
    <t>e2021GL094566</t>
  </si>
  <si>
    <t>10.1029/2021GL094566</t>
  </si>
  <si>
    <t>WOS:000773409300023</t>
  </si>
  <si>
    <t>Orsi, AH; Webb, CJ</t>
  </si>
  <si>
    <t>Orsi, A. H.; Webb, C. J.</t>
  </si>
  <si>
    <t>Impact of Sea Ice Production off Sabrina Coast, East Antarctica</t>
  </si>
  <si>
    <t>Antarctic shelf; sea-ice production</t>
  </si>
  <si>
    <t>SHELF</t>
  </si>
  <si>
    <t>Sea ice production is critical to ocean overturning. Brine released within Antarctic polynyas transforms surface water into denser Shelf Water (SW). In spite of the persistent Dalton Polynya, SW is absent off Sabrina Coast. To explain its passive role in-situ and remote datasets for 2003-2015 are analyzed. Combined volume export near the shelf break and inshore volume change render an average sea ice production of 197.41 km(3) per year (4.6 m/yr productivity), highly correlated (0.95) to divergent interior sea ice motion. Meltwater input of 157.5 Gt/yr is required to match the salinity of a prominent subsurface Thermostad measured in 2014-2015. SW formed during 2003-2008 but halted in 2009-2011, when summer sea ice divergence and export were at a minimum (&lt;10 km(3)), significantly freshening the Thermostad (-5.07 Delta S per decade). Large sea ice export (&gt;30 km(3)) increased its salinity (2.16 Delta S per decade) since 2012.</t>
  </si>
  <si>
    <t>[Orsi, A. H.] Texas A&amp;M Univ, Dept Oceanog, College Stn, TX 77843 USA; [Webb, C. J.] Fugro, Houston, TX USA</t>
  </si>
  <si>
    <t>Texas A&amp;M University System; Texas A&amp;M University College Station</t>
  </si>
  <si>
    <t>Orsi, AH (corresponding author), Texas A&amp;M Univ, Dept Oceanog, College Stn, TX 77843 USA.</t>
  </si>
  <si>
    <t>aorsi@tamu.edu</t>
  </si>
  <si>
    <t>National Science Foundation [1,143,833]</t>
  </si>
  <si>
    <t>This study is the result of a collaboration between the USA and Australia with support from the National Science Foundation (Grant 1,143,833).</t>
  </si>
  <si>
    <t>e2021GL095613</t>
  </si>
  <si>
    <t>10.1029/2021GL095613</t>
  </si>
  <si>
    <t>WOS:000773409300076</t>
  </si>
  <si>
    <t>Schulz, K; Lincoln, B; Povazhnyy, V; Rippeth, T; Lenn, YD; Janout, M; Alkire, M; Scannell, B; Torres-Valdés, S</t>
  </si>
  <si>
    <t>Schulz, K.; Lincoln, B.; Povazhnyy, V; Rippeth, T.; Lenn, Y-D; Janout, M.; Alkire, M.; Scannell, B.; Torres-Valdes, S.</t>
  </si>
  <si>
    <t>Increasing Nutrient Fluxes and Mixing Regime Changes in the Eastern Arctic Ocean</t>
  </si>
  <si>
    <t>Arctic Ocean; Siberian Sea; turbulence; nutrient fluxes; boundary mixing; climate change</t>
  </si>
  <si>
    <t>SEA-ICE LOSS; HEAT FLUXES; BOUNDARY CURRENT; EURASIAN BASIN; IN-SITU; VARIABILITY; HALOCLINE; NITRATE; LAPTEV; WINTER</t>
  </si>
  <si>
    <t>Primary productivity in the Arctic Ocean is experiencing dramatic changes linked to the receding sea ice cover. The vertical transport of nutrients from deeper water layers is the limiting factor for primary production. Here, we compare coincident profiles of turbulence and nutrients from the Siberian Seas in 2007, 2008, and 2018. In all years, the water column structure in the upstream region of the Arctic Boundary Current promotes upward nutrient transport, in contrast to the regions further downstream, and there are first indications for an eastward progression of these conditions. In summer 2018, strongly enhanced vertical nitrate flux and primary production above the continental slope were observed, likely related to a remote storm. The estimated contribution of these elevated fluxes above the slope to the Pan-Arctic vertical nitrate supply is comparable with the basin-wide transport, and is predicted to increase with declining sea ice cover in the future.</t>
  </si>
  <si>
    <t>[Schulz, K.; Janout, M.; Torres-Valdes, S.] Helmholtz Ctr Polar &amp; Marine Res, Alfred Wegener Inst, Bremerhaven, Germany; [Schulz, K.] Univ Texas Austin, Oden Inst Computat Engn &amp; Sci, Austin, TX USA; [Lincoln, B.; Rippeth, T.; Lenn, Y-D; Scannell, B.] Bangor Univ, Sch Ocean Sci, Bangor, Gwynedd, Wales; [Povazhnyy, V] State Sci Ctr Russian Federat Arctic &amp; Antarctic, St Petersburg, Russia; [Alkire, M.] Univ Washington, Seattle, WA 98195 USA</t>
  </si>
  <si>
    <t>Helmholtz Association; Alfred Wegener Institute, Helmholtz Centre for Polar &amp; Marine Research; University of Texas System; University of Texas Austin; Bangor University; University of Washington; University of Washington Seattle</t>
  </si>
  <si>
    <t>Schulz, K (corresponding author), Helmholtz Ctr Polar &amp; Marine Res, Alfred Wegener Inst, Bremerhaven, Germany.</t>
  </si>
  <si>
    <t>kiki.schulz@utexas.edu</t>
  </si>
  <si>
    <t>Torres-Valdés, Sinhué/O-6436-2019</t>
  </si>
  <si>
    <t>Torres-Valdés, Sinhué/0000-0003-2749-4170; Lincoln, Ben/0000-0002-0314-3109; Schulz, Kirstin/0000-0001-8404-944X; Janout, Markus/0000-0003-4908-2855; Alkire, Matthew/0000-0001-7324-3159</t>
  </si>
  <si>
    <t>German Federal Ministry for Science and Education (BMBF); Ministry of Science and Higher Education of the Russian Federation [03F0776, RFMEFI61619X0108]; National Science Foundation [PLR-1203146 AM003]; National Oceanic and Atmospheric Administration [NA15OAR4310156]; NSF [OPP-1203146, OPP-1203473]; Projekt DEAL; NERC-BMBF [03F0804A]</t>
  </si>
  <si>
    <t>German Federal Ministry for Science and Education (BMBF)(Federal Ministry of Education &amp; Research (BMBF)); Ministry of Science and Higher Education of the Russian Federation; National Science Foundation(National Science Foundation (NSF)); National Oceanic and Atmospheric Administration(National Oceanic Atmospheric Admin (NOAA) - USA); NSF(National Science Foundation (NSF)); Projekt DEAL; NERC-BMBF</t>
  </si>
  <si>
    <t>The expedition in summer 2018 aboard Akademik Tryoshnikov was carried out as a jointly organized research activity between the US-Russian NABOS (Nansen and Amundsen Basin Observational System) program and the German-Russian CATS (Changing Arctic Transpolar System) project as part of the System Laptev Sea partnership. The expeditions in 2007 aboard the Viktor Buynitsky and 2008 abord the Kapitan Dranitsyn were a joint effort between then Arctic Synoptic Basin-wide Oceanography (ASBO) and NABOS projects. We would like to thank Heidi Kassens, Igor Polyakov, Sheldon Bacon, Seymour Laxon and the organizers, crew and participants of all cruises. We also thank the three anonymous reviewers, who greatly helped to improve the manuscript. Financial support was received from the German Federal Ministry for Science and Education (BMBF) and the Ministry of Science and Higher Education of the Russian Federation as part of the Changing Arctic Transpolar System (CATS, Grant Nos. 03F0776, project RFMEFI61619X0108), as well as for the NERC-BMBF-funded PEANUTS-project (Grant No. 03F0804A). Alkire acknowledges funding from the National Science Foundation (PLR-1203146 AM003) and the National Oceanic and Atmospheric Administration (NA15OAR4310156). SUNA data was collected under the support of NSF grants OPP-1203146 (awarded to Matthew Alkire and James Morison) and OPP-1203473 (awarded to Igor Polyakov, Vladimir Alexeev, Robert Rember, and Vladimir Ivanov). Figure 1a was produced using the m_map matlab toolbox (Pawlowicz, 2000). Open access funding enabled and organized by Projekt DEAL.</t>
  </si>
  <si>
    <t>e2021GL096152</t>
  </si>
  <si>
    <t>10.1029/2021GL096152</t>
  </si>
  <si>
    <t>WOS:000773409300028</t>
  </si>
  <si>
    <t>Choudhury, D; Menviel, L; Meissner, KJ; Yeung, NKH; Chamberlain, M; Ziehn, T</t>
  </si>
  <si>
    <t>Choudhury, Dipayan; Menviel, Laurie; Meissner, Katrin J.; Yeung, Nicholas K. H.; Chamberlain, Matthew; Ziehn, Tilo</t>
  </si>
  <si>
    <t>Marine carbon cycle response to a warmer Southern Ocean: the case of the last interglacial</t>
  </si>
  <si>
    <t>POLAR AMPLIFICATION; ANTHROPOGENIC CO2; ATMOSPHERIC CO2; CLIMATE-CHANGE; GAS-EXCHANGE; WIND-SPEED; ICE-SHEET; MODEL; SEA; DYNAMICS</t>
  </si>
  <si>
    <t>Recent studies investigating future warming scenarios have shown that the ocean carbon sink will weaken over the coming century due to ocean warming and changes in oceanic circulation. However, significant uncertainties remain regarding the magnitude of the oceanic carbon cycle response to warming. Here, we investigate the Southern Ocean's (SO, south of 40 degrees S) carbon cycle response to warmer conditions, as simulated under last interglacial boundary conditions (LIG, 129-115 ka). We find a similar to 150 % increase in carbon dioxide (CO2) outgassing over the SO at the LIG compared to pre-industrial conditions (PI), due to a 0.5 degrees C increase in SO sea surface temperatures. This is partly compensated for by an equatorward shift of the Southern Hemisphere (SH) westerlies and weaker Antarctic Bottom Water formation, which both lead to an increase in dissolved inorganic carbon (DIC) in the deep ocean at the LIG compared to PI. These deep-ocean DIC changes arise from increased deep- and bottom-water residence times and higher remineralization rates due to higher temperatures. While our LIG simulation features a large reduction in SO sea ice compared to the PI, we find that changes in sea ice extent exert a minor control on the marine carbon cycle. The projected future strengthening and poleward shift of the SH westerlies coupled to warmer conditions at the surface of the SO should thus weaken the capacity of the SO to absorb anthropogenic CO2 over the coming century.</t>
  </si>
  <si>
    <t>[Choudhury, Dipayan; Menviel, Laurie; Meissner, Katrin J.; Yeung, Nicholas K. H.] Univ New South Wales, Climate Change Res Ctr, Sydney, NSW, Australia; [Meissner, Katrin J.; Yeung, Nicholas K. H.] Univ New South Wales, ARC Ctr Excellence Climate Extremes, Sydney, NSW, Australia; [Chamberlain, Matthew] CSIRO Oceans &amp; Atmosphere, Hobart, Tas, Australia; [Ziehn, Tilo] CSIRO Oceans &amp; Atmosphere, Aspendale, Vic, Australia</t>
  </si>
  <si>
    <t>University of New South Wales Sydney; University of New South Wales Sydney; Commonwealth Scientific &amp; Industrial Research Organisation (CSIRO); Commonwealth Scientific &amp; Industrial Research Organisation (CSIRO)</t>
  </si>
  <si>
    <t>Choudhury, D (corresponding author), Univ New South Wales, Climate Change Res Ctr, Sydney, NSW, Australia.</t>
  </si>
  <si>
    <t>d.choudhury@unsw.edu.au</t>
  </si>
  <si>
    <t>Chamberlain, Matthew/D-4805-2012; Ziehn, Tilo/A-3094-2012; Menviel, Laurie/D-6902-2013</t>
  </si>
  <si>
    <t>Ziehn, Tilo/0000-0001-9873-9775; Meissner, Katrin/0000-0002-0716-7415; Yeung, Nicholas/0000-0002-6560-6658; Menviel, Laurie/0000-0002-5068-1591</t>
  </si>
  <si>
    <t>Australian Research Council [DP180100048, FT180100606]; Australian Research Council [FT180100606] Funding Source: Australian Research Council</t>
  </si>
  <si>
    <t>This research has been supported by the Australian Research Council (grant nos. DP180100048 and FT180100606).</t>
  </si>
  <si>
    <t>10.5194/cp-18-507-2022</t>
  </si>
  <si>
    <t>ZY4EV</t>
  </si>
  <si>
    <t>WOS:000772541000001</t>
  </si>
  <si>
    <t>Chaikin, E; Kaurov, AA; Fields, BD; Correa, CA</t>
  </si>
  <si>
    <t>Chaikin, Evgenii; Kaurov, Alexander A.; Fields, Brian D.; Correa, Camila A.</t>
  </si>
  <si>
    <t>Simulations of 60Fe entrained in ejecta from a near-Earth supernova: effects of observer motion</t>
  </si>
  <si>
    <t>methods: numerical; Earth; ISM: abundances; ISM: bubbles; ISM: supernova remnants</t>
  </si>
  <si>
    <t>LOCAL BUBBLE; DUST; FEEDBACK; ORIGIN; NUCLEOSYNTHESIS; ENRICHMENT; DEPOSITION</t>
  </si>
  <si>
    <t>Recent studies have shown that live (not decayed) radioactive Fe-60 is present in deep-ocean samples, Antarctic snow, lunar regolith, and cosmic rays. Fe-60 represents supernova (SN) ejecta deposited in the Solar system around 3 Myr ago, and recently an earlier pulse approximate to 7 Myr ago has been found. These data point to one or multiple near-Earth SN explosions that presumably participated in the formation of the Local Bubble. We explore this theory using 3D high-resolution smooth-particle hydrodynamical simulations of isolated SNe with ejecta tracers in a uniform interstellar medium (ISM). The simulation allows us to trace the SN ejecta in gas form and those eject in dust grains that are entrained with the gas. We consider two cases of diffused ejecta: when the ejecta are well-mixed in the shock and when they are not. In the latter case, we find that these ejecta remain far behind the forward shock, limiting the distance to which entrained ejecta can be delivered to approximate to 100 pc in an ISM with n(H) = 0.1 cm(-3) mean hydrogen density. We show that the intensity and the duration of Fe-60 accretion depend on the ISM density and the trajectory of the Solar system. Furthermore, we show the possibility of reproducing the two observed peaks in Fe-60 concentration with this model by assuming two linear trajectories for the Solar system with 30-km s(-1) velocity. The fact that we can reproduce the two observed peaks further supports the theory that the Fe-60 signal was originated from near-Earth SNe.</t>
  </si>
  <si>
    <t>[Chaikin, Evgenii] Leiden Univ, Leiden Observ, POB 9513, NL-2300 RA Leiden, Netherlands; [Kaurov, Alexander A.] Harvard Univ, Dept Hist Sci, Cambridge, MA 02138 USA; [Kaurov, Alexander A.] Blue Marble Space Inst Sci, Seattle, WA 98104 USA; [Kaurov, Alexander A.] Inst Adv Study, 1 Einstein Dr, Princeton, NJ 08540 USA; [Fields, Brian D.] Univ Illinois, Dept Astron, Urbana, IL 61801 USA; [Correa, Camila A.] Univ Amsterdam, Inst Phys, Sci Pk 904, NL-1098 XH Amsterdam, Netherlands</t>
  </si>
  <si>
    <t>Leiden University; Leiden University - Excl LUMC; Harvard University; Institute for Advanced Study - USA; University of Illinois System; University of Illinois Urbana-Champaign; University of Amsterdam</t>
  </si>
  <si>
    <t>Chaikin, E (corresponding author), Leiden Univ, Leiden Observ, POB 9513, NL-2300 RA Leiden, Netherlands.</t>
  </si>
  <si>
    <t>chaikin@strw.leidenuniv.nl</t>
  </si>
  <si>
    <t>Chaikin, Evgenii/0000-0003-2047-3684; Fields, Brian/0000-0002-4188-7141; Correa, Camila/0000-0002-5830-8070</t>
  </si>
  <si>
    <t>European Union's Horizon 2020 research and innovation programme under the Marie Sklodowska-Curie grant [860744]; William D. Loughlin fellowship; BEIS capital funding via STFC capital grants [ST/K00042X/1, ST/P002293/1, ST/R002371/1, ST/S002502/1]; Durham University; STFC [ST/R000832/1]; Dutch Research Council (NWO) [639.043.409]; U.S. National Science Foundation (NSF) [AST-2108589]; Dutch Research Council [NWO Veni 192.020]; STFC [ST/P002293/1, ST/S002502/1, ST/K00042X/1, ST/R000832/1, ST/R002371/1] Funding Source: UKRI</t>
  </si>
  <si>
    <t>European Union's Horizon 2020 research and innovation programme under the Marie Sklodowska-Curie grant(Marie Curie Actions); William D. Loughlin fellowship; BEIS capital funding via STFC capital grants(UK Research &amp; Innovation (UKRI)Science &amp; Technology Facilities Council (STFC)); Durham University; STFC(UK Research &amp; Innovation (UKRI)Science &amp; Technology Facilities Council (STFC)); Dutch Research Council (NWO)(Netherlands Organization for Scientific Research (NWO)); U.S. National Science Foundation (NSF)(National Science Foundation (NSF)); Dutch Research Council; STFC(UK Research &amp; Innovation (UKRI)Science &amp; Technology Facilities Council (STFC))</t>
  </si>
  <si>
    <t>We thank Josh Borrow, Matthieu Schaller, and Joop Schaye for their useful comments. BDF is grateful for many discussions with longtime collaborators whose insights have informed this work, especially John Ellis, Adrienne Ertel, Brian Fry, and Jesse Miller. EC was supported by the funding from the European Union's Horizon 2020 research and innovation programme under the Marie Sklodowska-Curie grant agreement number 860744 (BiD4BESt). AAK was supported by William D. Loughlin fellowship. This work used the DiRAC@Durham facility managed by the Institute for Computational Cosmology on behalf of the STFC DiRAC HPC Facility (www.dirac.ac.uk).The equipment was funded by BEIS capital funding via STFC capital grants ST/K00042X/1, ST/P002293/1, ST/R002371/1, and ST/S002502/1, Durham University and STFC operations grant ST/R000832/1. DiRAC is part of the National eInfrastructure. This work is partly funded by Vici grant 639.043.409 from the Dutch Research Council (NWO). BDF was supported in part by the U.S. National Science Foundation (NSF) under grant number AST-2108589. CC acknowledges the support by the Dutch Research Council (NWO Veni 192.020). The research in this paper made use of the SWIFT open-source simulation code (http://www.swiftsim.com; Schaller et al. 2018) version 0.9.0; all data from the simulations were processed with the help of SWIFTSIMIO (Borrow &amp; Borrisov 2020).</t>
  </si>
  <si>
    <t>10.1093/mnras/stac327</t>
  </si>
  <si>
    <t>ZU2CB</t>
  </si>
  <si>
    <t>WOS:000769650000007</t>
  </si>
  <si>
    <t>Damm, E; Ullrich, KK; Amos, WB; Odenthal-Hesse, L</t>
  </si>
  <si>
    <t>Damm, Elena; Ullrich, Kristian K.; Amos, William B.; Odenthal-Hesse, Linda</t>
  </si>
  <si>
    <t>Evolution of the recombination regulator PRDM9 in minke whales</t>
  </si>
  <si>
    <t>BMC GENOMICS</t>
  </si>
  <si>
    <t>PRDM9; Minke whales; Balaenoptera acutorostrata; Balaenoptera bonaerensis; Microsatellite loci; mtDNA; Postzygotic reproductive isolation; Meiotic recombination regulation</t>
  </si>
  <si>
    <t>ZINC-FINGER DOMAIN; HYBRID STERILITY; BALAENOPTERA-ACUTOROSTRATA; MICROSATELLITE LOCI; SEQUENCE; HOTSPOTS; SPECIATION; GENETICS; POLYMORPHISM; INSTABILITY</t>
  </si>
  <si>
    <t>Background PRDM9 is a key regulator of meiotic recombination in most metazoans, responsible for reshuffling parental genomes. During meiosis, the PRDM9 protein recognizes and binds specific target motifs via its array of C2H2 zinc-fingers encoded by a rapidly evolving minisatellite. The gene coding for PRDM9 is the only speciation gene identified in vertebrates to date and shows high variation, particularly in the DNA-recognizing positions of the zinc-finger array, within and between species. Across all vertebrate genomes studied for PRDM9 evolution, only one genome lacks variability between repeat types - that of the North Pacific minke whale. This study aims to understand the evolution and diversity of Prdm9 in minke whales, which display the most unusual genome reference allele of Prdm9 so far discovered in mammals. Results Minke whales possess all the features characteristic of PRDM9-directed recombination, including complete KRAB, SSXRD and SET domains and a rapidly evolving array of C2H2-type-Zincfingers (ZnF) with evidence of rapid evolution, particularly at DNA-recognizing positions that evolve under positive diversifying selection. Seventeen novel PRDM9 variants were identified within the Antarctic minke whale species, plus a single distinct PRDM9 variant in Common minke whales - shared across North Atlantic and North Pacific minke whale subspecies boundaries. Conclusion The PRDM9 ZnF array evolves rapidly, in minke whales, with at least one DNA-recognizing position under positive selection. Extensive PRDM9 diversity is observed, particularly in the Antarctic in minke whales. Common minke whales shared a specific Prdm9 allele across subspecies boundaries, suggesting incomplete speciation by the mechanisms associated with PRDM9 hybrid sterility.</t>
  </si>
  <si>
    <t>[Damm, Elena; Ullrich, Kristian K.; Odenthal-Hesse, Linda] Max Planck Inst Evolutionary Biol, Dept Evolutionary Genet, Res Grp Meiot Recombinat &amp; Genome Instabil, August Thienemann Str 2, D-24306 Plon, Germany; [Amos, William B.] Univ Cambridge, Dept Zool, Cambridge, England</t>
  </si>
  <si>
    <t>Max Planck Society; University of Cambridge</t>
  </si>
  <si>
    <t>Odenthal-Hesse, L (corresponding author), Max Planck Inst Evolutionary Biol, Dept Evolutionary Genet, Res Grp Meiot Recombinat &amp; Genome Instabil, August Thienemann Str 2, D-24306 Plon, Germany.</t>
  </si>
  <si>
    <t>odenthalhesse@evolbio.mpg.de</t>
  </si>
  <si>
    <t>Amos, Brad/AGF-9114-2022; Odenthal-Hesse, Linda/HCI-6463-2022</t>
  </si>
  <si>
    <t>Amos, Brad/0000-0001-9979-5920; Damm, Elena/0000-0002-6261-6076; Ullrich, Kristian/0000-0003-4308-9626; Odenthal-Hesse, Linda/0000-0002-5519-2375</t>
  </si>
  <si>
    <t>Max Planck Society</t>
  </si>
  <si>
    <t>Max Planck Society(Max Planck Society)</t>
  </si>
  <si>
    <t>Open Access funding enabled and organized by Projekt DEAL. The authors thank the Max Planck Society for funding this study.</t>
  </si>
  <si>
    <t>1471-2164</t>
  </si>
  <si>
    <t>BMC Genomics</t>
  </si>
  <si>
    <t>10.1186/s12864-022-08305-1</t>
  </si>
  <si>
    <t>Biotechnology &amp; Applied Microbiology; Genetics &amp; Heredity</t>
  </si>
  <si>
    <t>ZU7BL</t>
  </si>
  <si>
    <t>WOS:000769994900001</t>
  </si>
  <si>
    <t>Pezzi, LP; Quadro, MFL; Lorenzzetti, JA; Miller, AJ; Rosa, EB; Lima, LN; Sutil, UA</t>
  </si>
  <si>
    <t>Pezzi, Luciano P.; Quadro, Mario F. L.; Lorenzzetti, Joao A.; Miller, Arthur J.; Rosa, Eliana B.; Lima, Leonardo N.; Sutil, Ueslei A.</t>
  </si>
  <si>
    <t>The effect of Oceanic South Atlantic Convergence Zone episodes on regional SST anomalies: the roles of heat fluxes and upper-ocean dynamics</t>
  </si>
  <si>
    <t>SACZ; Air-sea interaction; Ocean mixed layer heat budget; Ocean-atmosphere dynamic and thermodynamic; Regional coupled modeling; Ekman transport and oceanic SACZ</t>
  </si>
  <si>
    <t>SEA-SURFACE TEMPERATURE; SUMMER MONSOON RAINFALL; SCALE COMMON FEATURES; BAIU FRONTAL ZONE; SATELLITE-OBSERVATIONS; MODELING SYSTEM; VARIABILITY; AMERICA; COASTAL; PRECIPITATION</t>
  </si>
  <si>
    <t>The South Atlantic Convergence Zone (SACZ) is an atmospheric system occurring in austral summer on the South America continent and sometimes extending over the adjacent South Atlantic. It is characterized by a persistent and very large, northwest-southeast-oriented, cloud band. Its presence over the ocean causes sea surface cooling that some past studies indicated as being produced by a decrease of incoming solar heat flux induced by the extensive cloud cover. Here we investigate ocean-atmosphere interaction processes in the Southwestern Atlantic Ocean (SWA) during SACZ oceanic episodes, as well as the resulting modulations occurring in the oceanic mixed layer and their possible feedbacks on the marine atmospheric boundary layer. Our main interests and novel results are on verifying how the oceanic SACZ acts on dynamic and thermodynamic mechanisms and contributes to the sea surface thermal balance in that region. In our oceanic SACZ episodes simulations we confirm an ocean surface cooling. Model results indicate that surface atmospheric circulation and the presence of an extensive cloud cover band over the SWA promote sea surface cooling via a combined effect of dynamic and thermodynamic mechanisms, which are of the same order of magnitude. The sea surface temperature (SST) decreases in regions underneath oceanic SACZ positions, near Southeast Brazilian coast, in the South Brazil Bight (SBB) and offshore. This cooling is the result of a complex combination of factors caused by the decrease of solar shortwave radiation reaching the sea surface and the reduction of horizontal heat advection in the Brazil Current (BC) region. The weakened southward BC and adjacent offshore region heat advection seems to be associated with the surface atmospheric circulation caused by oceanic SACZ episodes, which rotate the surface wind and strengthen cyclonic oceanic mesoscale eddy. Another singular feature found in this study is the presence of an atmospheric cyclonic vortex Southwest of the SACZ (CVSS), both at the surface and aloft at 850 hPa near 24 degrees S and 45 degrees W. The CVSS induces an SST decrease southwestward from the SACZ position by inducing divergent Ekman transport and consequent offshore upwelling. This shows that the dynamical effects of atmospheric surface circulation associated with the oceanic SACZ are not restricted only to the region underneath the cloud band, but that they extend southwestward where the CVSS presence supports the oceanic SACZ convective activity and concomitantly modifies the ocean dynamics. Therefore, the changes produced in the oceanic dynamics by these SACZ events may be important to many areas of scientific and applied climate research. For example, episodes of oceanic SACZ may influence the pathways of pollutants as well as fish larvae dispersion in the region.</t>
  </si>
  <si>
    <t>[Pezzi, Luciano P.; Lorenzzetti, Joao A.; Rosa, Eliana B.; Lima, Leonardo N.; Sutil, Ueslei A.] Natl Inst Space Res INPE, Earth Observat &amp; Geoinformat Div, Lab Ocean &amp; Atmosphere Studies LOA, Sao Jose Dos Campos, SP, Brazil; [Quadro, Mario F. L.] Fed Inst Santa Catarina IFSC, Florianopolis, SC, Brazil; [Miller, Arthur J.] Univ Calif San Diego, Scripps Inst Oceanog, La Jolla, CA 92093 USA; [Lima, Leonardo N.] Ctr Euro Mediterraneo Cambiamenti Climat, Ocean Modeling &amp; Data Assimilat Div, Lecce, Italy</t>
  </si>
  <si>
    <t>Instituto Nacional de Pesquisas Espaciais (INPE); Instituto Federal de Santa Catarina (IFSC); University of California System; University of California San Diego; Scripps Institution of Oceanography; Centro Euro-Mediterraneo sui Cambiamenti Climatici (CMCC)</t>
  </si>
  <si>
    <t>Pezzi, LP (corresponding author), Natl Inst Space Res INPE, Earth Observat &amp; Geoinformat Div, Lab Ocean &amp; Atmosphere Studies LOA, Sao Jose Dos Campos, SP, Brazil.</t>
  </si>
  <si>
    <t>luciano.pezzi@inpe.br</t>
  </si>
  <si>
    <t>Pezzi, Luciano Ponzi/N-7271-2017; Lima, Leonardo Nascimento/ADP-2074-2022</t>
  </si>
  <si>
    <t>Pezzi, Luciano Ponzi/0000-0001-6016-4320; Lima, Leonardo Nascimento/0000-0003-3208-5857</t>
  </si>
  <si>
    <t>CAPES; CNPq; FAPESP [CNPq/PROANTAR 443013/2018-7, CAPES 23038.004304/2014-28, FAPESP 2016/02710-3]; CNPq [CNPq 304858/2019-6]; National Science Foundation [OCE-2022868]</t>
  </si>
  <si>
    <t>CAPES(Coordenacao de Aperfeicoamento de Pessoal de Nivel Superior (CAPES)); CNPq(Conselho Nacional de Desenvolvimento Cientifico e Tecnologico (CNPQ)); FAPESP(Fundacao de Amparo a Pesquisa do Estado de Sao Paulo (FAPESP)); CNPq(Conselho Nacional de Desenvolvimento Cientifico e Tecnologico (CNPQ)); National Science Foundation(National Science Foundation (NSF))</t>
  </si>
  <si>
    <t>This research was funded by the Brazilian agencies CAPES, CNPq, and FAPESP upon the following projects: Antarctic Modeling and Observation System (CNPq/PROANTAR 443013/2018-7), Advanced Studies in Oceanography of Medium and High Latitudes (CAPES 23038.004304/2014-28). FAPESP is acknowledged for funding L. P. Pezzi scientific visit to CASPO Division of the Oceans and Atmosphere Section of the Scripps Institution of Oceanography, University of California, San Diego, La Jolla, CA, USA, during June and July 2016 (FAPESP 2016/02710-3). CNPq funds L. P. Pezzi through fellowship of the Research Productivity Program (CNPq 304858/2019-6). AJM was partly supported by the National Science Foundation (OCE-2022868).</t>
  </si>
  <si>
    <t>7-8</t>
  </si>
  <si>
    <t>10.1007/s00382-022-06195-3</t>
  </si>
  <si>
    <t>4M0DE</t>
  </si>
  <si>
    <t>WOS:000769862500001</t>
  </si>
  <si>
    <t>Bester, MN; Hofmeyr, GJG; Bartlett, PA</t>
  </si>
  <si>
    <t>Bester, M. N.; Hofmeyr, G. J. G.; Bartlett, P. A.</t>
  </si>
  <si>
    <t>Dispersion of a southern elephant seal Mirounga leonina to Possession Island, Namibia</t>
  </si>
  <si>
    <t>Benguela current; Offshore islands; Foraging; Moulting; Southern Africa; Vagrancy</t>
  </si>
  <si>
    <t>ARCTOCEPHALUS-PUSILLUS-PUSILLUS; BODY-MASS LOSS; FUR-SEAL; SITE FIDELITY; ANNUAL CYCLE; 1ST RECORD; COAST; MOVEMENTS; HAULOUT; HISTORY</t>
  </si>
  <si>
    <t>Whilst southern elephant seals Mirounga leonina inhabit the Southern Ocean, hauling out on sub-Antarctic islands, individuals are frequently encountered further north, on southern hemisphere continents. It is unknown whether these animals are merely vagrants or whether they are individuals using the extremes of their range. A single adult male, identified by characteristic scars, was sighted 37 times from 2008 to 2021 at Possession Island, Namibia. The timing of sightings indicates that this individual must have remained in African waters between at least some of its haul-outs, rather than returning to the Southern Ocean. Similar observations have been reported anecdotally for other individual adult male elephant seals on the southern African coast, whilst adult females pupping in this area are extremely rare. Although records of vagrant southern elephant seals hauling out on the southern African coast remain rare, whether they are single or repeated visits, in some instances repeated haul-outs represent dispersion to rewarding foraging areas.</t>
  </si>
  <si>
    <t>[Bester, M. N.] Univ Pretoria, Mammal Res Inst, Dept Zool &amp; Entomol, Private Bag X20, ZA-0028 Pretoria, South Africa; [Hofmeyr, G. J. G.] Port Elizabeth Museum Bayworld, POB 13147, ZA-6013 Humewood, South Africa; [Hofmeyr, G. J. G.] Nelson Mandela Univ, Inst Coastal &amp; Marine Res, Dept Zool, ZA-6031 Port Elizabeth, South Africa; [Bartlett, P. A.] Minist Fisheries &amp; Marine Resources, Seabirds &amp; Isl Sect, Luderitz Marine Res, POB 394, Luderitz 9000, Namibia</t>
  </si>
  <si>
    <t>University of Pretoria; Nelson Mandela University</t>
  </si>
  <si>
    <t>Bester, MN (corresponding author), Univ Pretoria, Mammal Res Inst, Dept Zool &amp; Entomol, Private Bag X20, ZA-0028 Pretoria, South Africa.</t>
  </si>
  <si>
    <t>mnbester@zoology.up.ac.za; greghofmeyr@gmail.com; peterathol@gmail.com</t>
  </si>
  <si>
    <t>Hofmeyr, G. J. Greg/AAV-3286-2020</t>
  </si>
  <si>
    <t>Hofmeyr, G. J. Greg/0000-0003-0283-6058</t>
  </si>
  <si>
    <t>10.1007/s00300-022-03032-5</t>
  </si>
  <si>
    <t>WOS:000769888100001</t>
  </si>
  <si>
    <t>McLean, DL; Ferreira, LC; Benthuysen, JA; Miller, KJ; Schlappy, ML; Ajemian, MJ; Berry, O; Birchenough, SNR; Bond, T; Boschetti, F; Bull, AS; Claisse, JT; Condie, SA; Consoli, P; Coolen, JWP; Elliott, M; Fortune, IS; Fowler, AM; Gillanders, BM; Harrison, HB; Hart, KM; Henry, LA; Hewitt, CL; Hicks, N; Hock, K; Hyder, K; Love, M; Macreadie, PI; Miller, RJ; Montevecchi, WA; Nishimoto, MM; Page, HM; Paterson, DM; Pattiaratchi, CB; Pecl, GT; Porter, JS; Reeves, DB; Riginos, C; Rouse, S; Russell, DJF; Sherman, CDH; Teilmann, J; Todd, VLG; Treml, EA; Williamson, DH; Thums, M</t>
  </si>
  <si>
    <t>McLean, Dianne L.; Ferreira, Luciana C.; Benthuysen, Jessica A.; Miller, Karen J.; Schlappy, Marie-Lise; Ajemian, Matthew J.; Berry, Oliver; Birchenough, Silvana N. R.; Bond, Todd; Boschetti, Fabio; Bull, Ann S.; Claisse, Jeremy T.; Condie, Scott A.; Consoli, Pierpaolo; Coolen, Joop W. P.; Elliott, Michael; Fortune, Irene S.; Fowler, Ashley M.; Gillanders, Bronwyn M.; Harrison, Hugo B.; Hart, Kristen M.; Henry, Lea-Anne; Hewitt, Chad L.; Hicks, Natalie; Hock, Karlo; Hyder, Kieran; Love, Milton; Macreadie, Peter I.; Miller, Robert J.; Montevecchi, William A.; Nishimoto, Mary M.; Page, Henry M.; Paterson, David M.; Pattiaratchi, Charitha B.; Pecl, Gretta T.; Porter, Joanne S.; Reeves, David B.; Riginos, Cynthia; Rouse, Sally; Russell, Debbie J. F.; Sherman, Craig D. H.; Teilmann, Jonas; Todd, Victoria L. G.; Treml, Eric A.; Williamson, David H.; Thums, Michele</t>
  </si>
  <si>
    <t>Influence of offshore oil and gas structures on seascape ecological connectivity</t>
  </si>
  <si>
    <t>birds; ecosystem function; fish; hydrodynamics; invasive species; larval dispersal; marine megafauna; particle tracking; subsea infrastructure</t>
  </si>
  <si>
    <t>MARINE PROTECTED AREAS; REEF-ASSOCIATED FISHES; SANTA-BARBARA CHANNEL; FLOWER GARDEN BANKS; NORTHERN GULF; LARVAL CONNECTIVITY; COMMUNITY STRUCTURE; ARTIFICIAL REEFS; ATLANTIC-OCEAN; DRILL CUTTINGS</t>
  </si>
  <si>
    <t>Offshore platforms, subsea pipelines, wells and related fixed structures supporting the oil and gas (O&amp;G) industry are prevalent in oceans across the globe, with many approaching the end of their operational life and requiring decommissioning. Although structures can possess high ecological diversity and productivity, information on how they interact with broader ecological processes remains unclear. Here, we review the current state of knowledge on the role of O&amp;G infrastructure in maintaining, altering or enhancing ecological connectivity with natural marine habitats. There is a paucity of studies on the subject with only 33 papers specifically targeting connectivity and O&amp;G structures, although other studies provide important related information. Evidence for O&amp;G structures facilitating vertical and horizontal seascape connectivity exists for larvae and mobile adult invertebrates, fish and megafauna; including threatened and commercially important species. The degree to which these structures represent a beneficial or detrimental net impact remains unclear, is complex and ultimately needs more research to determine the extent to which natural connectivity networks are conserved, enhanced or disrupted. We discuss the potential impacts of different decommissioning approaches on seascape connectivity and identify, through expert elicitation, critical knowledge gaps that, if addressed, may further inform decision making for the life cycle of O&amp;G infrastructure, with relevance for other industries (e.g. renewables). The most highly ranked critical knowledge gap was a need to understand how O&amp;G structures modify and influence the movement patterns of mobile species and dispersal stages of sessile marine species. Understanding how different decommissioning options affect species survival and movement was also highly ranked, as was understanding the extent to which O&amp;G structures contribute to extending species distributions by providing rest stops, foraging habitat, and stepping stones. These questions could be addressed with further dedicated studies of animal movement in relation to structures using telemetry, molecular techniques and movement models. Our review and these priority questions provide a roadmap for advancing research needed to support evidence-based decision making for decommissioning O&amp;G infrastructure.</t>
  </si>
  <si>
    <t>[McLean, Dianne L.; Ferreira, Luciana C.; Benthuysen, Jessica A.; Miller, Karen J.; Schlappy, Marie-Lise; Thums, Michele] Univ Western Australia, Australian Inst Marine Sci, Indian Ocean Marine Res Ctr, Perth, WA 6009, Australia; [Schlappy, Marie-Lise; Bond, Todd] Univ Western Australia, Oceans Inst, Perth, WA, Australia; [Schlappy, Marie-Lise; Pattiaratchi, Charitha B.] Univ Western Australia, Oceans Grad Sch, Perth, WA, Australia; [Ajemian, Matthew J.] Florida Atlantic Univ, Harbor Branch Oceanog Inst, Ft Pierce, FL USA; [Berry, Oliver] CSIRO Environ Future Sci Platform, Crawley, WA, Australia; [Birchenough, Silvana N. R.; Hyder, Kieran] Ctr Environm Fisheries &amp; Aquaculture Sci Cefas, Lowestoft, Suffolk, England; [Bond, Todd] Univ Western Australia, Sch Biol Sci, Perth, WA, Australia; [Boschetti, Fabio] CSIRO Oceans &amp; Atmosphere, Crawley, WA, Australia; [Bull, Ann S.; Love, Milton; Miller, Robert J.; Nishimoto, Mary M.; Page, Henry M.] Univ Calif Santa Barbara, Inst Marine Sci, Santa Barbara, CA 93106 USA; [Claisse, Jeremy T.] Calif State Polytech Univ Pomona, Dept Biol Sci, Pomona, CA 91768 USA; [Claisse, Jeremy T.] Occidental Coll, Vantuna Res Grp, Los Angeles, CA 90041 USA; [Condie, Scott A.] CSIRO Oceans &amp; Atmosphere, Hobart, Tas, Australia; [Condie, Scott A.; Pecl, Gretta T.] Univ Tasmania, Ctr Marine Socioecol, Hobart, Tas, Australia; [Consoli, Pierpaolo] Natl Inst Biol Ecol &amp; Marine Biotechnol, Stn Zool Anton Dohrn SZN, Messina, Italy; [Coolen, Joop W. P.] Wageningen Marine Res, Den Helder, Netherlands; [Coolen, Joop W. P.] Wageningen Univ, Aquat Ecol &amp; Water Qual Management, Wageningen, Netherlands; [Elliott, Michael] Univ Hull, Dept Biol &amp; Marine Sci, Kingston Upon Hull, N Humberside, England; [Elliott, Michael; Paterson, David M.] Int Estuarine &amp; Coastal Specialists IECS, Leven, England; [Fortune, Irene S.] Univ St Andrews, Scottish Oceans Inst, Sch Biol, St Andrews, Fife, Scotland; [Fowler, Ashley M.] Sydney Inst Marine Sci, New South Wales Dept Primary Ind, Mosman, NSW, Australia; [Fowler, Ashley M.] Univ Technol Sydney, Sch Life Sci, Sydney, NSW, Australia; [Gillanders, Bronwyn M.] Univ Adelaide, Sch Biol Sci, Adelaide, SA, Australia; [Gillanders, Bronwyn M.] Univ Adelaide, Inst Environm, Adelaide, SA, Australia; [Harrison, Hugo B.] James Cook Univ, ARC Ctr Excellence Coral Reef Studies, Townsville, Qld, Australia; [Harrison, Hugo B.] Australian Inst Marine Sci, Townsville, Qld, Australia; [Hart, Kristen M.] US Geol Survey, Wetland &amp; Aquat Res Ctr, Davie, FL USA; [Henry, Lea-Anne] Univ Edinburgh, Grant Inst, Sch Geosci, Edinburgh, Midlothian, Scotland; [Hewitt, Chad L.] Murdoch Univ, Harry Butler Inst, Murdoch, WA, Australia; [Hicks, Natalie] Univ Essex, Sch Life Sci, Colchester, Essex, England; [Hock, Karlo; Riginos, Cynthia] Univ Queensland, Sch Biol Sci, St Lucia, Qld, Australia; [Hyder, Kieran] Univ East Anglia, Sch Environm Sci, Collaborat Ctr Sustainable Use Seas CCSUS, Norwich, Norfolk, England; [Macreadie, Peter I.] Deakin Univ, Ctr Integrat Ecol, Sch Life &amp; Environm Sci, Melbourne, Vic, Australia; [Macreadie, Peter I.] Deakin Univ, Ctr Integrat Ecol, Blue Carbon Lab, Burwood Campus, Burwood, Vic, Australia; [Montevecchi, William A.] Mem Univ, Dept Psychol, St John, NF, Canada; [Pattiaratchi, Charitha B.] Univ Western Australia, UWA Oceans Inst, Perth, WA, Australia; [Pecl, Gretta T.] Univ Tasmania, Inst Marine &amp; Antarctic Studies, Hobart, Tas, Australia; [Porter, Joanne S.] Heriot Watt Univ, Int Ctr Isl Technol, Orkney Campus, Orkney, England; [Porter, Joanne S.] Nat Hist Museum London, Dept Life Sci, London, England; [Reeves, David B.] Natl Fish &amp; Wildlife Fdn, Baton Rouge, LA USA; [Rouse, Sally] Marine Scotland Sci, Aberdeen, Scotland; [Russell, Debbie J. F.] Univ St Andrews, Scottish Oceans Inst, Sea Mammal Res Unit, St Andrews, Fife, Scotland; [Sherman, Craig D. H.; Treml, Eric A.] Deakin Univ, Queenscliff Marine Res Facil, Sch Life &amp; Environm Sci, Burwood, Vic, Australia; [Teilmann, Jonas] Aarhus Univ, Dept Ecosci, Marine Mammal Res, Roskilde, Denmark; [Todd, Victoria L. G.] Ocean Sci Consulting Ltd, Dunbar, Scotland; [Williamson, David H.] Great Barrier Reef Marine Pk Author, Townsville, Qld, Australia</t>
  </si>
  <si>
    <t>University of Western Australia; Australian Institute of Marine Science; University of Western Australia; University of Western Australia; State University System of Florida; Florida Atlantic University; Harbor Branch Oceanographic Institute Foundation; Centre for Environment Fisheries &amp; Aquaculture Science; University of Western Australia; Commonwealth Scientific &amp; Industrial Research Organisation (CSIRO); University of California System; University of California Santa Barbara; California State University System; California State Polytechnic University Pomona; Occidental College; Commonwealth Scientific &amp; Industrial Research Organisation (CSIRO); University of Tasmania; Wageningen University &amp; Research; Wageningen University &amp; Research; University of Hull; University of St Andrews; NSW Department of Primary Industries; Sydney Institute of Marine Science; University of Technology Sydney; University of Adelaide; University of Adelaide; James Cook University; Australian Institute of Marine Science; United States Department of the Interior; United States Geological Survey; University of Edinburgh; Murdoch University; University of Essex; University of Queensland; University of East Anglia; Deakin University; Melbourne Genomics Health Alliance; Deakin University; Memorial University Newfoundland; University of Western Australia; University of Tasmania; Heriot Watt University; Natural History Museum London; Marine Scotland Science (MSS); University of St Andrews; Deakin University; Aarhus University</t>
  </si>
  <si>
    <t>McLean, DL (corresponding author), Univ Western Australia, Australian Inst Marine Sci, Indian Ocean Marine Res Ctr, Perth, WA 6009, Australia.</t>
  </si>
  <si>
    <t>d.mclean@aims.gov.au</t>
  </si>
  <si>
    <t>Paterson, David M/D-5202-2013; Sherman, Craig DH/A-2484-2010; Miller, Karen/V-4098-2019; Teilmann, Jonas/J-7828-2013; Consoli, Pierpaolo/AAD-5604-2019; Harrison, Hugo B/JJF-5109-2023; Coolen, Joop W.P./AAG-9704-2019; Thums, Michele/A-3850-2013; Riginos, Cynthia/G-3320-2010; Pecl, Gretta/D-7267-2011; Claisse, Jeremy T/B-8622-2012; Hewitt, Chad/J-2105-2019; McLean, Dianne/H-2449-2012; Pattiaratchi, Charitha/E-6916-2011; Fowler, Ashley/N-8623-2016; Elliott, Michael/B-4312-2013; Porter, Joanne/B-8060-2011; Treml, Eric A/C-7580-2013</t>
  </si>
  <si>
    <t>Teilmann, Jonas/0000-0002-4376-4700; Consoli, Pierpaolo/0000-0001-8135-3876; Harrison, Hugo B/0000-0001-8831-0086; Coolen, Joop W.P./0000-0002-8127-6097; Riginos, Cynthia/0000-0002-5485-4197; Pecl, Gretta/0000-0003-0192-4339; Hewitt, Chad/0000-0002-6859-6512; Bond, Todd/0000-0001-6064-7015; McLean, Dianne/0000-0002-0306-8348; Pattiaratchi, Charitha/0000-0003-2229-6183; Fowler, Ashley/0000-0003-3075-7066; RUSSELL, DEBBIE JF/0000-0002-1969-102X; Schlappy, Marie-Lise/0000-0002-2131-8515; Hyder, Kieran/0000-0003-1428-5679; Reeves, David/0000-0003-4161-8889; Elliott, Michael/0000-0002-2519-4871; Porter, Joanne/0000-0002-5878-3912; Miller, Robert/0000-0002-8350-3759; Hicks, Natalie/0000-0003-0843-9731; Birchenough, Silvana/0000-0001-5321-8108; Cerqueira Ferreira, Luciana/0000-0001-6755-2799; Treml, Eric A/0000-0003-4844-4420</t>
  </si>
  <si>
    <t>National Decommissioning Research Initiative (NDRI Australia); project CHASANS [NE/T010886/1]; project EcoSTAR [NE/T010614/1]; project FuECoMMS [NE/T010800/1]; Marine Alliance for Science and Technology for Scotland (MASTS) - Scottish Funding Council; Cefas; UK INSITE North Sea programme; NERC [NE/T010614/1, NE/W009897/1] Funding Source: UKRI</t>
  </si>
  <si>
    <t>National Decommissioning Research Initiative (NDRI Australia); project CHASANS; project EcoSTAR; project FuECoMMS; Marine Alliance for Science and Technology for Scotland (MASTS) - Scottish Funding Council; Cefas; UK INSITE North Sea programme; NERC(UK Research &amp; Innovation (UKRI)Natural Environment Research Council (NERC))</t>
  </si>
  <si>
    <t>The views and conclusions contained in this document are those of the authors and do not necessarily represent the opinions, views or policies of their organisations but do represent the view of the U.S. Geological Survey. Any use of trade, firm or product names is for descriptive purposes only and does not imply endorsement by the U.S. Government or other organisations. This research was supported by the National Decommissioning Research Initiative (NDRI Australia). We acknowledge the time contribution of all co-authors and additionally via research undertaken through the UKRI INSITE Programme including projects ANChor, CHASANS (NE/T010886/1), EcoConnect, EcoSTAR (NE/T010614/1), FuECoMMS (NE/T010800/1), MAPS, NSERC. DMP was supported through The Marine Alliance for Science and Technology for Scotland (MASTS) funded by the Scottish Funding Council and contributing institutions. SNRB and KH (Cefas) were funded by Cefas and the UK INSITE North Sea programme . Open access publishing facilitated by The University of Western Australia, as part of the Wiley - The University of Western Australia agreement via the Council of Australian University Librarians.</t>
  </si>
  <si>
    <t>10.1111/gcb.16134</t>
  </si>
  <si>
    <t>0X1OL</t>
  </si>
  <si>
    <t>WOS:000769411800001</t>
  </si>
  <si>
    <t>Hallanger, IG; Ask, A; Fuglei, E</t>
  </si>
  <si>
    <t>Hallanger, Ingeborg G.; Ask, Amalie; Fuglei, Eva</t>
  </si>
  <si>
    <t>Occurrence of ingested human litter in winter arctic foxes (Vulpes lagopus) from Svalbard, Norway</t>
  </si>
  <si>
    <t>Garbage; Terrestrial; Predator; Arctic; OSPAR; Plastic</t>
  </si>
  <si>
    <t>ALOPEX-LAGOPUS; FOOD-HABITS; BEHAVIOR; DIET</t>
  </si>
  <si>
    <t>The aim of this study is to assess the occurrence of human litter ingested by arctic foxes (Vulpes lagopus) caught in Svalbard, Norway, in winter when scavenging is at its highest. Twenty arctic fox stomachs and intestines were examined for human litter and plastic using the protocol from the Oslo-Paris Convention (OSPAR) for monitoring plastic ingestion by the northern fulmar (Fulmarus glacialis) (human litter and plastic &gt;1 mm). The arctic foxes had ingested human litter at a low frequency (15%, 3 out of 20 foxes). Despite the low sample size, we do not regard ingestion of human litter as an immediate threat to the arctic fox population in Svalbard.</t>
  </si>
  <si>
    <t>[Hallanger, Ingeborg G.; Ask, Amalie; Fuglei, Eva] Norwegian Polar Res Inst, Fram Ctr, POB 6606 Langnes, NO-9296 Tromso, Norway; [Ask, Amalie] Univ Turku, Dept Biol, Turku 20014, Finland</t>
  </si>
  <si>
    <t>Norwegian Polar Institute; University of Turku</t>
  </si>
  <si>
    <t>Hallanger, IG (corresponding author), Norwegian Polar Res Inst, Fram Ctr, POB 6606 Langnes, NO-9296 Tromso, Norway.</t>
  </si>
  <si>
    <t>ingeborg.hallanger@npolar.no</t>
  </si>
  <si>
    <t>Norwegian Polar Institute</t>
  </si>
  <si>
    <t>The authors acknowledge local trappers, the Governor of Svalbard and the Norwegian Polar Institute for handling, collecting, and sampling the arctic fox carcasses. We thank Torill Mork at the Veterinary Institute in Tromso for help and guidance with autopsies. Furthermore, we thank Dorte Herzke at the Norwegian Institute for Air Research (NILU) for her help with the FTIR spectroscopy, and Vladimir Nikiforov (NILU) and Leonard Lisitsyn (Barentsburg laboratory, Arctic and Antarctic Research Institute) for identifying the cream carton, and A. Lindseth and K. Baelum for sharing pictures. We also thank Shane Dielschneider for his help with language. The work was financed by the Norwegian Polar Institute. Photo; Fig. 1 A-C: K. Baelum, Fig. 1 D: A. Lindseth, Fig. 2: I. G. Hallanger.</t>
  </si>
  <si>
    <t>10.1016/j.envpol.2022.119099</t>
  </si>
  <si>
    <t>0N3RS</t>
  </si>
  <si>
    <t>WOS:000782759700005</t>
  </si>
  <si>
    <t>Lin, JM; Svensson, A; Hvidberg, CS; Lohmann, J; Kristiansen, S; Dahl-Jensen, D; Steffensen, JP; Rasmussen, SO; Cook, E; Kjær, HA; Vinther, BM; Fischer, H; Stocker, T; Sigl, M; Bigler, M; Severi, M; Traversi, R; Mulvaney, R</t>
  </si>
  <si>
    <t>Lin, Jiamei; Svensson, Anders; Hvidberg, Christine S.; Lohmann, Johannes; Kristiansen, Steffen; Dahl-Jensen, Dorthe; Steffensen, Jorgen Peder; Rasmussen, Sune Olander; Cook, Eliza; Kjaer, Helle Astrid; Vinther, Bo M.; Fischer, Hubertus; Stocker, Thomas; Sigl, Michael; Bigler, Matthias; Severi, Mirko; Traversi, Rita; Mulvaney, Robert</t>
  </si>
  <si>
    <t>Magnitude, frequency and climate forcing of global volcanism during the last glacial period as seen in Greenland and Antarctic ice cores (60-9 ka)</t>
  </si>
  <si>
    <t>EPICA-DOME-C; WEST ANTARCTICA; EAST ANTARCTICA; WAIS DIVIDE; CHRONOLOGY AICC2012; WD2014 CHRONOLOGY; OXYGEN-ISOTOPE; ASH LAYERS; RECORDS; ERUPTION</t>
  </si>
  <si>
    <t>Large volcanic eruptions occurring in the last glacial period can be detected by their accompanying sulfuric acid deposition in continuous ice cores. Here we employ continuous sulfate and sulfur records from three Greenland and three Antarctic ice cores to estimate the emission strength, the frequency and the climatic forcing of large volcanic eruptions that occurred during the second half of the last glacial period and the early Holocene, 60-9 kyr before 2000 CE (b2k). Over most of the investigated interval the ice cores are synchronized, making it possible to distinguish large eruptions with a global sulfate distribution from eruptions detectable in one hemisphere only. Due to limited data resolution and large variability in the sulfate background signal, particularly in the Greenland glacial climate, we only list Greenland sulfate depositions larger than 20 kg km(-2) and Antarctic sulfate depositions larger than 10 kg km(-2). With those restrictions, we identify 1113 volcanic eruptions in Greenland and 737 eruptions in Antarctica within the 51 kyr period - for which the sulfate deposition of 85 eruptions is found at both poles (bipolar eruptions). Based on the ratio of Greenland and Antarctic sulfate deposition, we estimate the latitudinal band of the bipolar eruptions and assess their approximate climatic forcing based on established methods. A total of 25 of the identified bipolar eruptions are larger than any volcanic eruption occurring in the last 2500 years, and 69 eruptions are estimated to have larger sulfur emission strengths than the Tambora, Indonesia, eruption (1815 CE). Throughout the investigated period, the frequency of volcanic eruptions is rather constant and comparable to that of recent times. During the deglacial period (16-9 kab2k), however, there is a notable increase in the frequency of volcanic events recorded in Greenland and an obvious increase in the fraction of very large eruptions. For Antarctica, the deglacial period cannot be distinguished from other periods. This confirms the suggestion that the isostatic unloading of the Northern Hemisphere (NH) ice sheets may be related to the enhanced NH volcanic activity. Our ice-core-based volcanic sulfate records provide the atmospheric sulfate burden and estimates of climate forcing for further research on climate impact and understanding the mechanism of the Earth system.</t>
  </si>
  <si>
    <t>[Lin, Jiamei; Svensson, Anders; Hvidberg, Christine S.; Lohmann, Johannes; Kristiansen, Steffen; Dahl-Jensen, Dorthe; Steffensen, Jorgen Peder; Rasmussen, Sune Olander; Cook, Eliza; Kjaer, Helle Astrid; Vinther, Bo M.] Univ Copenhagen, Niels Bohr Inst, Phys Ice Climate &amp; Earth, DK-2100 Copenhagen, Denmark; [Fischer, Hubertus; Stocker, Thomas; Sigl, Michael; Bigler, Matthias] Univ Bern, Climate &amp; Environm Phys, Phys Inst, Sidlerstr 5, Bern, Switzerland; [Fischer, Hubertus; Stocker, Thomas; Sigl, Michael; Bigler, Matthias] Univ Bern, Oeschger Ctr Climate Change Res, Sidlerstr 5, Bern, Switzerland; [Severi, Mirko; Traversi, Rita] Univ Florence, Dept Chem, Florence, Italy; [Mulvaney, Robert] British Antarctic Survey, Cambridge, England; [Dahl-Jensen, Dorthe] Univ Manitoba, Ctr Earth Observat Sci, Winnipeg, MB R3T 2N2, Canada</t>
  </si>
  <si>
    <t>University of Copenhagen; Niels Bohr Institute; University of Bern; University of Bern; University of Florence; UK Research &amp; Innovation (UKRI); Natural Environment Research Council (NERC); NERC British Antarctic Survey; University of Manitoba</t>
  </si>
  <si>
    <t>Lin, JM; Svensson, A (corresponding author), Univ Copenhagen, Niels Bohr Inst, Phys Ice Climate &amp; Earth, DK-2100 Copenhagen, Denmark.</t>
  </si>
  <si>
    <t>jm.lin@nbi.ku.dk; as@nbi.ku.dk</t>
  </si>
  <si>
    <t>Hvidberg, Christine S./E-8934-2015; Rasmussen, Sune/B-5560-2008; Dahl-Jensen, Dorthe/AAO-6951-2020; Steffensen, Jorgen Peder/JFS-7831-2023; Svensson, Anders/A-2643-2010; Severi, Mirko/J-2508-2012; Mulvaney, Robert/K-3929-2012; Rasmussen, Sune Olander/AAA-3190-2021; Bigler, Matthias/HTT-3872-2023; Kjær, Helle Astrid/HGC-7941-2022; Fischer, Hubertus/A-1211-2014</t>
  </si>
  <si>
    <t>Hvidberg, Christine S./0000-0002-9665-1339; Dahl-Jensen, Dorthe/0000-0002-1474-1948; Steffensen, Jorgen Peder/0000-0002-5516-1093; Svensson, Anders/0000-0002-4364-6085; Rasmussen, Sune Olander/0000-0002-4177-3611; Bigler, Matthias/0000-0003-0184-4013; Kjær, Helle Astrid/0000-0002-3781-9509; Fischer, Hubertus/0000-0002-2787-4221; Cook, Eliza/0000-0001-7927-7974; Lin, Jiamei/0000-0001-6323-4486; Vinther, Bo/0000-0002-6078-771X</t>
  </si>
  <si>
    <t>Villum Foundation; China Scholarship Council</t>
  </si>
  <si>
    <t>Villum Foundation(Villum Fonden); China Scholarship Council(China Scholarship Council)</t>
  </si>
  <si>
    <t>Anders Svensson, Christine S. Hvidberg, JOrgen P. Steffensen, Bo M. Vinther, Sune O. Rasmussen and Dorthe Dahl-Jensen acknowledge support from the Villum Foundation. Jiamei Lin acknowledges support from the China Scholarship Council. The authors thank the editor Matthew Toohey, three reviewers (Chaochao Gao, Eric Wolff, Jihong Cole-Dai), and commenting authors from the community (Alan Robock, Thomas Aubry, Lauren Marshall and Anja Schmidt) for their constructive comments that greatly improved this paper.</t>
  </si>
  <si>
    <t>MAR 15</t>
  </si>
  <si>
    <t>10.5194/cp-18-485-2022</t>
  </si>
  <si>
    <t>ZW7AK</t>
  </si>
  <si>
    <t>Green Accepted, gold, Green Submitted, Green Published</t>
  </si>
  <si>
    <t>WOS:000771361200001</t>
  </si>
  <si>
    <t>Womack, A; Vichi, M; Alberello, A; Toffoli, A</t>
  </si>
  <si>
    <t>Womack, Ashleigh; Vichi, Marcello; Alberello, Alberto; Toffoli, Alessandro</t>
  </si>
  <si>
    <t>Atmospheric drivers of a winter-to-spring Lagrangian sea-ice drift in the Eastern Antarctic marginal ice zone</t>
  </si>
  <si>
    <t>Antarctic glaciology; atmosphere; ice; ocean interactions; sea ice; sea-ice dynamics</t>
  </si>
  <si>
    <t>FLOE SIZE DISTRIBUTION; WEDDELL SEA; DEFORMATION; WIND; VARIABILITY; KINEMATICS; SUMMER; OCEAN</t>
  </si>
  <si>
    <t>Sea-ice drift in the Antarctic marginal ice zone (MIZ) is discussed using data from a 4-month-long drift of a buoy deployed on a pancake ice floe during the winter sea-ice expansion. We demonstrate increased meandering and drift speeds, and changes in the dynamical regimes of the absolute dispersion during cyclone activity, together with high correlations between drift velocities and wind from atmospheric reanalyses. This indicates a dominant physical control of wind forcing on ice drift and the persistence of free-drift conditions. These conditions occurred despite the buoy remaining largely in &gt;80% ice concentrations and at distances &gt;200 km from the estimated ice edge. The drift is additionally characterised by a strong inertial signature at 13.47 h, which appears initiated by passing cyclones. A wavelet analysis of the buoy's velocity confirms that the momentum transfer from winds at the multi-day frequencies is due to atmospheric forcing, while the initiation of inertial oscillations of sea ice has been identified as the secondary effect. Propagating storm-generated waves may initiate inertial oscillations by increasing the mobility of floes and enhance the drag of the inertial current. This analysis indicates that the Antarctic MIZ in the Indian Ocean sector remains much wider and mobile, during austral winter-to-spring, than defined by sea-ice concentration.</t>
  </si>
  <si>
    <t>[Womack, Ashleigh; Vichi, Marcello] Univ Cape Town, Dept Oceanog, Rondebosch, South Africa; [Vichi, Marcello] Univ Cape Town, Marine &amp; Antarctic Res Ctr Innovat &amp; Sustainabil, Rondebosch, South Africa; [Alberello, Alberto] Univ East Anglia, Sch Math, Norwich, Norfolk, England; [Toffoli, Alessandro] Univ Melbourne, Dept Infrastruct Engn, Parkville, Vic, Australia</t>
  </si>
  <si>
    <t>University of Cape Town; University of Cape Town; University of East Anglia; University of Melbourne</t>
  </si>
  <si>
    <t>Womack, A (corresponding author), Univ Cape Town, Dept Oceanog, Rondebosch, South Africa.</t>
  </si>
  <si>
    <t>ashleighwomack@gmail.com</t>
  </si>
  <si>
    <t>Vichi, Marcello/0000-0002-0686-9634; Toffoli, Alessandro/0000-0003-3112-6856; Womack, Ashleigh/0000-0002-6544-7298</t>
  </si>
  <si>
    <t>South African National Antarctic Programme (SANAP) through the National Research Foundation (NRF); ACE Foundation; Ferring Pharmaceuticals; Australian Antarctic Science Program [4434]; Japanese Society for the Promotion of Science [PE19055]; Australia Research Council [DP200102828]; Trident Sensors Helix Beacon through the DISI Australia-China Centre Grant [ACSRF48199]; Australian Research Council [DP200102828] Funding Source: Australian Research Council</t>
  </si>
  <si>
    <t>South African National Antarctic Programme (SANAP) through the National Research Foundation (NRF); ACE Foundation; Ferring Pharmaceuticals(Ferring Pharmaceuticals); Australian Antarctic Science Program; Japanese Society for the Promotion of Science(Ministry of Education, Culture, Sports, Science and Technology, Japan (MEXT)Japan Society for the Promotion of Science); Australia Research Council(Australian Research Council); Trident Sensors Helix Beacon through the DISI Australia-China Centre Grant; Australian Research Council(Australian Research Council)</t>
  </si>
  <si>
    <t>L The expedition was funded by the South African National Antarctic Programme (SANAP) through the National Research Foundation (NRF). We thank the captain and the crew of the SA Agulhas II for assistance during the deployment. A.A. and A.T. were funded by the ACE Foundation and Ferring Pharmaceuticals and the Australian Antarctic Science Program (project 4434). A.A. acknowledges support from the Japanese Society for the Promotion of Science (PE19055). A.T. acknowledges support from the Australia Research Council (DP200102828). We thank A. Babanin and Keith MacHutchon for facilitating the purchase and delivery of the Trident Sensors Helix Beacon through the DISI Australia-China Centre Grant ACSRF48199. A.W. thanks J. Rogerson for support with the data processing. We thank L. Fascette for technical support during the cruise.</t>
  </si>
  <si>
    <t>PII S0022143022000144</t>
  </si>
  <si>
    <t>10.1017/jog.2022.14</t>
  </si>
  <si>
    <t>WOS:000769204800001</t>
  </si>
  <si>
    <t>Briand, C; Clilverd, M; Inturi, S; Cecconi, B</t>
  </si>
  <si>
    <t>Briand, Carine; Clilverd, Mark; Inturi, Srivani; Cecconi, Baptiste</t>
  </si>
  <si>
    <t>Role of hard X-ray emission in ionospheric D-layer disturbances during solar flares</t>
  </si>
  <si>
    <t>EARTH PLANETS AND SPACE</t>
  </si>
  <si>
    <t>VLF; Ionosphere; Solar flares; X-ray</t>
  </si>
  <si>
    <t>D-REGION ENHANCEMENTS; TIME-DELAY; AMPLITUDE; SLUGGISHNESS; SIGNALS</t>
  </si>
  <si>
    <t>Any disturbance of the ionosphere may affect operational activities based on HF communication. The electron density is a critical parameter that controls levels of HF-signal absorption. A significant part of the HF absorption takes place in the D-layer. The increase of X radiations during solar flares generates noticeable perturbations of the electron density of the D-layer. However, the ionosphere reacts with some delay to the solar forcing. Several studies have addressed this question of ionospheric sluggishness from the time delay between VLF narrow-band transmissions and soft X-ray emissions during solar flares. Our study initially considers the interpretation of the VLF amplitude time profile. In particular, we show that the maximum of X-ray emission can be associated with a reversal in the VLF amplitude variation with time, i.e. exhibiting a peak or a trough. Then, building on this insight, we perform estimates of the time delay between VLF and soft X-rays during 67 events between 2017 and 2021, thus including the major flares of 2017. We show that the time delay can become negative for flares above X2, proving that soft X-rays are not the initial source of ionization in the case of major flares. From a careful analysis of RHESSI data for some events of September 2017, we demonstrate that radiation above 40 keV (i.e. hard X-rays) is an important forcing source of the ionosphere. This is of crucial interest in the frame of space weather forecasting since the hard X-rays are produced several minutes before the peak of soft X-rays.</t>
  </si>
  <si>
    <t>[Briand, Carine; Inturi, Srivani; Cecconi, Baptiste] Sorbonne Univ, Univ Paris Cite, Observ Paris PSL, CNRS,LESIA, Paris, France; [Clilverd, Mark] NERC, British Antarctic Survey, Cambridge, England</t>
  </si>
  <si>
    <t>Centre National de la Recherche Scientifique (CNRS); Sorbonne Universite; UK Research &amp; Innovation (UKRI); Natural Environment Research Council (NERC); NERC British Antarctic Survey</t>
  </si>
  <si>
    <t>Briand, C (corresponding author), Sorbonne Univ, Univ Paris Cite, Observ Paris PSL, CNRS,LESIA, Paris, France.</t>
  </si>
  <si>
    <t>carine.briand@obspm.fr</t>
  </si>
  <si>
    <t>briand, carine/0000-0003-0271-9839</t>
  </si>
  <si>
    <t>1880-5981</t>
  </si>
  <si>
    <t>EARTH PLANETS SPACE</t>
  </si>
  <si>
    <t>Earth Planets Space</t>
  </si>
  <si>
    <t>10.1186/s40623-022-01598-2</t>
  </si>
  <si>
    <t>ZT9AN</t>
  </si>
  <si>
    <t>WOS:000769441300001</t>
  </si>
  <si>
    <t>Oellermann, M; Fitzgibbon, QP; Twiname, S; Pecl, GT</t>
  </si>
  <si>
    <t>Oellermann, Michael; Fitzgibbon, Quinn P.; Twiname, Samantha; Pecl, Gretta T.</t>
  </si>
  <si>
    <t>Metabolic plasticity improves lobster's resilience to ocean warming but not to climate-driven novel species interactions</t>
  </si>
  <si>
    <t>ANAEROBIC ENERGY-METABOLISM; JUVENILE SPINY LOBSTER; FRESH-WATER CRAYFISH; AMERICAN LOBSTER; HOMARUS-AMERICANUS; THERMAL PLASTICITY; OXYGEN LIMITATION; JASUS-EDWARDSII; MUSCLE-FIBERS; AEROBIC SCOPE</t>
  </si>
  <si>
    <t>Marine species not only suffer from direct effects of warming oceans but also indirectly via the emergence of novel species interactions. While metabolic adjustments can be crucial to improve resilience to warming, it is largely unknown if this improves performance relative to novel competitors. We aimed to identify if spiny lobsters-inhabiting a global warming and species re-distribution hotspot-align their metabolic performance to improve resilience to both warming and novel species interactions. We measured metabolic and escape capacity of two Australian spiny lobsters, resident Jasus edwardsii and the range-shifting Sagmariasus verreauxi, acclimated to current average-(14.0 degrees C), current summer-(17.5 degrees C) and projected future summer-(21.5 degrees C) habitat temperatures. We found that both species decreased their standard metabolic rate with increased acclimation temperature, while sustaining their scope for aerobic metabolism. However, the resident lobster showed reduced anaerobic escape performance at warmer temperatures and failed to match the metabolic capacity of the range-shifting lobster. We conclude that although resident spiny lobsters optimise metabolism in response to seasonal and future temperature changes, they may be unable to physiologically outperform their range-shifting competitors. This highlights the critical importance of exploring direct as well as indirect effects of temperature changes to understand climate change impacts.</t>
  </si>
  <si>
    <t>[Oellermann, Michael] Tech Univ Munich, TUM Sch Life Sci, Aquat Syst Biol Unit, Weihenstephan, Germany; [Oellermann, Michael; Fitzgibbon, Quinn P.; Twiname, Samantha; Pecl, Gretta T.] Univ Tasmania, Inst Marine &amp; Antarctic Studies, Hobart, Tas, Australia</t>
  </si>
  <si>
    <t>Technical University of Munich; University of Tasmania</t>
  </si>
  <si>
    <t>Oellermann, M (corresponding author), Tech Univ Munich, TUM Sch Life Sci, Aquat Syst Biol Unit, Weihenstephan, Germany.;Oellermann, M (corresponding author), Univ Tasmania, Inst Marine &amp; Antarctic Studies, Hobart, Tas, Australia.</t>
  </si>
  <si>
    <t>Pecl, Gretta/D-7267-2011; Oellermann, Michael/G-7073-2011</t>
  </si>
  <si>
    <t>Pecl, Gretta/0000-0003-0192-4339; Oellermann, Michael/0000-0001-5392-6737; Fitzgibbon, Quinn/0000-0002-1104-3052</t>
  </si>
  <si>
    <t>German Research Foundation (DFG) [OE 658/1, OE 658/2]; Australian Research Council (ARC) Future Fellowship; Projekt DEAL</t>
  </si>
  <si>
    <t>German Research Foundation (DFG)(German Research Foundation (DFG)); Australian Research Council (ARC) Future Fellowship(Australian Research Council); Projekt DEAL</t>
  </si>
  <si>
    <t>Open Access funding was enabled and organized by the Projekt DEAL. This work was supported by the German Research Foundation (DFG) fellowships [OE 658/1 and OE 658/2 to M.O.] and an Australian Research Council (ARC) Future Fellowship to G.T.P.</t>
  </si>
  <si>
    <t>10.1038/s41598-022-08208-x</t>
  </si>
  <si>
    <t>ZT9JZ</t>
  </si>
  <si>
    <t>WOS:000769466200070</t>
  </si>
  <si>
    <t>de Jager, W; Vichi, M</t>
  </si>
  <si>
    <t>de Jager, Wayne; Vichi, Marcello</t>
  </si>
  <si>
    <t>Rotational drift in Antarctic sea ice: pronounced cyclonic features and differences between data products</t>
  </si>
  <si>
    <t>SOUTHERN-OCEAN; VARIABILITY; SYSTEM; TRENDS</t>
  </si>
  <si>
    <t>Sea ice extent variability, a measure based on satellite-derived sea ice concentration measurements, has traditionally been used as an indicator to evaluate the impact of climate change on polar regions. However, concentration-based measurements of ice variability do not allow the discrimination of the relative contributions made by thermodynamic and dynamic processes, prompting the need to use sea ice drift products and develop methods to quantify changes in sea ice dynamics that would indicate trends in the ice characteristics. Here, we present a new method to automate the detection of rotational drift features in Antarctic sea ice from space at spatial and temporal scales comparable to that of polar weather. This analysis focusses on drift features in the Atlantic sector of the Southern Ocean in the period 2013-2020 using currently available satellite ice motion products from EUMETSAT OSI SAF. We observe a large discrepancy between cyclonic and anticyclonic drift features, with cyclonic features typically exhibiting larger drift intensity and spatial variability according to all products. The mean intensity of the 95th percentile of cyclonic features is 1.52.0 times larger for cyclonic features than anticyclonic features. The spatial variability of cyclonic features increased with intensity, indicating that the most intense cyclonic features are also the least homogenous. There is good agreement between products in detecting anticyclonic features; however, larger disagreement is evident for cyclonic features, with the merged product showing the most intense 95th percentile threshold and largest spatial variability, likely due to the more extended coverage of valid vorticity points. A time series analysis of the 95th percentile shows an abrupt intensification of cyclonic features from 2014-2017, which coincides with the record decline in Antarctic sea ice extent since winter of 2015. Our results indicate the need for systematic assessments of sea ice drift products against dedicated observational experiments in the weather-dominated Atlantic sector. Such information will allow us to confirm whether the detected increase in cyclonic vorticity is linked to rapidly changing atmospheric changes driven by sea ice dynamics and establish the measure of rotational sea ice drift as a potential indicator of weather-driven variability in Antarctic sea ice.</t>
  </si>
  <si>
    <t>[de Jager, Wayne; Vichi, Marcello] Univ Cape Town, Dept Oceanog, ZA-7700 Cape Town, South Africa; [Vichi, Marcello] Univ Cape Town, Marine &amp; Antarctic Res Ctr Innovat &amp; Sustainabil, ZA-7700 Cape Town, South Africa</t>
  </si>
  <si>
    <t>de Jager, W (corresponding author), Univ Cape Town, Dept Oceanog, ZA-7700 Cape Town, South Africa.</t>
  </si>
  <si>
    <t>djgway001@myuct.ac.za</t>
  </si>
  <si>
    <t>Vichi, Marcello/0000-0002-0686-9634; de Jager, Wayne/0000-0002-3980-8897</t>
  </si>
  <si>
    <t>National Research Foundation of South Africa (South African National Antarctic Programme) [118745]</t>
  </si>
  <si>
    <t>National Research Foundation of South Africa (South African National Antarctic Programme)</t>
  </si>
  <si>
    <t>This work has received funding from the National Research Foundation of South Africa (South African National Antarctic Programme, project no. 118745).</t>
  </si>
  <si>
    <t>MAR 14</t>
  </si>
  <si>
    <t>10.5194/tc-16-925-2022</t>
  </si>
  <si>
    <t>ZZ6PS</t>
  </si>
  <si>
    <t>WOS:000773389100001</t>
  </si>
  <si>
    <t>Jones, J; Kohfeld, KE; Bostock, H; Crosta, X; Liston, M; Dunbar, G; Chase, Z; Leventer, A; Anderson, H; Jacobsen, G</t>
  </si>
  <si>
    <t>Jones, Jacob; Kohfeld, Karen E.; Bostock, Helen; Crosta, Xavier; Liston, Melanie; Dunbar, Gavin; Chase, Zanna; Leventer, Amy; Anderson, Harris; Jacobsen, Geraldine</t>
  </si>
  <si>
    <t>Sea ice changes in the southwest Pacific sector of the Southern Ocean during the last 140 000 years</t>
  </si>
  <si>
    <t>GLACIAL-INTERGLACIAL CYCLE; SURFACE TEMPERATURE; SUBTROPICAL FRONT; NEW-ZEALAND; ATMOSPHERIC CO2; CARBON-CYCLE; CIRCULATION; CLIMATE; RECONSTRUCTION; MAXIMUM</t>
  </si>
  <si>
    <t>Sea ice expansion in the Southern Ocean is believed to have contributed to glacial-interglacial atmospheric CO2 variability by inhibiting air-sea gas exchange and influencing the ocean's meridional overturning circulation. However, limited data on past sea ice coverage over the last 140 ka (a complete glacial cycle) have hindered our ability to link sea ice expansion to oceanic processes that affect atmospheric CO2 concentration. Assessments of past sea ice coverage using diatom assemblages have primarily focused on the Last Glacial Maximum (similar to 21 ka) to Holocene, with few quantitative reconstructions extending to the onset of glacial Termination II (similar to 135 ka). Here we provide new estimates of winter sea ice concentrations (WSIC) and summer sea surface temperatures (SSST) for a full glacial-interglacial cycle from the southwestern Pacific sector of the Southern Ocean using the modern analog technique (MAT) on fossil diatom assemblages from deep-sea core TAN1302-96. We examine how the timing of changes in sea ice coverage relates to ocean circulation changes and previously proposed mechanisms of early glacial CO2 drawdown. We then place SSST estimates within the context of regional SSST records to better understand how these surface temperature changes may be influencing oceanic CO2 uptake. We find that winter sea ice was absent over the core site during the early glacial period until MIS 4 (similar to 65 ka), suggesting that sea ice may not have been a major contributor to early glacial CO2 drawdown. Sea ice expansion throughout the glacial-interglacial cycle, however, appears to coincide with observed regional reductions in Antarctic Intermediate Water production and subduction, suggesting that sea ice may have influenced intermediate ocean circulation changes. We observe an early glacial (MIS 5d) weakening of meridional SST gradients between 42 and 59 degrees S throughout the region, which may have contributed to early reductions in atmospheric CO2 concentrations through its impact on air-sea gas exchange.</t>
  </si>
  <si>
    <t>[Jones, Jacob; Kohfeld, Karen E.] Simon Fraser Univ, Sch Resource &amp; Environm Management, Burnaby, BC, Canada; [Kohfeld, Karen E.] Simon Fraser Univ, Sch Environm Sci, Burnaby, BC, Canada; [Bostock, Helen] Univ Queensland, Sch Earth &amp; Environm Sci, Brisbane, Qld, Australia; [Bostock, Helen] Natl Inst Water &amp; Atmospher Res NIWA, Wellington, New Zealand; [Crosta, Xavier] Univ Bordeaux, CNRS, EPHE, UMR 5805,EPOC, Pessac, France; [Liston, Melanie; Dunbar, Gavin] Victoria Univ Wellington, Antarctic Res Ctr, Wellington, New Zealand; [Chase, Zanna; Anderson, Harris] Univ Tasmania, Inst Marine &amp; Antarctic Studies, Hobart, Tas, Australia; [Leventer, Amy] Colgate Univ, Geol Dept, Hamilton, NY 13346 USA; [Jacobsen, Geraldine] Australian Nucl Sci &amp; Technol Org, Ctr Accelerator Sci, Lucas Heights, NSW, Australia</t>
  </si>
  <si>
    <t>Simon Fraser University; Simon Fraser University; University of Queensland; National Institute of Water &amp; Atmospheric Research (NIWA) - New Zealand; Universite PSL; Ecole Pratique des Hautes Etudes (EPHE); Universite de Bordeaux; Centre National de la Recherche Scientifique (CNRS); CNRS - National Institute for Earth Sciences &amp; Astronomy (INSU); Victoria University Wellington; University of Tasmania; Colgate University; Australian Nuclear Science &amp; Technology Organisation</t>
  </si>
  <si>
    <t>Jones, J (corresponding author), Simon Fraser Univ, Sch Resource &amp; Environm Management, Burnaby, BC, Canada.</t>
  </si>
  <si>
    <t>jacob_jones@sfu.ca</t>
  </si>
  <si>
    <t>IPO, PAGES/JXY-7546-2024; Bostock, Helen/A-6834-2013; Chase, Zanna/E-9232-2013</t>
  </si>
  <si>
    <t>Bostock, Helen/0000-0002-8903-8958; Leventer, Amy/0000-0001-9401-0987; Chase, Zanna/0000-0001-5060-779X</t>
  </si>
  <si>
    <t>Canadian Natural Sciences and Engineering Research Council Grant's Discovery Grant [RGPIN342251]; Australian Nuclear Science and Technology (ANSTO) grant [AP11676]; Australian Research Council's Discovery Projects funding scheme [DP180102357]; Past Global Changes (PAGES) grant [CSIDE WS_163]</t>
  </si>
  <si>
    <t>Canadian Natural Sciences and Engineering Research Council Grant's Discovery Grant; Australian Nuclear Science and Technology (ANSTO) grant; Australian Research Council's Discovery Projects funding scheme(Australian Research Council); Past Global Changes (PAGES) grant</t>
  </si>
  <si>
    <t>This research has been supported by the Canadian Natural Sciences and Engineering Research Council Grant's Discovery Grant (grant no. RGPIN342251), the Australian Nuclear Science and Technology (ANSTO) grant (grant no. AP11676), and the Australian Research Council's Discovery Projects funding scheme (grant no. DP180102357). Additional funding for travel and workshop collaboration was provided to Jacob Jones by a Past Global Changes (PAGES) grant (grant no. CSIDE WS_163) to the Cycles of Sea Ice Dynamics in the Earth System (C-SIDE) working group.</t>
  </si>
  <si>
    <t>10.5194/cp-18-465-2022</t>
  </si>
  <si>
    <t>ZW4TL</t>
  </si>
  <si>
    <t>WOS:000771207300001</t>
  </si>
  <si>
    <t>Dethloff, K; Maslowski, W; Hendricks, S; Lee, YJ; Goessling, HF; Krumpen, T; Haas, C; Handorf, D; Ricker, R; Bessonov, V; Cassano, JJ; Kinney, JC; Osinski, R; Rex, M; Rinke, A; Sokolova, J; Sommerfeld, A</t>
  </si>
  <si>
    <t>Dethloff, Klaus; Maslowski, Wieslaw; Hendricks, Stefan; Lee, Younjoo J.; Goessling, Helge F.; Krumpen, Thomas; Haas, Christian; Handorf, Doerthe; Ricker, Robert; Bessonov, Vladimir; Cassano, John J.; Kinney, Jaclyn Clement; Osinski, Robert; Rex, Markus; Rinke, Annette; Sokolova, Julia; Sommerfeld, Anja</t>
  </si>
  <si>
    <t>Arctic sea ice anomalies during the MOSAiC winter 2019/20</t>
  </si>
  <si>
    <t>BARENTS SEA; OCEAN; CIRCULATION; THICKNESS; VARIABILITY; ATMOSPHERE; IMPACT; TEMPERATURE; FUTURE</t>
  </si>
  <si>
    <t>During the winter of 2019/2020, as the Multidisciplinary drifting Observatory for the Study of Arctic Climate (MOSAiC) project started its work, the Arctic Oscillation (AO) experienced some of its largest shifts, ranging from a highly negative index in November 2019 to an extremely positive index during January-February-March (JFM) 2020. The permanent positive AO phase for the 3 months of JFM 2020 was accompanied by a prevailing positive phase of the Arctic Dipole (AD) pattern. Here we analyze the sea ice thickness (SIT) distribution based on CryoSat-2/SMOS satellite-derived data augmented with results from the hind-cast simulation by the fully coupled Regional Arctic System Model (RASM) from November 2019 through March 2020. A notable result of the positive AO phase during JFM 2020 was large SIT anomalies of up to 1.3 m that emerged in the Barents Sea (BS), along the northeastern Canadian coast and in parts of the central Arctic Ocean. These anomalies appear to be driven by nonlinear interactions between thermodynamic and dynamic processes. In particular, in the Barents and Kara seas (BKS), they area result of enhanced ice growth connected with low-temperature anomalies and the consequence of intensified atmospherically driven sea ice transport and deformations (i.e., ice divergence and shear) in this area. The Davies Strait, the east coast of Greenland and the BS regions are characterized by convergence and divergence changes connected with thinner sea ice at the ice borders along with an enhanced impact of atmospheric wind forcing. Low-pressure anomalies that developed over the eastern Arctic during JFM 2020 increased northerly winds from the cold Arctic Ocean to the BS and accelerated the southward drift of the MOSAiC ice floe. The satellite-derived and simulated sea ice velocity anomalies, which compared well during JFM 2020, indicate a strong acceleration of the Transpolar Drift relative to the mean for the past decade, with intensified speeds of up to 6 km d(-1). As a consequence, sea ice transport and deformations driven by atmospheric surface wind forcing accounted for the bulk of the SIT anomalies, especially in January 2020 and February 2020. RASM intra-annual ensemble forecast simulations with 30 ensemble members forced with different atmospheric boundary conditions from 1 November 2019 through 30 April 2020 show a pronounced internal variability in the sea ice volume, driven by thermodynamic ice-growth and ice-melt processes and the impact of dynamic surface winds on sea ice formation and deformation. A comparison of the respective SIT distributions and turbulent heat fluxes during the positive AO phase in JFM 2020 and the negative AO phase in JFM 2010 corroborates the conclusion that winter sea ice conditions in the Arctic Ocean can be significantly altered by AO variability.</t>
  </si>
  <si>
    <t>[Dethloff, Klaus; Handorf, Doerthe; Rex, Markus; Rinke, Annette; Sommerfeld, Anja] Alfred Wegener Inst, Helmholtz Ctr Polar &amp; Marine Res, Telegrafenberg A45, D-14473 Potsdam, Germany; [Maslowski, Wieslaw; Lee, Younjoo J.; Kinney, Jaclyn Clement] Naval Postgrad Sch, Grad Sch Engn &amp; Appl Sci, Dept Oceanog, Monterey, CA 93943 USA; [Hendricks, Stefan; Goessling, Helge F.; Krumpen, Thomas; Haas, Christian; Ricker, Robert] Alfred Wegener Inst, Helmholtz Ctr Polar &amp; Marine Res, Handelshafen 12, D-27570 Bremerhaven, Germany; [Bessonov, Vladimir; Sokolova, Julia] Arctic &amp; Antarctic Res Inst, Ctr Ice &amp; Hydrometeorol Informat, Bering St 38, St Petersburg, Russia; [Cassano, John J.] Univ Colorado, Cooperat Inst Res Environm Sci, Natl Snow &amp; Ice Data Ctr, Boulder, CO 80309 USA; [Cassano, John J.] Univ Colorado, Dept Atmospher &amp; Ocean Sci, Boulder, CO 80309 USA; [Osinski, Robert] Polish Acad Sci, Inst Oceanol, PL-81712 Sopot, Poland</t>
  </si>
  <si>
    <t>Helmholtz Association; Alfred Wegener Institute, Helmholtz Centre for Polar &amp; Marine Research; United States Department of Defense; United States Navy; Naval Postgraduate School; Helmholtz Association; Alfred Wegener Institute, Helmholtz Centre for Polar &amp; Marine Research; Arctic &amp; Antarctic Research Institute; University of Colorado System; University of Colorado Boulder; University of Colorado System; University of Colorado Boulder; Polish Academy of Sciences; Institute of Oceanology of the Polish Academy of Sciences</t>
  </si>
  <si>
    <t>Dethloff, K (corresponding author), Alfred Wegener Inst, Helmholtz Ctr Polar &amp; Marine Res, Telegrafenberg A45, D-14473 Potsdam, Germany.;Maslowski, W (corresponding author), Naval Postgrad Sch, Grad Sch Engn &amp; Appl Sci, Dept Oceanog, Monterey, CA 93943 USA.</t>
  </si>
  <si>
    <t>klaus.dethloff@awi.de; maslowsk@nps.edu</t>
  </si>
  <si>
    <t>Hendricks, Stefan/D-5168-2011; Rex, Markus/A-6054-2009; Krumpen, Thomas/D-5163-2011; Cassano, John/HKW-8817-2023; amplification, ³ - Arctic/AAU-6640-2020; Haas, Christian/L-5279-2016; Ricker, Robert/Z-4214-2019; Clement Kinney, Jaclyn/JXN-0468-2024; Rinke, Annette/B-4922-2014; Handorf, Dorthe/T-1789-2017</t>
  </si>
  <si>
    <t>Hendricks, Stefan/0000-0002-1412-3146; Rex, Markus/0000-0001-7847-8221; Krumpen, Thomas/0000-0001-6234-8756; Haas, Christian/0000-0002-7674-3500; Ricker, Robert/0000-0001-6928-7757; Maslowski, Wieslaw/0000-0002-5790-9229; Rinke, Annette/0000-0002-6685-9219; Goessling, Helge/0000-0001-9018-1383; Osinski, Robert/0000-0001-8698-0799; Handorf, Dorthe/0000-0002-3305-6882</t>
  </si>
  <si>
    <t>10.5194/tc-16-981-2022</t>
  </si>
  <si>
    <t>ZW4TR</t>
  </si>
  <si>
    <t>WOS:000771207900001</t>
  </si>
  <si>
    <t>Larsson, ME; Bramucci, AR; Collins, S; Hallegraeff, G; Kahlke, T; Raina, JB; Seymour, JR; Doblin, MA</t>
  </si>
  <si>
    <t>Larsson, Michaela E.; Bramucci, Anna R.; Collins, Sinead; Hallegraeff, Gustaaf; Kahlke, Tim; Raina, Jean-Baptiste; Seymour, Justin R.; Doblin, Martina A.</t>
  </si>
  <si>
    <t>Mucospheres produced by a mixotrophic protist impact ocean carbon cycling</t>
  </si>
  <si>
    <t>ALEXANDRIUM DINOPHYCEAE; MUCUS TRAP; PHYLOGENY; PARTICLES; CULTURE; PREY; MORPHOLOGY; INFERENCE; SHELLFISH; DYNAMICS</t>
  </si>
  <si>
    <t>Marine microbes govern ocean productivity and biogeochemistry, regulating global climate. Here the authors describe the sophisticated feeding strategy of a mixotrophic dinoflagellate and show how its behaviour impacts the vertical flux of carbon. Mixotrophic protists (unicellular eukaryotes) that engage in both phototrophy (photosynthesis) and phago-heterotrophy (engulfment of particles)-are predicted to contribute substantially to energy fluxes and marine biogeochemical cycles. However, their impact remains largely unquantified. Here we describe the sophisticated foraging strategy of a widespread mixotrophic dinoflagellate, involving the production of carbon-rich 'mucospheres' that attract, capture, and immobilise microbial prey facilitating their consumption. We provide a detailed characterisation of this previously undescribed behaviour and reveal that it represents an overlooked, yet quantitatively significant mechanism for oceanic carbon fluxes. Following feeding, the mucospheres laden with surplus prey are discarded and sink, contributing an estimated 0.17-1.24 mg m(-2) d(-1) of particulate organic carbon, or 0.02-0.15 Gt to the biological pump annually, which represents 0.1-0.7% of the estimated total export from the euphotic zone. These findings demonstrate how the complex foraging behaviour of a single species of mixotrophic protist can disproportionally contribute to the vertical flux of carbon in the ocean.</t>
  </si>
  <si>
    <t>[Larsson, Michaela E.; Bramucci, Anna R.; Kahlke, Tim; Raina, Jean-Baptiste; Seymour, Justin R.; Doblin, Martina A.] Univ Technol Sydney, Climate Change Cluster C3, POB 123, Broadway, NSW 2007, Australia; [Collins, Sinead] Univ Edinburgh, Sch Biol Sci, Inst Evolutionary Biol, Edinburgh, Midlothian, Scotland; [Hallegraeff, Gustaaf] Univ Tasmania, Inst Marine &amp; Antarctic Studies, Private Bag 129, Hobart, Tas 7001, Australia; [Doblin, Martina A.] Sydney Inst Marine Sci, Mosman, NSW 2088, Australia</t>
  </si>
  <si>
    <t>University of Technology Sydney; University of Edinburgh; University of Tasmania; Sydney Institute of Marine Science</t>
  </si>
  <si>
    <t>Larsson, ME (corresponding author), Univ Technol Sydney, Climate Change Cluster C3, POB 123, Broadway, NSW 2007, Australia.</t>
  </si>
  <si>
    <t>Michaela.Larsson@uts.edu.au</t>
  </si>
  <si>
    <t>Raina, Jean-Baptiste/I-1072-2016; Kahlke, Tim/P-1065-2017; Doblin, Martina/E-8719-2013; Larsson, Michaela E./A-7807-2017</t>
  </si>
  <si>
    <t>Raina, Jean-Baptiste/0000-0002-7508-0004; Doblin, Martina/0000-0001-8750-3433; Larsson, Michaela E./0000-0003-4310-4582</t>
  </si>
  <si>
    <t>Australian Research Council (ARC) [DP180100054, DP180100838]</t>
  </si>
  <si>
    <t>Australian Research Council (ARC)(Australian Research Council)</t>
  </si>
  <si>
    <t>The authors wish to acknowledge the Tara Oceans Consortium, The Scientific Committee on Oceanic Research (SCOR) and its Joint Global Ocean Flux Study (JGOFs), the Continuous Plankton Recorder (CPR) Survey, and Australia's Integrated Marine Observing System (IMOS) who are an unincorporated joint venture between institutions led by the University of Tasmania, enabled by the National Collaborative Research Infrastructure Strategy (NCRIS), for access to data. The Microscope Imaging Facility at the i3 Institute in the Faculty of Science at the University of Technology Sydney for expertise and access to equipment. Also thanked are Dr Matthew Johnson for advice on growing mixotrophic Prorocentrum, Lucia Bennar for maintaining microalgal cultures for the prey selection experiment, Kelly King for assistance in the laboratory, Dr Helen Price for support with carbon analysis and calculations, the Cawthron Institute, and Dr Tim Harwood, Joshua Fitzgerald and Sam Murray for toxin analysis, Glynn Gorick for the production of Fig. 4., and Dr Aditee Mitra and Professor Kevin Flynn for inspiration. This research was funded by Australian Research Council (ARC) Discovery Projects DP180100054 (M.A.D. and S.C.) and DP180100838 (J.R.S. and J.-B.R.).</t>
  </si>
  <si>
    <t>10.1038/s41467-022-28867-8</t>
  </si>
  <si>
    <t>ZT3MO</t>
  </si>
  <si>
    <t>WOS:000769063600007</t>
  </si>
  <si>
    <t>van Leeuwe, MA; Fenton, M; Davey, E; Rintala, JM; Jones, EM; Meredith, MP; Stefels, J</t>
  </si>
  <si>
    <t>van Leeuwe, Maria A.; Fenton, Mairi; Davey, Emily; Rintala, Janne-Markus; Jones, Elizabeth M.; Meredith, Michael P.; Stefels, Jacqueline</t>
  </si>
  <si>
    <t>On the phenology and seeding potential of sea-ice microalgal species</t>
  </si>
  <si>
    <t>Biogeochemistry; Haptophytes; Phenology; Pigments; Sea ice; Seeding</t>
  </si>
  <si>
    <t>PHOTOSYNTHESIS-IRRADIANCE RELATIONSHIPS; WEST ANTARCTIC PENINSULA; WEDDELL SEA; PACK ICE; ALGAL ASSEMBLAGES; MARGUERITE BAY; SOUTHERN-OCEAN; ROSS SEA; PHYTOPLANKTON; DYNAMICS</t>
  </si>
  <si>
    <t>Sea ice is an important habitat for a wide variety of microalgal species. Depending on the species composition, sea ice can be a seeding source for pelagic phytoplankton blooms after ice melt in spring. Sea-ice algal communities were studied over 2 full winter seasons in 2014 and 2016 at Rothera Research Station, situated at the Western Antarctic Peninsula (WAP). Algal pigment patterns and microscopic observations were combined with photophysiological studies based on fluorescence analyses to monitor and explain the phenology of ice-algal species. Clear patterns in species succession were identified. Young sea ice contained a mixture of algal species including dinoflagellates, cryptophytes and diatoms like Chaetoceros spp. and Fragillariopsis spp. In winter, severe environmental conditions resulted in a decline in species diversity and selection towards heterotrophy. Pennate diatoms like Amphiprora kufferathii and Berkeleya adeliensis were the first to dominate the nutrient-enriched bottom-ice layers in early spring. The bottom communities exhibited a remarkably stable value for the photoadaptation parameter, E-k, of circa 25 mu mol photons m(-2) s(-1), Whereas pennate diatoms were most abundant in spring ice, the initial seeding event linked to ice melt was associated with flagellate species. Haptophyte species like Phaeocystis antarctica and prymnesiophytes like Pyramimonas spp. best sustained the transition from sea ice to seawater. Comparison with previous studies shows that the seeding patterns observed in Ryder Bay were characteristic over the wider sea-ice domain, Arctic and Antarctic. Over the course of this century, the WAP is predicted to experience continuing thinning and decline in sea-ice cover. For the near future, we expect that especially microalgal communities of haptophytes and chlorophytes will benefit from the changes, with yet unknown implications for carbon fluxes and higher trophic levels.</t>
  </si>
  <si>
    <t>[van Leeuwe, Maria A.; Stefels, Jacqueline] Univ Groningen RUG, Groningen Inst Evolutionary Life Sci GELifeS, Groningen, Netherlands; [Fenton, Mairi] Heriot Watt Univ, Edinburgh Campus, Edinburgh, Midlothian, Scotland; [Davey, Emily] Bermuda Inst Ocean Sci, St Georges, Bermuda; [Rintala, Janne-Markus] Univ Helsinki, Fac Agr &amp; Forestry, INAR Inst Atmospher &amp; Earth Syst Res, Helsinki, Finland; [Jones, Elizabeth M.] Fram Ctr, Inst Marine Res, Tromso, Norway; [Meredith, Michael P.] British Antarctic Survey, Cambridge, England</t>
  </si>
  <si>
    <t>University of Groningen; Heriot Watt University; Bermuda Institute of Ocean Sciences; University of Helsinki; Institute of Marine Research - Norway; UK Research &amp; Innovation (UKRI); Natural Environment Research Council (NERC); NERC British Antarctic Survey</t>
  </si>
  <si>
    <t>van Leeuwe, MA (corresponding author), Univ Groningen RUG, Groningen Inst Evolutionary Life Sci GELifeS, Groningen, Netherlands.</t>
  </si>
  <si>
    <t>m.a.van.leeuwe@rug.nl</t>
  </si>
  <si>
    <t>Fenton, Mairi/0000-0002-9404-1107; Rintala, Janne-Markus/0000-0002-3514-6582</t>
  </si>
  <si>
    <t>Netherlands Organisation for Scientific Research (NWO) under the Polar Program (NPP) [866.10.101, 866.14.101]; UK Natural Environment Research Council under NCSS; NPP project [866.13.006]</t>
  </si>
  <si>
    <t>Netherlands Organisation for Scientific Research (NWO) under the Polar Program (NPP)(Netherlands Organization for Scientific Research (NWO)); UK Natural Environment Research Council under NCSS; NPP project</t>
  </si>
  <si>
    <t>Funding for this study (MvL, JS) was provided by the Netherlands Organisation for Scientific Research (NWO) under the Polar Program (NPP) Project Numbers 866.10.101 and 866.14.101. The participation of MM was funded by the UK Natural Environment Research Council under NCSS support for the Rothera Time Series. This work was part of postdoctoral research (EMJ) at the University of Groningen (partly) funded by the NPP project 866.13.006.</t>
  </si>
  <si>
    <t>10.1525/elementa.2021.00029</t>
  </si>
  <si>
    <t>ZT8WQ</t>
  </si>
  <si>
    <t>WOS:000769431100001</t>
  </si>
  <si>
    <t>Zhang, XL; Ojha, S; Köhl, A; Haak, H; Jungclaus, JH; Stammer, D</t>
  </si>
  <si>
    <t>Zhang, Xiaolin; Ojha, Sayantani; Koehl, Armin; Haak, Helmuth; Jungclaus, Johann H.; Stammer, Detlef</t>
  </si>
  <si>
    <t>Sea level changes mechanisms in the MPI-ESM under FAFMIP forcing conditions</t>
  </si>
  <si>
    <t>Climate change; Sea level; Ocean dynamic; Climate modeling</t>
  </si>
  <si>
    <t>ANTARCTIC CIRCUMPOLAR CURRENT; VARIABILITY; TRANSPORT; SYSTEM</t>
  </si>
  <si>
    <t>Mechanistic causes for sea level (SL) change patterns are analyzed as they emerge from the Coupled Model Intercomparison Project Phase 6 (CMIP6) endorsed Flux-Anomaly-Forced Model Intercomparison Project (FAFMIP) coupled climate experiments imposing individual forcing anomalies in wind stress, heatflux and freshwater flux to the Max-Planck-Institute Earth System Model (MPI-ESM). It appears that the heat flux perturbations have the largest effect on the sea level. In contrast, the direct impact of momentum and freshwater flux anomalies on SL anomalies appear to be limited to some region e.g. the Southern Ocean, Arctic Ocean and to some extent the North Pacific and North Atlantic Ocean. We find that thermosteric changes dominate the total SL change over large parts of the global ocean, except north of 60 degrees N where halosteric changes prevail. An analysis of added and redistributed components of heat and freshwater further suggests that the added component dominates the thermosteric SL and the redistributed component dominates the halosteric SL. Due to feedback processes a superposition of all forcing components together leads to the simulated sea level changes in each individual experiment. As a result, large surface heat flux anomalies over the Atlantic lead to wind stress change outside of the Atlantic through teleconnections, which in turn appear to be the primary driving agent for changes of sea level outside of the Atlantic in all three experiments. The associated wind driven Sverdrup stream function implicates that outside of the Atlantic most of the feedback can be explained by changes in the Sverdrup circulation.</t>
  </si>
  <si>
    <t>[Zhang, Xiaolin; Ojha, Sayantani; Koehl, Armin; Stammer, Detlef] Univ Hamburg, Inst Meereskunde, CEN, Hamburg, Germany; [Haak, Helmuth; Jungclaus, Johann H.] Max Planck Inst Meteorol, Hamburg, Germany; [Zhang, Xiaolin] Kyushu Univ, Dept Earth &amp; Planetary Sci, Fukuoka, Japan; [Ojha, Sayantani] Indian Inst Space &amp; Technol, Earth &amp; Space Sci, Thiruvananthapuram, Kerala, India</t>
  </si>
  <si>
    <t>University of Hamburg; Max Planck Society; Kyushu University; Department of Space (DoS), Government of India; Indian Institute of Space Science &amp; Technology</t>
  </si>
  <si>
    <t>Köhl, A (corresponding author), Univ Hamburg, Inst Meereskunde, CEN, Hamburg, Germany.</t>
  </si>
  <si>
    <t>armin.koehl@uni-hamburg.de</t>
  </si>
  <si>
    <t>Kohl, Armin/I-9378-2014</t>
  </si>
  <si>
    <t>Kohl, Armin/0000-0002-9777-674X; Zhang, Xiaolin/0000-0002-8810-8993; Ojha, Sayantani/0009-0002-2171-2683</t>
  </si>
  <si>
    <t>Projekt DEAL; national DFG SPP 1889 effort on regional sea level changes and coastal impacts</t>
  </si>
  <si>
    <t>Projekt DEAL; national DFG SPP 1889 effort on regional sea level changes and coastal impacts(German Research Foundation (DFG))</t>
  </si>
  <si>
    <t>Open Access funding enabled and organized by Projekt DEAL. Funded in part through a project of the national DFG SPP 1889 effort on regional sea level changes and coastal impacts.</t>
  </si>
  <si>
    <t>9-10</t>
  </si>
  <si>
    <t>10.1007/s00382-022-06231-2</t>
  </si>
  <si>
    <t>4Z8VA</t>
  </si>
  <si>
    <t>WOS:000768668900001</t>
  </si>
  <si>
    <t>Individual consistency in migration strategies of a tropical seabird, the Round Island petrel</t>
  </si>
  <si>
    <t>Annual cycle; Geolocator; Flexibility; Individual variation; Non-breeding period; Pterodroma; Repeatability</t>
  </si>
  <si>
    <t>DISTANCE; BEHAVIOR; REPEATABILITY; HABITAT; PACKAGE</t>
  </si>
  <si>
    <t>Background In migratory species, the extent of within- and between-individual variation in migratory strategies can influence potential rates and directions of responses to environmental changes. Quantifying this variation requires tracking of many individuals on repeated migratory journeys. At temperate and higher latitudes, low levels of within-individual variation in migratory behaviours are common and may reflect repeated use of predictable resources in these seasonally-structured environments. However, variation in migratory behaviours in the tropics, where seasonal predictability of food resources can be weaker, remains largely unknown. Methods Round Island petrels (Pterodroma sp.) are tropical, pelagic seabirds that breed all year round and perform long-distance migrations. Using multi-year geolocator tracking data from 62 individuals between 2009 and 2018, we quantify levels of within- and between-individual variation in non-breeding distributions and timings. Results We found striking levels of between-individual variation in at-sea movements and timings, with non-breeding migrations to different areas occurring across much of the Indian Ocean and throughout the whole year. Despite this, repeat-tracking of individual petrels revealed remarkably high levels of spatial and temporal consistency in within-individual migratory behaviour, particularly for petrels that departed at similar times in different years and for those departing in the austral summer. However, while the same areas were used by individuals in different years, they were not necessarily used at the same times during the non-breeding period. Conclusions Even in tropical systems with huge ranges of migratory routes and timings, our results suggest benefits of consistency in individual migratory behaviours. Identifying the factors that drive and maintain between-individual variation in migratory behaviour, and the consequences for breeding success and survival, will be key to understanding the consequences of environmental change across migratory ranges.</t>
  </si>
  <si>
    <t>[Franklin, Kirsty A.; Gill, Jennifer A.; Butler, Simon J.] Univ East Anglia, Sch Biol Sci, Norwich Res Pk, Norwich, Norfolk, England; [Franklin, Kirsty A.; Nicoll, Malcolm A. C.] Zool Soc London, Inst Zool, Regents Pk, London, England; [Norris, Ken] Nat Hist Museum, Cromwell Rd, London, England; [Ratcliffe, Norman; Bonnet-Lebrun, Anne-Sophie] British Antarctic Survey, Madingley Rd, Cambridge, England; [Cole, Nik C.; Jones, Carl G.] Durrell Wildlife Conservat Trust, Trinity, Jersey, England; [Cole, Nik C.; Jones, Carl G.; Tatayah, Vikash] Mauritian Wildlife Fdn, Grannum Rd, Vacoas, Mauritius; [Lisovski, Simeon] Alfred Wegener Inst, Helmholtz Ctr Polar &amp; Marine Res, Potsdam, Germany; [Ruhomaun, Kevin] Govt Mauritius, Natl Pk &amp; Conservat Serv, Reduit, Mauritius</t>
  </si>
  <si>
    <t>Franklin, KA (corresponding author), Univ East Anglia, Sch Biol Sci, Norwich Res Pk, Norwich, Norfolk, England.;Franklin, KA (corresponding author), Zool Soc London, Inst Zool, Regents Pk, London, England.</t>
  </si>
  <si>
    <t>kirsty.frankln@uea.ac.uk</t>
  </si>
  <si>
    <t>Franklin, Kirsty Ann/KBB-2532-2024; Bonnet-Lebrun, Anne-Sophie/GYU-2977-2022; Butler, Simon/H-1703-2011</t>
  </si>
  <si>
    <t>Bonnet-Lebrun, Anne-Sophie/0000-0002-7587-615X; Franklin, Kirsty/0000-0001-5004-9740; Butler, Simon/0000-0002-5111-5639; Lisovski, Simeon/0000-0002-6399-0035</t>
  </si>
  <si>
    <t>John and Pat Warham PhD studentship from the British Ornithologists' Union (BOU); Natural Environmental Research Council (NERC; UK) [NE/H5081500]; Research England; NERC [NE/M012549/1]</t>
  </si>
  <si>
    <t>John and Pat Warham PhD studentship from the British Ornithologists' Union (BOU); Natural Environmental Research Council (NERC; UK)(UK Research &amp; Innovation (UKRI)Natural Environment Research Council (NERC)); Research England(UK Research &amp; Innovation (UKRI)); NERC(UK Research &amp; Innovation (UKRI)Natural Environment Research Council (NERC))</t>
  </si>
  <si>
    <t>KAF was funded by a John and Pat Warham PhD studentship from the British Ornithologists' Union (BOU). The petrel tracking programme was supported by the Natural Environmental Research Council (NERC; UK) (Grant NE/H5081500) and Research England. JAG was also supported by NERC (Grant NE/M012549/1).</t>
  </si>
  <si>
    <t>10.1186/s40462-022-00311-y</t>
  </si>
  <si>
    <t>ZT0CE</t>
  </si>
  <si>
    <t>WOS:000768824400001</t>
  </si>
  <si>
    <t>Rodrigues, S; Hernández-Molina, FJ; Hillenbrand, CD; Lucchi, RG; Rodríguez-Tovar, FJ; Rebesco, M; Larter, RD</t>
  </si>
  <si>
    <t>Rodrigues, Sara; Hernandez-Molina, Francisco Javier; Hillenbrand, Claus-Dieter; Lucchi, Renata G.; Rodriguez-Tovar, Francisco J.; Rebesco, Michele; Larter, Robert D.</t>
  </si>
  <si>
    <t>Recognizing key sedimentary facies and their distribution in mixed turbidite-contourite depositional systems: The case of the Pacific margin of the Antarctic Peninsula</t>
  </si>
  <si>
    <t>Antarctic Peninsula; contourite; Late Quaternary; mixed and hybrid systems; sediment cores; turbidite</t>
  </si>
  <si>
    <t>CONTINENTAL RISE WEST; RIVER MOUTH BASIN; ICE-SHEET; WATER MASSES; SOUTHERN-OCEAN; SORTABLE SILT; WILKES LAND; ICHNOLOGICAL ANALYSIS; BOTTOM CURRENTS; IMAGE TREATMENT</t>
  </si>
  <si>
    <t>Interplay of deep-water sedimentary processes is responsible for building a myriad of features and deposits across mixed turbidite-contourite systems, from 200 km long sedimentary drifts. Investigations of the spatial and temporal variability of their sedimentary facies and facies associations is crucial to reveal the dynamics between along-slope bottom currents and down-slope turbidity currents, as well as their impact on drift construction and channel erosion. This study focuses on extensive modern mixed (turbidite-contourite) systems, developed across the continental rise of the Pacific margin of the Antarctic Peninsula. Nine sediment cores were sampled and analysed, through grain size and geochemical methods, to study the sedimentary facies at high-resolution (ca 1 to 20 cm). Three main facies associations have been identified across distinct morphological features (i.e. mounded drifts and trunk channels), comprising intercalations of hemipelagites, bottom current reworked sands (which include fine to coarse-grained contourites) and gravitational facies (turbidites and mass-transport deposits). These facies associations reflect fluctuations of the background sedimentation, oscillations of the bottom-current velocity and of the frequency of gravity-driven currents. The sedimentary record features cyclic alternations during the Late Quaternary (&gt;99 kyr), suggesting that variations between along-slope bottom currents and down-slope turbidity currents are strongly linked to glacial-interglacial cycles during Marine Isotope Stages 1 to 6. Sedimentary records affected by bottom currents on polar margins, such as those of the Antarctic Peninsula, are essential to decipher the facies and facies sequences of bottom-current deposits, as the low degree of bioturbation throughout most of the sediments allows us to observe the original sedimentary structures, which are poorly preserved in similar deposits from other continental margins.</t>
  </si>
  <si>
    <t>[Rodrigues, Sara; Hernandez-Molina, Francisco Javier] Royal Holloway Univ London, Dept Earth Sci, Egham TW20 0EX, Surrey, England; [Hillenbrand, Claus-Dieter; Larter, Robert D.] British Antarctic Survey, High Cross Madingley Rd, Cambridge CB3 0ET, England; [Lucchi, Renata G.; Rebesco, Michele] Ist Nazl Oceanog &amp; Geofis Sperimentale, 42-C, I-34010 Trieste, Italy; [Lucchi, Renata G.] UiT Arctic Univ Norway, Arctic Gas Hydrate Environm &amp; Climate, Nat Fagbygget Dramsveien 201, N-9010 Tromso, Norway; [Rodriguez-Tovar, Francisco J.] Univ Granada, Dept Estratig &amp; Paleontol, Granada 18002, Spain</t>
  </si>
  <si>
    <t>University of London; Royal Holloway University London; UK Research &amp; Innovation (UKRI); Natural Environment Research Council (NERC); NERC British Antarctic Survey; Istituto Nazionale di Oceanografia e di Geofisica Sperimentale; UiT The Arctic University of Tromso; University of Granada</t>
  </si>
  <si>
    <t>Rodrigues, Sara/IWD-9868-2023; Rebesco, Michele/B-7462-2014; Rodrigues, Sara/ABG-5049-2021; Rodrigues, Sara/KCY-5884-2024</t>
  </si>
  <si>
    <t>Rodrigues, Sara/0000-0002-4806-8480; Rebesco, Michele/0000-0002-9492-4081; Rodrigues, Sara/0000-0002-4806-8480; Lucchi, Renata Giulia/0000-0001-5111-6968</t>
  </si>
  <si>
    <t>Joint Industry Project (JIP) - BP (United Kingdom); ENI (Italy); TOTAL (France); ExxonMobil (United States); Wintershall Dea (Germany); TGS (United Kingdom); TASDRACC Project [CTM2017-89711-C2-01-P, CTM2017-89711-C2-02-P]; NERC UK-IODP Site Survey Investigation [NE/JOO6548/1]; Polar Science for Planet Earth' programme of the British Antarctic Survey; Secretaria de Estado de I + D+I, Spain [PID2019-104625RB-100]; FEDER Andalucia [B-RNM-072-UGR18]; Junta de Andalucia [P18-RT-4074]; PNRA Project [16_00205]</t>
  </si>
  <si>
    <t>Joint Industry Project (JIP) - BP (United Kingdom); ENI (Italy); TOTAL (France)(Total SA); ExxonMobil (United States)(Exxon Mobil Corporation); Wintershall Dea (Germany); TGS (United Kingdom); TASDRACC Project; NERC UK-IODP Site Survey Investigation; Polar Science for Planet Earth' programme of the British Antarctic Survey; Secretaria de Estado de I + D+I, Spain(Spanish Government); FEDER Andalucia; Junta de Andalucia(Junta de Andalucia); PNRA Project</t>
  </si>
  <si>
    <t>This project was funded through the Joint Industry Project (JIP) supported by BP (United Kingdom), ENI (Italy), TOTAL (France), ExxonMobil (United States), Wintershall Dea (Germany), and TGS (United Kingdom) within the framework of `The Drifters' Research Group at Royal Holloway, University of London (RHUL), and it is related to the TASDRACC Project CTM2017-89711-C2-01-P &amp; CTM2017-89711-C2-02-P. Research by R. Larter and C.-D. Hillenbrand was funded through NERC UK-IODP Site Survey Investigation grant NE/JOO6548/1 and the `Polar Science for Planet Earth' programme of the British Antarctic Survey. Research by F. Rodriguez-Tovar was funded by Project PID2019-104625RB-100 (Secretaria de Estado de I + D+I, Spain), B-RNM-072-UGR18 (FEDER Andaluci ' a), and P18-RT-4074 (Junta de Andaluci ' a). Research by R.G. Lucchi and M. Rebesco was funded by the PNRA Project 16_00205 (ODYSSEA). This research used samples and data collected through the PNRA SEDANO-II Project and the NERC UK-IODP Site Survey Investigation expedition JR298. We would like to thank Stefano Miserochi for his assistance with the XRF analyses at the CNR-ISMAR in Bologna (Italy), Ester Colliza for her assistance with the handling of the SEDANO-II cores handling at the Sorting Centre of the National Antarctic Museum in Trieste (Italy), Dr Emmanuelle Ducassou and Dr Marie-Claire Perello (Univ. Bordeaux, France) for conducting the grain size measurements, and Prof. Nick McCave (Univ. Cambridge, UK) for his help in calculating and understanding the sortable silt method. We also thank the captain, officers, crew, support staff and scientists who participated in the research cruises that provided data for this study. Finally, we thank the Editor and two reviewers for their positive and useful suggestions which helped us improve this manuscript.</t>
  </si>
  <si>
    <t>10.1111/sed.12978</t>
  </si>
  <si>
    <t>1J6RC</t>
  </si>
  <si>
    <t>WOS:000768455300001</t>
  </si>
  <si>
    <t>Alexander, KA; Marx, K; Hunt, L; Zhang, MZ</t>
  </si>
  <si>
    <t>Alexander, Karen A.; Marx, Katie; Hunt, Linda; Zhang, Mengzhu</t>
  </si>
  <si>
    <t>Antarctic representation in print media during the emergence of COVID-19</t>
  </si>
  <si>
    <t>coronavirus; imaginary; newspapers; stewardship</t>
  </si>
  <si>
    <t>Like every other continent in the world, Antarctica has been affected by the COVID-19 pandemic, in an imagined as well as a practical sense. Antarctica is a mediated experience; that is, most of us experience the place through films, novels, music, visual arts and the media. We present an analysis of media articles from eight countries over three time periods - pre-COVID-19 outbreak (October-December 2019), shortly after the pandemic hit the headlines (March-May 2020) and when the virus was established (October-December 2020) - to discover how COVID-19 may have changed Antarctic discourse. Our study shows that representations of Antarctica have been affected by the pandemic, in some instances reinforcing existing ideas and in other cases bringing new ideas to the fore. Based on our findings, we believe that COVID-19 has begun to change representations of Antarctica, stepping us away from the prevailing Antarctic hero narrative and providing a more contemporary understanding of the Antarctic experience. We argue that this may increase our motivation to engage with Antarctic issues, with associated implications for future global stewardship of the region.</t>
  </si>
  <si>
    <t>[Alexander, Karen A.; Marx, Katie; Hunt, Linda; Zhang, Mengzhu] Univ Tasmania, Ctr Marine Socioecol, Hobart, Tas 7001, Australia; [Alexander, Karen A.; Zhang, Mengzhu] Univ Tasmania, Inst Marine &amp; Antarctic Studies, Private Bag 49, Hobart, Tas 7000, Australia; [Marx, Katie] Univ Tasmania Hobart, Sch Humanities, Hobart, Tas 7001, Australia; [Hunt, Linda] Univ Tasmania, Sch Creat Arts &amp; Media, Hobart, Tas 7001, Australia</t>
  </si>
  <si>
    <t>University of Tasmania; University of Tasmania; University of Tasmania; University of Tasmania</t>
  </si>
  <si>
    <t>Alexander, KA (corresponding author), Univ Tasmania, Ctr Marine Socioecol, Hobart, Tas 7001, Australia.;Alexander, KA (corresponding author), Univ Tasmania, Inst Marine &amp; Antarctic Studies, Private Bag 49, Hobart, Tas 7000, Australia.</t>
  </si>
  <si>
    <t>karen.alexander@utas.edu.au</t>
  </si>
  <si>
    <t>; Alexander, Karen/O-7042-2017</t>
  </si>
  <si>
    <t>Hunt, Linda/0000-0002-8122-5409; Alexander, Karen/0000-0001-8801-413X; Zhang, Mengzhu/0000-0003-2710-8532</t>
  </si>
  <si>
    <t>PII S0954102022000049</t>
  </si>
  <si>
    <t>10.1017/S0954102022000049</t>
  </si>
  <si>
    <t>WOS:000768584300001</t>
  </si>
  <si>
    <t>Gray, LJ; Lu, H; Brown, MJ; Knight, JR; Andrews, MB</t>
  </si>
  <si>
    <t>Gray, Lesley J.; Lu, Hua; Brown, Matthew J.; Knight, Jeff R.; Andrews, Martin B.</t>
  </si>
  <si>
    <t>Mechanisms of influence of the Semi-Annual Oscillation on stratospheric sudden warmings</t>
  </si>
  <si>
    <t>1. tools and methods: dynamic/processes, general circulation model experiments; 2. scale: global, seasonal; 3. physical phenomenon: dynamics; 4. geophysical sphere: atmosphere, stratosphere, teleconnections (AO, NAO, ENSO, SSW)</t>
  </si>
  <si>
    <t>QUASI-BIENNIAL OSCILLATION; ROSSBY-WAVE BREAKING; MEAN-FLOW INTERACTION; ELIASSEN-PALM FLUX; MIDDLE ATMOSPHERE; 2-DAY WAVE; INTERANNUAL VARIABILITY; BAROCLINIC INSTABILITY; GRAVITY-WAVES; POLAR VORTEX</t>
  </si>
  <si>
    <t>The influence of the Semi-Annual Oscillation (SAO) on the timing and evolution of major sudden stratospheric warmings (SSWs) is examined using the 2008/2009 SSW as the primary case-study. When the zonal winds in both the troposphere and the SAO region of the equatorial upper stratosphere/lower mesosphere are relaxed towards reanalysis fields in the UK Met Office Unified Model, a remarkably accurate representation of the January 2009 SSW is achieved. The accurate timing of the SSW is determined by the SAO zonal wind relaxation. The westerly-to-easterly phase transition of the SAO in the lower mesosphere (0.1-0.5 hPa) is found to be a key factor for this influence. It defines an initial conical-shaped vortex that determines the upward propagation of wave activity and subsequent evolution of wave mean-flow interaction. Internal transient wave reflection in the subtropics and associated wave-induced acceleration of the mean-flow is found to be an important component, strengthening the vortex and thus delaying the onset of the SSW. The sensitivity of SSW timing to the equatorial westerly winds in the lower mesosphere is further explored in the context of all major SSWs during the 1979-2018 period. The timing of SSWs is found to be significantly correlated with the timing of the equinoctial westerly-to-easterly phase transition at 0.3 hPa in early winter (r = 0.79). This relationship is discussed in the context of the more widely recognised influence of the quasi-biennial oscillation (QBO). These results suggest that accurate simulation of the timing of SAO phase transitions, as well as knowledge of the QBO phase, is likely to provide additional and extended Northern Hemisphere wintertime seasonal forecast skill.</t>
  </si>
  <si>
    <t>[Gray, Lesley J.] Natl Ctr Atmospher Sci NCAS, Dept Phys, Oxford, England; [Lu, Hua] British Antarctic Survey, Cambridge, England; [Brown, Matthew J.] Univ Oxford, Dept Phys, Oxford, England; [Knight, Jeff R.; Andrews, Martin B.] Met Off Hadley Ctr, Exeter, Devon, England</t>
  </si>
  <si>
    <t>UK Research &amp; Innovation (UKRI); Natural Environment Research Council (NERC); NERC British Antarctic Survey; University of Oxford; Met Office - UK; Hadley Centre</t>
  </si>
  <si>
    <t>Gray, LJ (corresponding author), Natl Ctr Atmospher Sci NCAS, Dept Phys, Oxford, England.</t>
  </si>
  <si>
    <t>gray@atm.ox.ac.uk</t>
  </si>
  <si>
    <t>Gray, Lesley J/D-3610-2009; Lu, Hua/GXA-0276-2022; Brown, Matthew/P-5483-2017</t>
  </si>
  <si>
    <t>Lu, Hua/0000-0001-9485-5082; Knight, Jeff/0000-0003-1868-0852; Brown, Matthew/0000-0003-1127-0279; Gray, Lesley/0000-0002-7803-9277; Andrews, Martin/0000-0003-3145-2264</t>
  </si>
  <si>
    <t>NERC ACSIS project [NE/N018028/1, NE/N018001/1]; Department for Business, Energy and Industrial Strategy, UK Government; Natural Environment Research Council; UK Government Department of Business, Energy and Industrial Strategy and Department of Environment, Food and Rural Affairs; Oxford University NERC; British Antarctic Survey; NERC [NE/N010965/1, NE/V013130/1, NE/N018001/1, NE/N018028/1, NE/P006779/1] Funding Source: UKRI</t>
  </si>
  <si>
    <t>NERC ACSIS project; Department for Business, Energy and Industrial Strategy, UK Government; Natural Environment Research Council(UK Research &amp; Innovation (UKRI)Natural Environment Research Council (NERC)); UK Government Department of Business, Energy and Industrial Strategy and Department of Environment, Food and Rural Affairs; Oxford University NERC; British Antarctic Survey; NERC(UK Research &amp; Innovation (UKRI)Natural Environment Research Council (NERC))</t>
  </si>
  <si>
    <t>British Antarctic Survey and the NERC ACSIS project, Grant/Award Numbers: NE/N018028/1, NE/N018001/1; Department for Business, Energy and Industrial Strategy, UK Government, Grant/Award Number: Met Office Hadley Centre; Natural Environment Research Council, Grant/Award Numbers: National Centre for Atmospheric Science ACSIS Prog, Oxford University NERC Doctoral Traning Programme; UK Government Department of Business, Energy and Industrial Strategy and Department of Environment, Food and Rural Affairs; Oxford University NERC Doctoral Training Programme</t>
  </si>
  <si>
    <t>10.1002/qj.4256</t>
  </si>
  <si>
    <t>0Y3VY</t>
  </si>
  <si>
    <t>WOS:000767959100001</t>
  </si>
  <si>
    <t>Tang, H; Thierry, NNB; Pandong, AN; Sun, QY; Xu, LX; Hu, FX; Zou, BQ</t>
  </si>
  <si>
    <t>Tang, Hao; Thierry, Nyatchouba Nsangue Bruno; Pandong, Achille Njomoue; Sun, Qiuyang; Xu, Liuxiong; Hu, Fuxiang; Zou, Baiqiang</t>
  </si>
  <si>
    <t>Hydrodynamic and turbulence flow characteristics of fishing nettings made of three twine materials at small attack angles and low Reynolds numbers</t>
  </si>
  <si>
    <t>OCEAN ENGINEERING</t>
  </si>
  <si>
    <t>Netting; Small attack angle; Transitional turbulence k(T) - k(L)- ? model; Hydrodynamic variations; Netting deformation; Turbulent flow</t>
  </si>
  <si>
    <t>NUMERICAL-SIMULATION; CURRENT LOADS; NET PANELS; COEFFICIENTS; DRAG; TRAWL; MODEL</t>
  </si>
  <si>
    <t>The hydrodynamic variation of nettings in fishing applications (e.g., trawl net, purse seine, and fish cage) are centrally important. Their hydrodynamic characteristics and their surrounding flow fields at small attack angles are key because of their operation conditions, especially in flow direction. In this study, a numerical model on the fluid structure interaction in two-way coupling was developed. The developed model is based on the coupling between the porous media model combined with the transitional turbulence k(T)-k(L)-omega model and the nonlinear structural finite element model. The effects of twine diameter, mesh size, and twine material on both the hydrodynamic variation and turbulent flow developing around the flexible netting structure were assessed at small attack angles. The hydrodynamic variations of three types of nettings (i.e., polyethylene, polyamide, and polyester) with different solidity ratios at small attack angles were calculated and compared with experimental flume tank data. The numerical results agreed well with the experimental data with average relative errors of 2.82% and 4.82% for the drag and lift coefficients, respectively. Both the numerical and experimental results indicate that decreasing both solidity ratio and Reynolds number and increasing attack angle increases the drag coefficient and decreases the lift coefficient. In addition, increasing the attack angle, twine diameter, and solidity ratio, and decreasing mesh size enlarges both turbulence region and drag. Netting deformation decreases with increasing attack angle and solidity ratio, while the stress and elastic strain increase with increasing attack angle and decreasing solidity ratio.</t>
  </si>
  <si>
    <t>[Tang, Hao; Thierry, Nyatchouba Nsangue Bruno; Sun, Qiuyang; Xu, Liuxiong; Zou, Baiqiang] Shanghai Ocean Univ, Coll Marine Sci, 999 Huchenghuan Rd, Shanghai 201306, Peoples R China; [Tang, Hao; Xu, Liuxiong] Natl Engn Res Ctr Ocean Fisheries, Shanghai 201306, Peoples R China; [Tang, Hao; Xu, Liuxiong] Minist Agr &amp; Rural Affairs, Key Lab Ocean Fisheries Explorat, Shanghai 201306, Peoples R China; [Tang, Hao; Xu, Liuxiong] Shanghai Ocean Univ, Minist Educ, Key Lab Sustainable Exploitat Ocean Fisheries Res, Shanghai 201306, Peoples R China; [Tang, Hao; Xu, Liuxiong] Minist Agr &amp; Rural Affairs, Sci Observing &amp; Expt Stn Ocean Fishery Resources, Shanghai 201306, Peoples R China; [Pandong, Achille Njomoue] Univ Douala, Natl High Polytech Sch Douala, Lab E3M, Douala, Cameroon; [Hu, Fuxiang] Tokyo Univ Marine Sci &amp; Technol, Fac Marine Sci, Minato Ku, Tokyo 1088477, Japan</t>
  </si>
  <si>
    <t>Shanghai Ocean University; National Engineering Research Center for Oceanic Fisheries; Ministry of Agriculture &amp; Rural Affairs; Shanghai Ocean University; Ministry of Agriculture &amp; Rural Affairs; Tokyo University of Marine Science &amp; Technology</t>
  </si>
  <si>
    <t>Thierry, NNB (corresponding author), Shanghai Ocean Univ, Coll Marine Sci, 999 Huchenghuan Rd, Shanghai 201306, Peoples R China.</t>
  </si>
  <si>
    <t>nsanguet@yahoo.fr</t>
  </si>
  <si>
    <t>Bruno, Nyatchouba Nsangue Thierry/AAZ-5386-2021; Tang, Hao/GXH-6097-2022; xu, liu/KCL-1154-2024; Sun, Qiuyang/B-6678-2016</t>
  </si>
  <si>
    <t>Tang, Hao/0000-0002-3393-1683;</t>
  </si>
  <si>
    <t>National Natural Science Foundation of China [31902426]; Shanghai Sailing Pro-gram [19YF1419800]; special project for the exploi-tation and utilization of Antarctic biological resources of Ministry of Agriculture and Rural Affairs [D-8002-18-0097]</t>
  </si>
  <si>
    <t>National Natural Science Foundation of China(National Natural Science Foundation of China (NSFC)); Shanghai Sailing Pro-gram; special project for the exploi-tation and utilization of Antarctic biological resources of Ministry of Agriculture and Rural Affairs</t>
  </si>
  <si>
    <t>This study was financially supported by the National Natural Science Foundation of China (Grant No. 31902426) , the Shanghai Sailing Pro-gram (Grant No. 19YF1419800) , and the special project for the exploi-tation and utilization of Antarctic biological resources of Ministry of Agriculture and Rural Affairs (Grant No. D-8002-18-0097) .</t>
  </si>
  <si>
    <t>0029-8018</t>
  </si>
  <si>
    <t>1873-5258</t>
  </si>
  <si>
    <t>OCEAN ENG</t>
  </si>
  <si>
    <t>Ocean Eng.</t>
  </si>
  <si>
    <t>10.1016/j.oceaneng.2022.110964</t>
  </si>
  <si>
    <t>Engineering, Marine; Engineering, Civil; Engineering, Ocean; Oceanography</t>
  </si>
  <si>
    <t>0P8AF</t>
  </si>
  <si>
    <t>WOS:000784450100002</t>
  </si>
  <si>
    <t>Han, MAX; Cao, SN; Luo, GF; He, JF; Liang, YT; Chen, XC; Gu, CX; Liu, G; Wang, ZY; Zhang, WJ; Dong, Y; Zhao, J; Hao, Q; Shao, HB; Sung, YY; Mok, WJ; Wong, LL; McMinn, A; Wang, M</t>
  </si>
  <si>
    <t>Han, Meiaoxue; Cao, Shunan; Luo, Guangfu; He, Jianfeng; Liang, Yantao; Chen, Xuechao; Gu, Chengxiang; Liu, Gang; Wang, Ziyue; Zhang, Wenjing; Dong, Yue; Zhao, Jun; Hao, Qiang; Shao, Hongbing; Sung, Yeong Yik; Mok, Wen Jye; Wong, Li Lian; McMinn, Andrew; Wang, Min</t>
  </si>
  <si>
    <t>Distributions of virio- and picoplankton and their relationships with ice-melting and upwelling in the Indian Ocean sector of East Antarctica</t>
  </si>
  <si>
    <t>Ice-melting; Upwelling; Bathypelagic; Flow cytometry; Picoplankton; Virioplankton; Eastern Antarctic</t>
  </si>
  <si>
    <t>SOUTHERN-OCEAN; SEA-ICE; VIRAL-INFECTION; BACTERIAL PRODUCTION; MICROBIAL PROCESSES; SEASONAL-CHANGES; COASTAL WATERS; AUSTRAL SUMMER; ROSS SEA; VIRUSES</t>
  </si>
  <si>
    <t>Ice melting in the Antarctic summer and upwelling of the Circumpolar Deep Water (CDW) near the Antarctic continent have been suggested to regulate the distributions of microbial communities. However, an understanding of these relationships in the Indian Ocean sector of East Antarctica is lacking. We report on the distribution and relationships of virio- and picoplankton at 77 stations (including 29 stations throughout the entire water column and 48 stations from the epipelagic zone) from 35 degrees to 78 degrees E and 62 degrees to 70 degrees S, covering the Cosmonaut Sea, Cooperation Sea and Prydz Bay. The epipelagic stations were grouped into four clusters based on the virio- and picoplankton composition and abundance. Clusters three and four, which corresponded with areas of upwelling and ice retreat, had high abundances of autotrophic picoeukaryotes; this resulted in subsequent high abundances of heterotrophic prokaryotes and virioplankton. Cluster one and two stations correspond with a high nutrient, low chlorophyll (HNLC) area, where the abundances of autotrophic and heterotrophic picoplankton are low. Viruses were significantly correlated with heterotrophic prokaryotes in the ice-covered areas but more strongly correlated with autotrophic picoeukaryotes in areas associated with ice-edge blooms. Throughout the water column in the Cooperation Sea, nutrient supply from the upwelling of the CDW induced an increased abundance of heterotrophic prokaryotes, particularly in the meso- and bathypelagic zones of stations in the northern part of the area. High viral abundances were detected in the meso- and bathypelagic zones of stations with high abundances of virio- and picoplankton in the epipelagic zone. This study shows that the summer distribution of virio- and picoplankton in the Indian Ocean sector of East Antarctica was mainly controlled by ice-melting and upwelling of the CDW.</t>
  </si>
  <si>
    <t>[Han, Meiaoxue; Liang, Yantao; Chen, Xuechao; Gu, Chengxiang; Liu, Gang; Wang, Ziyue; Zhang, Wenjing; Dong, Yue; Shao, Hongbing; McMinn, Andrew; Wang, Min] Ocean Univ China, Coll Marine Life Sci, Key Lab Polar Oceanog &amp; Global Ocean Change, Inst Evolut &amp; Marine Biodivers, Qingdao, Peoples R China; [Han, Meiaoxue; Liang, Yantao; Chen, Xuechao; Gu, Chengxiang; Liu, Gang; Wang, Ziyue; Zhang, Wenjing; Dong, Yue; Shao, Hongbing; McMinn, Andrew; Wang, Min] Ocean Univ China, Frontiers Sci Ctr Deep Ocean Multispheres &amp; Earth, Qingdao, Peoples R China; [Cao, Shunan; Luo, Guangfu; He, Jianfeng] Polar Res Inst China, SOA Key Lab Polar Sci, Shanghai 200136, Peoples R China; [Liang, Yantao; Shao, Hongbing; Sung, Yeong Yik; Mok, Wen Jye; Wong, Li Lian; Wang, Min] UMT OUC Joint Ctr Marine Studies, Qingdao 266003, Peoples R China; [Zhao, Jun; Hao, Qiang] Minist Nat Resources, Key Lab Marine Ecosyst Dynam, Inst Oceanog 2, Hangzhou, Peoples R China; [Sung, Yeong Yik; Mok, Wen Jye; Wong, Li Lian] Univ Malaysia Terengganu UMT, Inst Marine Biotechnol, Kuala Nerus 21030, Malaysia; [McMinn, Andrew] Univ Tasmania, Inst Marine &amp; Antarctic Studies, Hobart, Tas 7001, Australia; [Wang, Min] Qingdao Univ, Affiliated Hosp, Qingdao 266000, Peoples R China</t>
  </si>
  <si>
    <t>Ocean University of China; Ocean University of China; Polar Research Institute of China; Ministry of Natural Resources of the People's Republic of China; Universiti Malaysia Terengganu; University of Tasmania; Qingdao University</t>
  </si>
  <si>
    <t>Liang, YT; Wang, M (corresponding author), Ocean Univ China, Coll Marine Life Sci, Key Lab Polar Oceanog &amp; Global Ocean Change, Inst Evolut &amp; Marine Biodivers, Qingdao, Peoples R China.;Liang, YT; Wang, M (corresponding author), Ocean Univ China, Frontiers Sci Ctr Deep Ocean Multispheres &amp; Earth, Qingdao, Peoples R China.;He, JF (corresponding author), Polar Res Inst China, SOA Key Lab Polar Sci, Shanghai 200136, Peoples R China.</t>
  </si>
  <si>
    <t>hejianfeng@pric.org.cn; liangyantao@ouc.edu.cn; mingwang@ouc.edu.cn</t>
  </si>
  <si>
    <t>gu, chengxiang/ABA-7780-2021; Wang, Min/AFR-9645-2022; Sung, Yeong Yik/AAA-2654-2020; Mok, Wen Jye/AAF-9229-2019; WONG, LI LIAN/ABE-1887-2022; zhang, wenjing/AAE-7146-2019</t>
  </si>
  <si>
    <t>Wang, Min/0000-0002-2357-589X; Sung, Yeong Yik/0000-0001-5897-9037; Mok, Wen Jye/0000-0002-7629-8312;</t>
  </si>
  <si>
    <t>Ministry of Natural Resources of the People's Republic of China, China; program of the Impact and Response of Antarctic Seas to Climate Change [IRASCC 01-02,02-01]; National Key Research and Development Program of China, China [2018YFC1406704]; Marine S&amp;T Fund of Shandong Province for Pilot National Laboratory for Marine Science and Technology (Qingdao), China [2018SDKJ0406-6]; National Natural Science Foundation of China, China [41976117,41606153]; Fundamental Research Funds for the Central Universities, China [201812002]</t>
  </si>
  <si>
    <t>Ministry of Natural Resources of the People's Republic of China, China; program of the Impact and Response of Antarctic Seas to Climate Change; National Key Research and Development Program of China, China; Marine S&amp;T Fund of Shandong Province for Pilot National Laboratory for Marine Science and Technology (Qingdao), China; National Natural Science Foundation of China, China(National Natural Science Foundation of China (NSFC)); Fundamental Research Funds for the Central Universities, China(Fundamental Research Funds for the Central Universities)</t>
  </si>
  <si>
    <t>We thank the staff of Chinese Arctic and Antarctic Administration and the crews of R/V XUE LONG2 for their assistance with sample collection during the cruise. This work was supported by the Ministry of Natural Resources of the People's Republic of China, China; the program of the Impact and Response of Antarctic Seas to Climate Change (IRASCC 01-02,02-01) , the National Key Research and Development Program of China, China (No.2018YFC1406704) , Marine S&amp;T Fund of Shandong Province for Pilot National Laboratory for Marine Science and Technology (Qingdao) , China (No.2018SDKJ0406-6) , National Natural Science Foundation of China, China (No. 41976117,41606153) , Fundamental Research Funds for the Central Universities, China (No. 201812002) . The authors thank the Editor and the two anonymous re-viewers for their constructive comments.</t>
  </si>
  <si>
    <t>10.1016/j.dsr2.2022.105044</t>
  </si>
  <si>
    <t>ZY5XQ</t>
  </si>
  <si>
    <t>WOS:000772660500002</t>
  </si>
  <si>
    <t>Zu, YC; Gao, LB; Guo, GJ; Fang, Y</t>
  </si>
  <si>
    <t>Zu, Yongcan; Gao, Libao; Guo, Guijun; Fang, Yue</t>
  </si>
  <si>
    <t>Changes of Circumpolar Deep Water between 2006 and 2020 in the south-west Indian Ocean, East Antarctica</t>
  </si>
  <si>
    <t>Circumpolar deep water; Distribution; Change; Antarctic circumpolar current front; Wind forcing</t>
  </si>
  <si>
    <t>PRYDZ BAY; CIRCULATION; TRANSPORT; OCEANOGRAPHY; TEMPERATURE; PENINSULA; FRONTS; TRENDS; REGION; MASSES</t>
  </si>
  <si>
    <t>The climatological distribution of circumpolar deep water (CDW) and its changes in austral summer between 2006 and 2020 are documented using historical hydrographic data and recent measurements in the south-west Indian Ocean, East Antarctica. The CDW is primarily distributed in the northeast of the Cooperation Sea, north of the southern Antarctic Circumpolar Current Front (sACCF), as shown by the CDW thickness (on average &gt; 800 m) and mean depth (maxima &gt;900 m). The CDW layer becomes thinner to the south of sACCF and is less than 100 m thick near the Southern Boundary (SB). The CDW distribution shows significant changes between years. Its extension reached further south in 2020 than in 2006, and there was a positive thickness anomaly with a magnitude of 50-200 m. There was also evidence of warmer (0.1-0.2 degrees C) and more saline (0.005) CDW in 2020 than 2006 along 70 degrees E and between 62.8 degrees and 63.7 degrees S. Those warm and saline signals extended further south. Warmer and more saline water occupied the subsurface layers between 35 degrees and 69 degrees E at 63.6 degrees S and 64 degrees S, and occurred to the east of 55 degrees E. The region between 55 degrees and 65 degrees E is a major entrance for the CDW poleward extension. Furthermore, we found that the changes of CDW between 2006 and 2020 were dominated by the sACCF shift due to enhanced northwest summer winds. The wind anomalies raised the sea surface height by the strengthening northward Ekman transport. Thus the ACC shifted southward (similar to 120 km in average), carrying more CDW poleward. A tongue-shaped southward shift of sACCF generated anomalous anticyclonic eddies, advecting CDW southward as far as 66 degrees in 2020.</t>
  </si>
  <si>
    <t>[Zu, Yongcan; Gao, Libao; Guo, Guijun; Fang, Yue] Minist Nat Resources, Inst Oceanog 1, Qingdao 266061, Peoples R China; [Zu, Yongcan; Gao, Libao; Guo, Guijun; Fang, Yue] Minist Nat Resources, Key Lab Marine Sci &amp; Numer Modeling, Qingdao 266061, Peoples R China; [Zu, Yongcan; Gao, Libao; Guo, Guijun; Fang, Yue] Pilot Natl Lab Marine Sci &amp; Technol, Lab Reg Oceanog &amp; Numer Modeling, Qingdao 266237, Peoples R China; [Zu, Yongcan; Gao, Libao; Guo, Guijun; Fang, Yue] Shandong Key Lab Marine Sci &amp; Numer Modeling, Qingdao 266061, Peoples R China</t>
  </si>
  <si>
    <t>Ministry of Natural Resources of the People's Republic of China; First Institute of Oceanography, Ministry of Natural Resources; Ministry of Natural Resources of the People's Republic of China; Laoshan Laboratory</t>
  </si>
  <si>
    <t>Gao, LB (corresponding author), Minist Nat Resources, Inst Oceanog 1, Qingdao 266061, Peoples R China.;Gao, LB (corresponding author), Minist Nat Resources, Key Lab Marine Sci &amp; Numer Modeling, Qingdao 266061, Peoples R China.</t>
  </si>
  <si>
    <t>Guo, Guijun/AAO-3686-2021; Zu, Yongcan/KHU-0219-2024</t>
  </si>
  <si>
    <t>Zu, Yongcan/0000-0002-0097-4644; Guo, Guijun/0000-0002-1437-1561; Gao, Libao/0000-0002-0402-9340</t>
  </si>
  <si>
    <t>Ministry of Natural Resources of the People's Republic of China; program of Impact and Response of Antarctic Seas to Climate Change [IRASCC 01-01-01A]; Basic Scientific Fund for National Public Research Institutes of China [2018S02]; NSFC grant [41876231]; National Key R&amp;D Program of China [2018YFA0605701, 2019YFC1509102]</t>
  </si>
  <si>
    <t>Ministry of Natural Resources of the People's Republic of China; program of Impact and Response of Antarctic Seas to Climate Change; Basic Scientific Fund for National Public Research Institutes of China; NSFC grant(National Natural Science Foundation of China (NSFC)); National Key R&amp;D Program of China</t>
  </si>
  <si>
    <t>The authors would like to thank anonymous reviewers for the com-ments that helped to improve the manuscript. This work was supported by Ministry of Natural Resources of the People's Republic of China, the program of Impact and Response of Antarctic Seas to Climate Change (IRASCC 01-01-01A) , the Basic Scientific Fund for National Public Research Institutes of China (2018S02) , the NSFC grant (41876231) and the National Key R&amp;D Program of China (2018YFA0605701,2019YFC1509102) . We are grateful to the staff of Chinese Arctic and Antarctic Administration (CAA) and the crew of the R/V XUELONG2 for their professional supports in the CHINARE-36 cruise.</t>
  </si>
  <si>
    <t>10.1016/j.dsr2.2022.105043</t>
  </si>
  <si>
    <t>WOS:000772660500001</t>
  </si>
  <si>
    <t>Wijayawardene, NN; Phillips, AJL; Pereira, DS; Dai, DQ; Aptroot, A; Monteiro, JS; Druzhinina, IS; Cai, F; Fan, XL; Selbmann, L; Coleine, C; Castañeda-Ruiz, RF; Kukwa, M; Flakus, A; Fiuza, PO; Kirk, PM; Kumar, KCR; Arachchi, ISI; Suwannarach, N; Tang, LZ; Boekhout, T; Tan, CS; Jayasinghe, RPPK; Thines, M</t>
  </si>
  <si>
    <t>Wijayawardene, Nalin N.; Phillips, Alan J. L.; Pereira, Diana Santos; Dai, Dong-Qin; Aptroot, Andre; Monteiro, Josiane S.; Druzhinina, Irina S.; Cai, Feng; Fan, Xinlei; Selbmann, Laura; Coleine, Claudia; Castaneda-Ruiz, Rafael F.; Kukwa, Martin; Flakus, Adam; Fiuza, Patricia Oliveira; Kirk, Paul M.; Kumar, Kunhiraman C. Rajesh; Ieperuma Arachchi, Ilesha S.; Suwannarach, Nakarin; Tang, Li-Zhou; Boekhout, Teun; Tan, Chen Shuhui; Jayasinghe, R. P. Prabath K.; Thines, Marco</t>
  </si>
  <si>
    <t>Forecasting the number of species of asexually reproducing fungi (Ascomycota and Basidiomycota)</t>
  </si>
  <si>
    <t>FUNGAL DIVERSITY</t>
  </si>
  <si>
    <t>Cryptic species; DNA sequences; Morphology; Pleomorphism; Speciose genera; Species identification</t>
  </si>
  <si>
    <t>ROCK-INHABITING FUNGI; DNA-SEQUENCE-DATA; LEAF-LITTER; LICHENICOLOUS FUNGI; AMBROSIA BEETLE; GENERIC NAMES; BLACK FUNGI; RAIN-FOREST; SP-NOV.; MULTIGENE ANALYSIS</t>
  </si>
  <si>
    <t>Asexually reproducing fungi play a significant role in essential processes in managed and wild ecosystems such as nutrients cycling and multitrophic interactions. A large number of such taxa are among the most notorious plant and animal pathogens. In addition, they have a key role in food production, biotechnology and medicine. Taxa without or rare sexual reproduction are distinguished based on their sporulating structures and conidiomata in traditional morphology-based taxonomy. The number, variation and diversity of asexually reproducing taxa are insufficiently known, even though fungi capable of asexual reproduction may provide an untapped, rich biological resource for future exploitation. Currently, ca. 30,000 asexual species belonging to ca. 3800 genera have been reported (including 1388 coelomycetous and 2265 hyphomycetous genera). Recent reports (2017-2020) reiterate that the number of asexually producing fungi is higher than the number of frequently sexually-reproducing fungi. With the advent of molecular tools and the abandonment of the dual nomenclature system for pleomorphic fungi, priority criteria were established and revisited in the latest outline of fungi and fungus-like taxa. However, species numbers and taxonomic boundaries of pleomorphic taxa and their synanamorphs or synasexual morphs have yet to be addressed. The number of species of speciose genera (e.g. Alternaria, Aspergillus, Cercospora, Fusarium, Phoma and Pseudocercospora), cryptic species, species of pleomorphic genera, less studied life modes (such as lichenicolous taxa, taxa from extreme environments) and species from biodiversity-rich areas still need evaluation to achieve more reliable estimates of their diversity. This paper discusses the current knowledge on the matter, with diversity estimates, and potential obstacles in several chapters on (1) speciose genera; (2) pleomorphic genera; (3) cryptic species; (4) well-studied but insufficiently resolved taxa, e.g. leaf inhabiting species, marine fungi, (5) less studied life modes, e.g. lichenicolous, rock-inhabiting fungi, insect-associated and yeast-forming taxa and (6) species from biodiversity-rich areas.</t>
  </si>
  <si>
    <t>[Wijayawardene, Nalin N.; Dai, Dong-Qin; Tang, Li-Zhou] Qujing Normal Univ, Coll Biol Resource &amp; Food Engn, Ctr Yunnan Plateau Biol Resources Protect &amp; Utili, Qujing 655011, Yunnan, Peoples R China; [Wijayawardene, Nalin N.] Inst Res &amp; Dev Hlth &amp; Social Care, Sect Genet, 393-3 Lily Ave, Battaramulla 10120, Sri Lanka; [Phillips, Alan J. L.; Pereira, Diana Santos] Univ Lisbon, Biosyst &amp; Integrat Sci Inst BioISI, Fac Ciencias, P-1749016 Lisbon, Portugal; [Aptroot, Andre] Univ Fed Mato Grosso do Sul, Inst Biociencias, Lab Bot Liquenol, Ave Costa &amp; Silva S-N, BR-79070900 Campo Grande, MS, Brazil; [Monteiro, Josiane S.] Museu Paraense Emilio Goeldi, Coordinat Bot, BR-66077830 Belem, PA, Brazil; [Druzhinina, Irina S.; Cai, Feng] Nanjing Agr Univ, Coll Resources &amp; Environm Sci, Fungal Genom Lab FungiG, Weigang 1, Nanjing 210095, Jiangsu, Peoples R China; [Fan, Xinlei] Beijing Forestry Univ, Minist Educ, Key Lab Silviculture &amp; Conservat, Beijing 100083, Peoples R China; [Selbmann, Laura; Coleine, Claudia] Univ Tuscia, Dept Ecol &amp; Biol Sci, Viterbo, Italy; [Selbmann, Laura] Italian Natl Antarct Museum MNA, Mycol Sect, Genoa, Italy; [Castaneda-Ruiz, Rafael F.] Inst Invest Fundament Agr Trop, Alejandro Humboldt INIFAT, Havana, Cuba; [Kukwa, Martin] Univ Gdansk, Fac Biol, Dept Plant Taxon &amp; Nat Conservat, Wita Stwosza 59, PL-80308 Gdansk, Poland; [Flakus, Adam] Polish Acad Sci, W Szafer Inst Bot, Lubicz 46, PL-31512 Krakow, Poland; [Fiuza, Patricia Oliveira] Univ Fed Rio Grande Norte UFRN, Programa Posgrad Sistemat &amp; Evolucao, Ctr Biociencias, Campus Univ,Av Senador Salgado Filho 3000, BR-59078970 Natal, RN, Brazil; [Kirk, Paul M.] Royal Bot Gardens, Jodrell Lab, Biodivers Informat &amp; Spatial Anal, Richmond TW9 3DS, Surrey, England; [Kumar, Kunhiraman C. Rajesh] MACS Agharkar Res Inst, Biodivers &amp; Palaeobiol Grp, Natl Fungal Culture Collect India NFCCI, GG Agarkar Rd, Pune 411004, Maharashtra, India; [Ieperuma Arachchi, Ilesha S.] Univ New Brunswick, Dept Biol, Brunswick, NB, Canada; [Suwannarach, Nakarin] Chiang Mai Univ, Res Ctr Microbial Div &amp; Sustainable Utilizat, Fac Sci, Chiang Mai 50200, Thailand; [Boekhout, Teun] Westerdijk Inst Fungal Biodivers, Uppsalalaan 8, NL-3584 CT Utrecht, Netherlands; [Boekhout, Teun] Univ Amsterdam, Inst Biodivers &amp; Ecosyst Dynam IBED, Sci Pk 904, NL-1098 XH Amsterdam, Netherlands; [Boekhout, Teun; Tan, Chen Shuhui] Yeasts Fdn, Houten, Netherlands; [Jayasinghe, R. P. Prabath K.] Natl Aquat Resources Res &amp; Dev Agcy NARA, Colombo 01500 15, Sri Lanka; [Thines, Marco] Goethe Univ, Inst Ecol Evolut &amp; Divers, Dept Biol Sci, Max vonLaue Str 13, D-60486 Frankfurt, Germany; [Thines, Marco] Senckenberg Biodivers &amp; Climate Res Ctr, Senckenberganlage 25, D-60325 Frankfurt, Germany</t>
  </si>
  <si>
    <t>Qujing Normal University; BIOISI; Universidade de Lisboa; Universidade Federal de Mato Grosso do Sul; Museu Paraense Emilio Goeldi; Nanjing Agricultural University; Beijing Forestry University; Tuscia University; Fahrenheit Universities; University of Gdansk; Polish Academy of Sciences; W. Szafer Institute of Botany of the Polish Academy of Sciences; Universidade Federal do Rio Grande do Norte; Royal Botanic Gardens, Kew; Department of Science &amp; Technology (India); Agharkar Research Institute (ARI); University of New Brunswick; Chiang Mai University; University of Amsterdam; Goethe University Frankfurt; Senckenberg Biodiversitat &amp; Klima- Forschungszentrum (BiK-F); Senckenberg Gesellschaft fur Naturforschung (SGN)</t>
  </si>
  <si>
    <t>Dai, DQ; Tang, LZ (corresponding author), Qujing Normal Univ, Coll Biol Resource &amp; Food Engn, Ctr Yunnan Plateau Biol Resources Protect &amp; Utili, Qujing 655011, Yunnan, Peoples R China.</t>
  </si>
  <si>
    <t>cicidaidongqin@gmail.com; tanglizhou@163.com</t>
  </si>
  <si>
    <t>Pereira, Diana/KHE-4238-2024; Coleine, Claudia/AAE-1889-2020; Fiuza, Patrícia/L-9223-2013; Flakus, Adam/V-4849-2019; Suwannarach, Nakarin/P-6078-2019; Boekhout, Teunis/ABF-2538-2020; Ruiz, Rafael F. Castañeda/B-2511-2008; Thines, Marco/H-1685-2011; Rajeshkumar, Kunhiraman C/AEI-7459-2022; Thines, Marco/AAV-4046-2020; Phillips, Alan John, Lander/C-6102-2011; Cai, Feng M./AAL-5373-2021; Fan, Xinlei/AAE-1835-2022; Dai, Dong-Qin/C-4303-2015</t>
  </si>
  <si>
    <t>Coleine, Claudia/0000-0002-9289-6179; Fiuza, Patrícia/0000-0002-9428-8257; Flakus, Adam/0000-0002-0712-0529; Suwannarach, Nakarin/0000-0002-2653-1913; Boekhout, Teunis/0000-0002-0476-3609; Thines, Marco/0000-0001-7740-6875; Rajeshkumar, Kunhiraman C/0000-0003-0401-8294; Thines, Marco/0000-0001-7740-6875; Phillips, Alan John, Lander/0000-0001-6367-9784; Cai, Feng M./0000-0003-2032-6190; Fan, Xinlei/0000-0002-4946-4442; Monteiro, Josiane/0000-0002-1717-9532; Dai, Dong-Qin/0000-0001-8935-8807; Pereira, Diana/0000-0002-0838-9618; Aptroot, Andre/0000-0001-7949-2594</t>
  </si>
  <si>
    <t>National Natural Science Foundation of China [NSFC 31950410558, NSFC 31760013]; Department of Science and Technology of Yunnan Province [2018FB050]; State Key Laboratory of Functions and Applications of Medicinal Plants, Guizhou Medical University [FAMP201906K]; Science and Technology Department of Guizhou Province [QKHRCPT[2017]5101]; High-Level Talent Recruitment Plan of Yunnan Provinces (Young Talents Program); High-Level Talent Recruitment Plan of Yunnan Provinces (High-End Foreign Experts Program); Italian National Program for Antarctic Researches (PNRA); Antarctic Italian National Museum (MNA); FCT, Portugal [UIDB/04046/2020, UIDP/04046/2020]; LOEWE excellence initiative of the government of Hessen; Centre for Translational Biodiversity Genomics (TBG); National Science Centre (NCN) in Poland [DEC-2013/11/D/NZ8/03274]</t>
  </si>
  <si>
    <t>National Natural Science Foundation of China(National Natural Science Foundation of China (NSFC)); Department of Science and Technology of Yunnan Province; State Key Laboratory of Functions and Applications of Medicinal Plants, Guizhou Medical University; Science and Technology Department of Guizhou Province; High-Level Talent Recruitment Plan of Yunnan Provinces (Young Talents Program); High-Level Talent Recruitment Plan of Yunnan Provinces (High-End Foreign Experts Program); Italian National Program for Antarctic Researches (PNRA); Antarctic Italian National Museum (MNA); FCT, Portugal(Fundacao para a Ciencia e a Tecnologia (FCT)); LOEWE excellence initiative of the government of Hessen; Centre for Translational Biodiversity Genomics (TBG); National Science Centre (NCN) in Poland(National Science Centre, Poland)</t>
  </si>
  <si>
    <t>This work was supported by the National Natural Science Foundation of China (No. NSFC 31950410558, NSFC 31760013), Department of Science and Technology of Yunnan Province (No. 2018FB050), the State Key Laboratory of Functions and Applications of Medicinal Plants, Guizhou Medical University (No. FAMP201906K); Science and Technology Department of Guizhou Province (QKHRCPT[2017]5101) and High-Level Talent Recruitment Plan of Yunnan Provinces (Young Talents Program and High-End Foreign Experts Program). Nalin N. Wijayawardene gratefully acknowledges Peter Johnston, the New Zealand Fungarium, Manaaki Whenua - Landcare Research, Siril D. Wijesundara, Belle D. Shenoy for their valuable comments and suggestions and acknowledges Institute for Research and Development in Health and Social Care for an Honorary Research Associate position during the tenure of which this paper was finalised. Don-Qin Dai and Nalin N. Wijayawardene thank Sudheera Gunasekara (National Aquatic Resources Research and Development Agency (NARA), Sri Lanka) for preparing the map. Rafael F. Castaneda-Ruiz and Josiane S. Monteiro express gratitude to Dr. De-Wei Li (The Connecticut Agricultural Experiment Station Valley Laboratory, USA) for review the manuscript. Laura Selbmann and Claudia Coleine thank the Italian National Program for Antarctic Researches (PNRA) for funding Antarctic Projects and Campaigns for collecting rock specimens from which fungi are isolated. Josiane S. Monteiro thanks Miriely Cristina dos Santos Ferreira (PIBIC-MPEG) and Beatriz Valente Miglio (POSBOT-MPEG-UFRA) who assist for. The Antarctic Italian National Museum (MNA) is kindly acknowledged for funding the Fungal Culture Collection MNA-FCC where all the Antarctic fungi isolated are preserved. Alan J.L. Phillips and Diana Santos Pereira acknowledge the support from UIDB/04046/2020 and UIDP/04046/2020 Centre grants from FCT, Portugal (to BioISI). Marco Thines is supported by the LOEWE excellence initiative of the government of Hessen in the framework of the Cluster for Integrative Fungal Research (IPF) and the Centre for Translational Biodiversity Genomics (TBG). Adam Flakus thanks National Science Centre (NCN) in Poland (DEC-2013/11/D/NZ8/03274) for financial support.</t>
  </si>
  <si>
    <t>1560-2745</t>
  </si>
  <si>
    <t>1878-9129</t>
  </si>
  <si>
    <t>FUNGAL DIVERS</t>
  </si>
  <si>
    <t>Fungal Divers.</t>
  </si>
  <si>
    <t>10.1007/s13225-022-00500-5</t>
  </si>
  <si>
    <t>Mycology</t>
  </si>
  <si>
    <t>2D0BK</t>
  </si>
  <si>
    <t>WOS:000767900400001</t>
  </si>
  <si>
    <t>Gimonkar, Y; Lea, MA; Burch, P; Arnould, JPY; Sporcic, M; Tixier, P</t>
  </si>
  <si>
    <t>Gimonkar, Yash; Lea, Mary-Anne; Burch, Paul; Arnould, John P. Y.; Sporcic, Miriana; Tixier, Paul</t>
  </si>
  <si>
    <t>Quantifying killer whale depredation in the blue-eye trevalla commercial fisheries of south-east Australia</t>
  </si>
  <si>
    <t>Depredation; Killer whale; Fisheries interactions; Commercial fisheries; Hyperoglyphe antarctica</t>
  </si>
  <si>
    <t>TOOTHFISH DISSOSTICHUS-ELEGINOIDES; HUMAN-WILDLIFE CONFLICT; LONGLINE FISHERIES; ORCINUS-ORCA; MARINE MAMMALS; SPERM-WHALES; CATCH; CROZET; ATLANTIC</t>
  </si>
  <si>
    <t>Large marine predators feeding on fish caught on fishing gear, a behaviour termed as depredation, can incur socio-economic costs for fisheries and have serious implications on the depredating species, fish stocks and associated ecosystems. The quantity of depredated fish as well as the quantity of depredated fish relative to the retained catch dictates the severity of these impacts, yet these depredated quantities are often unknown due to the complexity of assessing depredation. This is the case for many demersal longline fisheries experiencing depredation by killer whales (Orcinus orca), which remove entire fish from hooks when interacting with the fishing gear. In the present study, we used Generalized Linear Models fitted to the Catch per Unit Effort (CPUE) to quantify killer whale depredation in the blue-eye trevalla (Hyperoglyphe antarctica) commercial longline fishery of south-east Australia. Our results showed that during days when killer whales were present around fishing vessels (7.3% of total fishing days), blue-eye trevalla CPUE decreased by 45.6%. Killer whales were estimated to have removed a total of 63.9 t (95% CI: 45.3-82.7 t) of blue-eye trevalla from the hooks between 2006 and 2017, with a mean removal of 5.3 t (3.8-6.9 t) per year. The mean rate of killer whale depredation in south-east Australia was estimated to be 5.2% (4.0-6.4%) for the entire study period. We estimated that the current depredation rate equates to an additional 27 fishing days per year across the fishery. This figure grows to 354 additional fishing days if depredation was assumed to occur during every fishing operation. Considering that killer whale observations are voluntarily reported in logbooks, this likely underestimates the depredation in our study. Together, these findings suggest that the impacts of killer whale depredation in the blue-eye trevalla fishery of south-east Australia are not negligible given the small scale of the fishery and the historical decline of its catches in this region. We recommend estimates provided in this study to be used as baselines for the future assessment and management of the blue-eye trevalla stocks and for assessing the socio-economic and ecological implications of this issue. In addition, regardless of the limitations associated with assessing depredation, our study also highlights the importance of cross-sectoral and interdisciplinary collaborations between scientists, fishers and fishery managers for effectively improving the management of commercially important fisheries globally.</t>
  </si>
  <si>
    <t>[Gimonkar, Yash; Lea, Mary-Anne] Univ Tasmania, Inst Marine &amp; Antarctic Studies, Hobart, Tas, Australia; [Gimonkar, Yash; Lea, Mary-Anne] Univ Tasmania, Ecol &amp; Biodivers Ctr, Inst Marine &amp; Antarctic Studies, Hobart, Tas, Australia; [Burch, Paul; Sporcic, Miriana] Commonwealth Sci &amp; Ind Res Org CSIRO, Oceans &amp; Atmosphere, Hobart, Tas, Australia; [Arnould, John P. Y.; Tixier, Paul] Deakin Univ, Sch Life &amp; Environm Sci, Burwood Campus, Geelong, Vic, Australia; [Tixier, Paul] Univ Montpellier, MARBEC, CNRS IFREMER IRD, Ave Jean Monnet CS 30171, F-34203 Sete, France; [Tixier, Paul] La Rochelle Univ, Ctr Etud Biol Chize CEBC, UMR 7372, CNRS, F-79360 Villiers En Bois, France</t>
  </si>
  <si>
    <t>University of Tasmania; University of Tasmania; Commonwealth Scientific &amp; Industrial Research Organisation (CSIRO); Deakin University; Ifremer; Universite de Montpellier; Centre National de la Recherche Scientifique (CNRS); CNRS - Institute of Ecology &amp; Environment (INEE)</t>
  </si>
  <si>
    <t>Gimonkar, Y (corresponding author), Univ Tasmania, Inst Marine &amp; Antarctic Studies, Hobart, Tas, Australia.</t>
  </si>
  <si>
    <t>yashsunil.gimonkar@utas.edu.au</t>
  </si>
  <si>
    <t>Burch, Paul/GLU-8548-2022; Burch, Paul/J-7641-2014; Arnould, John/E-8386-2011; Lea, Mary-Anne/E-9054-2013</t>
  </si>
  <si>
    <t>Burch, Paul/0000-0002-9853-462X; Arnould, John/0000-0003-1124-9330; Lea, Mary-Anne/0000-0001-8318-9299; Gimonkar, Yash/0000-0002-6898-5163</t>
  </si>
  <si>
    <t>Australian Research Council [160100329]; Australian Fisheries Pty. Ltd.; Australian Longline Pty. Ltd.</t>
  </si>
  <si>
    <t>Australian Research Council(Australian Research Council); Australian Fisheries Pty. Ltd.; Australian Longline Pty. Ltd.</t>
  </si>
  <si>
    <t>We would like to thank the Australian Fisheries Management Authority (AFMA) for giving us access to the blue-eye trevalla fishery logbook data. We are also grateful to Mures Fishing Pty. Ltd. and Petuna Sealord Deep Fishing Pty. Ltd. for collaborating on research on whale depredation in south-east Australia. This research was approved under the University of Tasmania Animal Ethics Committee (Permit A0016944) and the Tasmanian Department of Primary Industries, Parks, and the Environment Science (No permit required). Financial support was provided by the Australian Research Council (Linkage Project 160100329) with Australian Fisheries Pty. Ltd. and Australian Longline Pty. Ltd. as industry partners.</t>
  </si>
  <si>
    <t>10.1016/j.ocecoaman.2022.106114</t>
  </si>
  <si>
    <t>2O9WS</t>
  </si>
  <si>
    <t>WOS:000819402300005</t>
  </si>
  <si>
    <t>Martínez-Abaigar, J; Núñez-Olivera, E; Degla, F</t>
  </si>
  <si>
    <t>Martinez-Abaigar, Javier; Nunez-Olivera, Encarnacion; Degla, Francesca</t>
  </si>
  <si>
    <t>Bryophyte ultraviolet-omics: from genes to the environment</t>
  </si>
  <si>
    <t>Biomonitoring; bryophytes; hornworts; land colonization; liverworts; mosses; phenolic compounds; plant evolution; ultraviolet radiation</t>
  </si>
  <si>
    <t>UV-B RADIATION; HYDROXYCINNAMIC ACID-DERIVATIVES; EXSERTIFOLIA SUBSP CORDIFOLIA; MOSS POHLIA-NUTANS; ANTARCTIC MOSS; ABSORBING COMPOUNDS; AQUATIC LIVERWORT; STRATOSPHERIC OZONE; MARCHANTIA-POLYMORPHA; CELL COMPARTMENTATION</t>
  </si>
  <si>
    <t>Ultraviolet (UV) radiation has contributed to the evolution of organisms since the origins of life. Bryophytes also have evolutionary importance as the first clearly identified lineage of land plants (embryophytes) colonizing the terrestrial environment, thus facing high UV and water scarcity, among other new challenges. Here we review bryophyte UV-omics, the discipline relating bryophytes and UV, with an integrative perspective from genes to the environment. We consider species and habitats investigated, methodology, response variables, protection mechanisms, environmental interactions, UV biomonitoring, molecular and evolutionary aspects, and applications. Bryophyte UV-omics shows convergences and divergences with the UV-omics of other photosynthetic organisms, from algae to tracheophytes. All these organisms converge in that UV damage may be limited under realistic UV levels, due to structural protection and/or physiological acclimation capacity. Nevertheless, bryophytes diverge because they have a unique combination of vegetative and reproductive characteristics to cope with high UV and other concomitant adverse processes, such as desiccation. This interaction has both evolutionary and ecological implications. In addition, UV effects on bryophytes depend on the species and the evolutionary lineage considered, with mosses more UV-tolerant than liverworts. Thus, bryophytes do not constitute a homogeneous functional type with respect to their UV tolerance. Review of the effects of UV on bryophytes (bryophyte UV-omics), considering the species and habitats investigated, methodology, response variables, protection mechanisms, environmental interactions, biomonitoring, and molecular, evolutionary, and applied aspects.</t>
  </si>
  <si>
    <t>[Martinez-Abaigar, Javier; Nunez-Olivera, Encarnacion] Univ La Rioja, Fac Sci &amp; Technol, Madre de Dios 53, Logrono 26006, Spain; [Degla, Francesca] Univ Parma, Parma, Italy</t>
  </si>
  <si>
    <t>Universidad de La Rioja; University of Parma</t>
  </si>
  <si>
    <t>Martínez-Abaigar, J (corresponding author), Univ La Rioja, Fac Sci &amp; Technol, Madre de Dios 53, Logrono 26006, Spain.</t>
  </si>
  <si>
    <t>javier.martinez@unirioja.es</t>
  </si>
  <si>
    <t>Nunez-Olivera, Encarnacion/L-7164-2014; Martinez-Abaigar, Javier/L-7000-2014</t>
  </si>
  <si>
    <t>Nunez-Olivera, Encarnacion/0000-0002-7221-3852; Martinez-Abaigar, Javier/0000-0002-9762-9862</t>
  </si>
  <si>
    <t>MCIN (Ministerio de Ciencia e Innovacion de Espana)/AEI (Agencia Estatal de Investigacion) [PGC2018-093824B-C42]; ERDF (European Regional Development Fund) A way of making Europe</t>
  </si>
  <si>
    <t>MCIN (Ministerio de Ciencia e Innovacion de Espana)/AEI (Agencia Estatal de Investigacion); ERDF (European Regional Development Fund) A way of making Europe(Marie Curie ActionsEuropean Union (EU))</t>
  </si>
  <si>
    <t>The present research has been supported by the grant PGC2018-093824B-C42 funded by MCIN (Ministerio de Ciencia e Innovacion de Espana)/AEI (Agencia Estatal de Investigacion)/10.13039/501100011033 and by `ERDF (European Regional Development Fund) A way of making Europe'.</t>
  </si>
  <si>
    <t>10.1093/jxb/erac090</t>
  </si>
  <si>
    <t>WOS:000784528900001</t>
  </si>
  <si>
    <t>Ijaq, J; Chandra, D; Ray, MK; Jagannadham, MV</t>
  </si>
  <si>
    <t>Ijaq, Johny; Chandra, Deepika; Ray, Malay Kumar; Jagannadham, M. V.</t>
  </si>
  <si>
    <t>Investigating the Functional Role of Hypothetical Proteins From an Antarctic Bacterium Pseudomonas sp. Lz4W: Emphasis on Identifying Proteins Involved in Cold Adaptation</t>
  </si>
  <si>
    <t>FRONTIERS IN GENETICS</t>
  </si>
  <si>
    <t>Pseudomonas sp; Lz4W; LC-MS; MS; hypothetical proteins; cold adaptation; functional annotation</t>
  </si>
  <si>
    <t>LOW-TEMPERATURE; SUBCELLULAR-LOCALIZATION; MEMBRANE-PROTEINS; CRYSTAL-STRUCTURE; OUTER-MEMBRANE; EXPRESSION; PREDICTION; SYRINGAE; RESISTANCE; DATABASE</t>
  </si>
  <si>
    <t>Exploring the molecular mechanisms behind bacterial adaptation to extreme temperatures has potential biotechnological applications. In the present study, Pseudomonas sp. Lz4W, a Gram-negative psychrophilic bacterium adapted to survive in Antarctica, was selected to decipher the molecular mechanism underlying the cold adaptation. Proteome analysis of the isolates grown at 4 degrees C was performed to identify the proteins and pathways that are responsible for the adaptation. However, many proteins from the expressed proteome were found to be hypothetical proteins (HPs), whose function is unknown. Investigating the functional roles of these proteins may provide additional information in the biological understanding of the bacterial cold adaptation. Thus, our study aimed to assign functions to these HPs and understand their role at the molecular level. We used a structured insilico workflow combining different bioinformatics tools and databases for functional annotation. Pseudomonas sp. Lz4W genome (CP017432, version 1) contains 4493 genes and 4412 coding sequences (CDS), of which 743 CDS were annotated as HPs. Of these, from the proteome analysis, 61 HPs were found to be expressed consistently at the protein level. The amino acid sequences of these 61 HPs were submitted to our workflow and we could successfully assign a function to 18 HPs. Most of these proteins were predicted to be involved in biological mechanisms of cold adaptations such as peptidoglycan metabolism, cell wall organization, ATP hydrolysis, outer membrane fluidity, catalysis, and others. This study provided a better understanding of the functional significance of HPs in cold adaptation of Pseudomonas sp. Lz4W. Our approach emphasizes the importance of addressing the hypothetical protein problem for a thorough understanding of mechanisms at the cellular level, as well as, provided the assessment of integrating proteomics methods with various annotation and curation approaches to characterize hypothetical or uncharacterized protein data. The MS proteomics data generated from this study has been deposited to the ProteomeXchange through PRIDE with the dataset identifier-PXD029741.</t>
  </si>
  <si>
    <t>[Ijaq, Johny; Jagannadham, M. V.] Univ Hyderabad, Sch Life Sci, Metabol Facil, Hyderabad, India; [Chandra, Deepika; Ray, Malay Kumar] CSIR Ctr Cellular &amp; Mol Biol, Hyderabad, India</t>
  </si>
  <si>
    <t>University of Hyderabad; Council of Scientific &amp; Industrial Research (CSIR) - India; CSIR - Centre for Cellular &amp; Molecular Biology (CCMB)</t>
  </si>
  <si>
    <t>Jagannadham, MV (corresponding author), Univ Hyderabad, Sch Life Sci, Metabol Facil, Hyderabad, India.</t>
  </si>
  <si>
    <t>jagannadhamm_visiting@uohyd.ac.in</t>
  </si>
  <si>
    <t>1664-8021</t>
  </si>
  <si>
    <t>FRONT GENET</t>
  </si>
  <si>
    <t>Front. Genet.</t>
  </si>
  <si>
    <t>MAR 11</t>
  </si>
  <si>
    <t>10.3389/fgene.2022.825269</t>
  </si>
  <si>
    <t>0F1YN</t>
  </si>
  <si>
    <t>WOS:000777162900001</t>
  </si>
  <si>
    <t>Narvestad, A; Lydersen, C; Kovacs, KM; Lowther, AD</t>
  </si>
  <si>
    <t>Narvestad, Audun; Lydersen, Christian; Kovacs, Kit M.; Lowther, Andrew D.</t>
  </si>
  <si>
    <t>Foraging behaviour of sympatrically breeding macaroni (Eudyptes chrysolophus) and chinstrap (Pygoscelis antarcticus) penguins at Bouvetoya, Southern Ocean</t>
  </si>
  <si>
    <t>Ecological niche; niche overlap; central place foraging; competition; stable isotope analysis; biotelemetry</t>
  </si>
  <si>
    <t>KRILL EUPHAUSIA-SUPERBA; FUR SEALS; STABLE-ISOTOPES; PROVISIONING BEHAVIOR; TROPHIC RELATIONSHIPS; POPULATION-CHANGES; FOOD-CONSUMPTION; SHETLAND ISLANDS; CLIMATE-CHANGE; GENTOO</t>
  </si>
  <si>
    <t>Species with similar ecological requirements that overlap in range tend to segregate their niches to minimize competition for resources. However, the niche segregation possibilities for centrally foraging predators that breed on isolated Subantarctic islands may be reduced by spatial constraints and limitations in the availability of alternative prey. In this study we examined spatial and trophic aspects of the foraging niches of two sympatrically breeding penguin species, macaroni (Eudyptes chrysolophus; MAC) and chinstrap (Pygoscelis antarcticus; CHIN) penguins, at Bouvetoya over two breeding seasons. To measure at-sea movements and diving behaviour, 90 MACs and 49 CHINs were equipped with GPS loggers and dive recorders during two austral summer breeding seasons (2014/15 and 2017/18). In addition, blood samples from tracked birds were analysed for stable isotopes to obtain dietary information. CHINs displayed marked interannual variation in foraging behaviour, diving deeper, utilizing a larger foraging area and displaying enriched values of 815N in 2014/15 compared to the 2017/18 breeding season. In contrast, MACs dove to similar depths and showed similar 815N values, while consistently utilizing larger foraging areas compared to CHINs. We suggest that low krill abundances in the waters around Bouvetoya during the 2014/15 season resulted in CHINs shifting toward a diet that increased their niche overlap with MACs. Our findings may partly explain the decreasing number of breeding CHINs at the world's most remote island, Bouvetoya, while also highlighting the importance of characterizing niche overlap of species using multi-season data sets.</t>
  </si>
  <si>
    <t>[Narvestad, Audun; Lydersen, Christian; Kovacs, Kit M.; Lowther, Andrew D.] Norwegian Polar Res Inst, Fram Ctr, POB 6606 Stakkevollan, NO-9296 Tromso, Norway</t>
  </si>
  <si>
    <t>Lowther, AD (corresponding author), Norwegian Polar Res Inst, Fram Ctr, POB 6606 Stakkevollan, NO-9296 Tromso, Norway.</t>
  </si>
  <si>
    <t>Lowther, Andrew/0000-0003-4294-3157</t>
  </si>
  <si>
    <t>Norwegian Antarctic Research Expedition Programme - Norwegian Research Council [2014/15]; Norwegian Polar Institute [2017/18]</t>
  </si>
  <si>
    <t>Norwegian Antarctic Research Expedition Programme - Norwegian Research Council; Norwegian Polar Institute</t>
  </si>
  <si>
    <t>This research was undertaken as part of the Norwegian Antarctic Research Expedition Programme, financed by the Norwegian Research Council (2014/15) and the Norwegian Polar Institute (2017/18) .</t>
  </si>
  <si>
    <t>10.33265/polar.v41.6351</t>
  </si>
  <si>
    <t>0I0BW</t>
  </si>
  <si>
    <t>WOS:000779094500001</t>
  </si>
  <si>
    <t>Yang, JW; Brandon, M; Landais, A; Duchamp-Alphonse, S; Blunier, T; Prié, F; Extier, T</t>
  </si>
  <si>
    <t>Yang, Ji-Woong; Brandon, Margaux; Landais, Amaelle; Duchamp-Alphonse, Stephanie; Blunier, Thomas; Prie, Frederic; Extier, Thomas</t>
  </si>
  <si>
    <t>Global biosphere primary productivity changes during the past eight glacial cycles</t>
  </si>
  <si>
    <t>TRIPLE-ISOTOPE COMPOSITION; HIGH-PRECISION MEASUREMENTS; BREWER-DOBSON CIRCULATION; ANTARCTIC ICE CORE; CARBON-DIOXIDE; ATMOSPHERIC CO2; SEA-LEVEL; STRATOSPHERIC OZONE; CHRONOLOGY AICC2012; EXPORT PRODUCTION</t>
  </si>
  <si>
    <t>Global biosphere productivity is the largest uptake flux of atmospheric carbon dioxide (CO2), and it plays an important role in past and future carbon cycles. However, global estimation of biosphere productivity remains a challenge. Using the ancient air enclosed in polar ice cores, we present the first 800,000-year record of triple isotopic ratios of atmospheric oxygen, which reflects past global biosphere productivity. We observe that global biosphere productivity in the past eight glacial intervals was lower than that in the preindustrial era and that, in most cases, it starts to increase millennia before deglaciations. Both variations occur concomitantly with CO2 changes, implying a dominant control of CO2 on global biosphere productivity that supports a pervasive negative</t>
  </si>
  <si>
    <t>[Yang, Ji-Woong; Brandon, Margaux; Landais, Amaelle; Prie, Frederic; Extier, Thomas] Univ Paris Saclay, Lab Sci Climat &amp; Environm, Inst Pierre Simon Laplace, CEA,CNRS,UVSQ, Gif Sur Yvette, France; [Brandon, Margaux; Duchamp-Alphonse, Stephanie] Univ Paris Saclay, Geosci Paris Saclay, Orsay, France; [Yang, Ji-Woong; Blunier, Thomas] Univ Copenhagen, Niels Bohr Inst, Copenhagen N, Denmark; [Brandon, Margaux] Sorbonne Univ, Lab Oceanog &amp; Climat, Inst Pierre Simon Laplace, CNRS,IRD,MNHN, Paris, France; [Extier, Thomas] Univ Bordeaux, Environm &amp; Paleoenvironm Ocean &amp; Continentaux, CNRS, EPHE, Pessac, France</t>
  </si>
  <si>
    <t>Universite Paris Saclay; CEA; Centre National de la Recherche Scientifique (CNRS); Universite Paris Cite; Universite Paris Cite; Universite Paris Saclay; University of Copenhagen; Niels Bohr Institute; Universite Paris Saclay; Sorbonne Universite; Universite Paris Cite; Centre National de la Recherche Scientifique (CNRS); CNRS - National Institute for Earth Sciences &amp; Astronomy (INSU); Museum National d'Histoire Naturelle (MNHN); Institut de Recherche pour le Developpement (IRD); Universite de Bordeaux; Centre National de la Recherche Scientifique (CNRS); Universite PSL; Ecole Pratique des Hautes Etudes (EPHE)</t>
  </si>
  <si>
    <t>Yang, JW (corresponding author), Univ Paris Saclay, Lab Sci Climat &amp; Environm, Inst Pierre Simon Laplace, CEA,CNRS,UVSQ, Gif Sur Yvette, France.;Yang, JW (corresponding author), Univ Copenhagen, Niels Bohr Inst, Copenhagen N, Denmark.</t>
  </si>
  <si>
    <t>ji-woong.yang@lsce.ipsl.fr</t>
  </si>
  <si>
    <t>Yang, Ji-Woong/KHW-8273-2024; Blunier, Thomas/M-4609-2014</t>
  </si>
  <si>
    <t>Yang, Ji-Woong/0000-0001-8397-9274; LANDAIS, Amaelle/0000-0002-5620-5465; Blunier, Thomas/0000-0002-6065-7747; Extier, Thomas/0000-0002-9531-8753; Brandon, Margaux/0000-0001-5256-3700; Duchamp-Alphonse, Stephanie/0000-0002-3996-9789</t>
  </si>
  <si>
    <t>Basic Science Research Program through the National Research Foundation of Korea [2019R1A6A3A03033698]; European Research Council under the European Union Horizon 2020 Programme ERC ICORDA [817493]; French National Research Agency (ANR) as part of the Investissement d'Avenir program, through the IDI 2017 project - IDEX Paris-Saclay [ANR-11-IDEX-000302]; French Institute of Universe Sciences (INSU-BIOCOD); French National Research Agency [ANR HUMI17]; French National Research Agency (ANR NEANDROOT); European Research Council under the European Union Horizon 2020 Programme (ERC ICORDA); European Research Council (ERC) [817493] Funding Source: European Research Council (ERC)</t>
  </si>
  <si>
    <t>Basic Science Research Program through the National Research Foundation of Korea(National Research Foundation of Korea); European Research Council under the European Union Horizon 2020 Programme ERC ICORDA; French National Research Agency (ANR) as part of the Investissement d'Avenir program, through the IDI 2017 project - IDEX Paris-Saclay(Agence Nationale de la Recherche (ANR)); French Institute of Universe Sciences (INSU-BIOCOD); French National Research Agency(Agence Nationale de la Recherche (ANR)); French National Research Agency (ANR NEANDROOT)(Agence Nationale de la Recherche (ANR)); European Research Council under the European Union Horizon 2020 Programme (ERC ICORDA); European Research Council (ERC)(European Research Council (ERC)Spanish Government)</t>
  </si>
  <si>
    <t>J.-W.Y. was supported by the Basic Science Research Program through the National Research Foundation of Korea (2019R1A6A3A03033698) and by the European Research Council under the European Union Horizon 2020 Programme ERC ICORDA (817493). M.B. was supported by a public grant overseen by the French National Research Agency (ANR) as part of the Investissement d'Avenir program, through the IDI 2017 project funded by IDEX Paris-Saclay (ANR-11-IDEX-000302). The research leading to these results has received funding from the French Institute of Universe Sciences (INSU-BIOCOD) (S.D.-A. and A.L.), the French National Research Agency (ANR HUMI17 and ANR NEANDROOT) (A.L.), and the European Research Council under the European Union Horizon 2020 Programme (ERC ICORDA) (A.L.).</t>
  </si>
  <si>
    <t>10.1126/science.abj8826</t>
  </si>
  <si>
    <t>ZV2SO</t>
  </si>
  <si>
    <t>WOS:000770385500057</t>
  </si>
  <si>
    <t>Mitcham, T; Gudmundsson, GH; Bamber, JL</t>
  </si>
  <si>
    <t>Mitcham, Tom; Gudmundsson, G. Hilmar; Bamber, Jonathan L.</t>
  </si>
  <si>
    <t>The instantaneous impact of calving and thinning on the Larsen C Ice Shelf</t>
  </si>
  <si>
    <t>ANTARCTIC PENINSULA; DYNAMIC-RESPONSE; MASS-BALANCE; SHEET; STABILITY; COLLAPSE; GLACIERS; FLOW; TEMPERATURE; CLIMATE</t>
  </si>
  <si>
    <t>The Antarctic Peninsula has seen rapid and widespread changes in the extent of its ice shelves in recent decades, including the collapse of the Larsen A and B ice shelves in 1995 and 2002, respectively. In 2017 the Larsen C Ice Shelf (LCIS) lost around 10% of its area by calving one of the largest icebergs ever recorded (A68). This has raised questions about the structural integrity of the shelf and the impact of any changes in its extent on the flow of its tributary glaciers. In this work, we used an ice flow model to study the instantaneous impact of changes in the thickness and extent of the LCIS on ice dynamics and in particular on changes in the grounding line flux (GLF). We initialised the model to a pre-A68 calving state and first replicated the calving of the A68 iceberg. We found that there was a limited instantaneous impact on upstream flow - with speeds increasing by less than 10% across almost all of the shelf - and a 0.28% increase in GLF. This result is supported by observations of ice velocity made before and after the calving event. We then perturbed the ice-shelf geometry through a series of instantaneous, idealised calving and thinning experiments of increasing magnitude. We found that significant changes to the geometry of the ice shelf, through both calving and thinning, resulted in limited instantaneous changes in GLF. For example, to produce a doubling of GLF from calving, the new calving front needed to be moved to 5 km from the grounding line, removing almost the entire ice shelf. For thinning, over 200m of the ice-shelf thickness had to be removed across the whole shelf to produce a doubling of GLF. Calculating the instantaneous increase in GLF (607 %) after removing the entire ice shelf allowed us to quantify the total amount of buttressing provided by the LCIS. From this, we identified that the region of the ice shelf in the first 5 km downstream of the grounding line provided over 80% of the buttressing capacity of the shelf. This is due to the large resistive stresses generated in the narrow, local embayments downstream of the largest tributary glaciers.</t>
  </si>
  <si>
    <t>[Mitcham, Tom; Bamber, Jonathan L.] Univ Bristol, Bristol Glaciol Ctr, Sch Geog Sci, Bristol, Avon, England; [Gudmundsson, G. Hilmar] Northumbria Univ, Dept Geog &amp; Environm Sci, Newcastle Upon Tyne, Tyne &amp; Wear, England</t>
  </si>
  <si>
    <t>University of Bristol; Northumbria University</t>
  </si>
  <si>
    <t>Mitcham, T (corresponding author), Univ Bristol, Bristol Glaciol Ctr, Sch Geog Sci, Bristol, Avon, England.</t>
  </si>
  <si>
    <t>tom.mitcham@bristol.ac.uk</t>
  </si>
  <si>
    <t>Bamber, Jonathan/C-7608-2011; Gudmundsson, Gudmundur Hilmar/AAU-5987-2020</t>
  </si>
  <si>
    <t>Bamber, Jonathan/0000-0002-2280-2819; Gudmundsson, Gudmundur Hilmar/0000-0003-4236-5369; Mitcham, Tom/0000-0003-1688-2725</t>
  </si>
  <si>
    <t>UK Research and Innovation [NE/L002434/1]; NERC [NE/V013319/1] Funding Source: UKRI</t>
  </si>
  <si>
    <t>UK Research and Innovation(UK Research &amp; Innovation (UKRI)); NERC(UK Research &amp; Innovation (UKRI)Natural Environment Research Council (NERC))</t>
  </si>
  <si>
    <t>This research has been supported by UK Research and Innovation (grant no. NE/L002434/1).</t>
  </si>
  <si>
    <t>10.5194/tc-16-883-2022</t>
  </si>
  <si>
    <t>ZU4EE</t>
  </si>
  <si>
    <t>WOS:000769794300001</t>
  </si>
  <si>
    <t>Kennedy, F; McMinn, A; Martin, A</t>
  </si>
  <si>
    <t>Kennedy, Fraser; McMinn, Andrew; Martin, Andrew</t>
  </si>
  <si>
    <t>Short note: extracellular export and consumption of glucose in Antarctic sea ice</t>
  </si>
  <si>
    <t>Glucose; Antarctic microsensor; Sea ice algae</t>
  </si>
  <si>
    <t>POLYMERIC SUBSTANCES EPS; MCMURDO SOUND; CARBON; PHOTOSYNTHESIS; PHYTOPLANKTON; DYNAMICS; GRADIENT; GROWTH; PHASE; ALGAE</t>
  </si>
  <si>
    <t>Extracellular carbohydrate production is widespread in sea ice microbial communities, being produced by both algae and bacteria. Under stressful conditions, including nutrient limitation and high light, cells may export excess fixed carbon as glucose. Glucose microsensors were used to measure extracellular glucose exudation and consumption in a sea ice algal community. Glucose export increased with increasing irradiance between 15 and 512 mu mol photons m(-2) s(-1). This export correlated with declining FvFm values and increasing NPQ values, implying that glucose export resulted from exposure to above optimal irradiances. Glucose concentrations in samples treated with DCMU to block photosynthesis, declined at all irradiances. Bacterial consumption of glucose was between 6 and 34% of extracellular export per hour. There have been very few measurements of DOC/glucose in sea ice and the data presented here make an important contribution to our understanding of sea ice microbial processes.</t>
  </si>
  <si>
    <t>[Kennedy, Fraser; McMinn, Andrew; Martin, Andrew] Univ Tasmania, Inst Marine &amp; Antarctic Studies, Private Bag129, Hobart, Tas 7001, Australia; [McMinn, Andrew] Ocean Univ China, Coll Marine Life Sci, Qingdao 266003, Peoples R China</t>
  </si>
  <si>
    <t>University of Tasmania; Ocean University of China</t>
  </si>
  <si>
    <t>McMinn, A (corresponding author), Univ Tasmania, Inst Marine &amp; Antarctic Studies, Private Bag129, Hobart, Tas 7001, Australia.;McMinn, A (corresponding author), Ocean Univ China, Coll Marine Life Sci, Qingdao 266003, Peoples R China.</t>
  </si>
  <si>
    <t>Andrew.mcminn@utas.edu.au</t>
  </si>
  <si>
    <t>McMinn, Andrew/A-9910-2008</t>
  </si>
  <si>
    <t>Kennedy, Fraser/0000-0003-1796-0764; McMinn, Andrew/0000-0002-2133-3854</t>
  </si>
  <si>
    <t>New Zealand Antarctic Research Institute (NZARI) [2017-1-4]; Australian Research Council's Special Research Initiative for Antarctic Gateway Partnership [SR140300001]; CAUL</t>
  </si>
  <si>
    <t>New Zealand Antarctic Research Institute (NZARI); Australian Research Council's Special Research Initiative for Antarctic Gateway Partnership(Australian Research Council); CAUL</t>
  </si>
  <si>
    <t>Open Access funding enabled and organized by CAUL and its Member Institutions. This research was supported by the New Zealand Antarctic Research Institute (NZARI Grant 2017-1-4) and the Australian Research Council's Special Research Initiative for Antarctic Gateway Partnership (Project ID SR140300001).</t>
  </si>
  <si>
    <t>10.1007/s00300-022-03031-6</t>
  </si>
  <si>
    <t>0A5MI</t>
  </si>
  <si>
    <t>Green Published, hybrid, Green Accepted, Green Submitted</t>
  </si>
  <si>
    <t>WOS:000767709900001</t>
  </si>
  <si>
    <t>Verlaan, PA; Cronan, DS</t>
  </si>
  <si>
    <t>Verlaan, Philomene A.; Cronan, David S.</t>
  </si>
  <si>
    <t>Origin and variability of resource-grade marine ferromanganese nodules and crusts in the Pacific Ocean: A review of biogeochemical and physical controls</t>
  </si>
  <si>
    <t>GEOCHEMISTRY</t>
  </si>
  <si>
    <t>Manganese nodules; Cobalt-rich crusts; Biological productivity; Calcium Carbonate Compensation Depth; Oxygen minimum zone; Marine mining; Diagenesis; Hydrogenesis; Clarion-Clipperton Zone; Antarctic Bottom Water</t>
  </si>
  <si>
    <t>EXCLUSIVE ECONOMIC ZONES; AITUTAKI-JARVIS TRANSECT; NATURAL ORGANIC-LIGANDS; CENTRAL NORTH PACIFIC; COBALT-RICH CRUSTS; FE-MN CRUSTS; MANGANESE NODULES; SOUTH-PACIFIC; POLYMETALLIC NODULES; SURFACE SEDIMENTS</t>
  </si>
  <si>
    <t>Marine ferromanganese nodules and crusts containing Mn, Cu, Ni and Co in the most promising resource-grade concentrations and quantities, together with Fe and Zn (all elements of biogeochemical importance) are found far from land on the deep seafloor of the Pacific Ocean. The biogeochemical, chemical and physical mechanisms contributing to their formation, distribution, abundance and - for these six elements - variability in their concentrations in these deposits, are the main focus of the present review. The mechanisms addressed include biological productivity, sedimentation types and rates, bottom water characteristics, the Calcium Carbonate Compensation Depth, the depth and intensity of the oxygen minimum zone, and biogeochemical characteristics of the six focal elements. Particular attention is given to comparisons between the deposits found in the north and the south Pacific, in order to present an overarching view of our current understanding of the mechanisms that apply to both nodules and crusts in both oceanic hemispheres, including examination of the possible existence of a marine ferromanganese oxide continuum. The renewed interest in the commercial exploitation of these deposits has stimulated a welcome increase in scientific research that is essential to informing the public discourse on seabed mining. We briefly reflect on the work addressed in this review in that context.</t>
  </si>
  <si>
    <t>[Verlaan, Philomene A.] Univ Hawaii Manoa, Dept Oceanog, Sch Ocean &amp; Earth Sci &amp; Technol, Honolulu, HI 96822 USA; [Cronan, David S.] Imperial Coll, Royal Sch Mines, Marine Geochem, London, England</t>
  </si>
  <si>
    <t>University of Hawaii System; University of Hawaii Manoa; Imperial College London</t>
  </si>
  <si>
    <t>Verlaan, PA (corresponding author), Univ Hawaii Manoa, Dept Oceanog, Sch Ocean &amp; Earth Sci &amp; Technol, Honolulu, HI 96822 USA.;Verlaan, PA (corresponding author), 16 Lansdowne Rd, London N3 1ES, England.</t>
  </si>
  <si>
    <t>verlaan@hawaii.edu</t>
  </si>
  <si>
    <t>ELSEVIER GMBH</t>
  </si>
  <si>
    <t>MUNICH</t>
  </si>
  <si>
    <t>HACKERBRUCKE 6, 80335 MUNICH, GERMANY</t>
  </si>
  <si>
    <t>0009-2819</t>
  </si>
  <si>
    <t>1611-5864</t>
  </si>
  <si>
    <t>GEOCHEMISTRY-GERMANY</t>
  </si>
  <si>
    <t>Geochemistry</t>
  </si>
  <si>
    <t>10.1016/j.chemer.2021.125741</t>
  </si>
  <si>
    <t>0L2ZA</t>
  </si>
  <si>
    <t>WOS:000781346700003</t>
  </si>
  <si>
    <t>Wood, M; Sirovic, A</t>
  </si>
  <si>
    <t>Wood, Megan; Sirovic, Ana</t>
  </si>
  <si>
    <t>Characterization of fin whale song off the Western Antarctic Peninsula</t>
  </si>
  <si>
    <t>SOUTH ORKNEY ISLANDS; BALAENOPTERA-PHYSALUS; HUMPBACK WHALES; CULTURAL TRANSMISSION; SEXUAL SELECTION; LONG-TERM; BLUE; FREQUENCY; EVOLUTION; COURTSHIP</t>
  </si>
  <si>
    <t>Song is produced by a variety of terrestrial and marine animals and is particularly common among baleen whales. Fin whale (Balaenoptera physalus) song is comprised of relatively simple 20 Hz pulses produced at regular intervals. The timing of these intervals, in addition to the presence and frequency of overtones, appears to be unique to each population. The purpose of this study was to characterize Western Antarctic Peninsula fin whale song and describe temporal pattern variations in song type and occurrence. Recordings were collected in the area from 2001-2004 and again 2014-2016. One song type was identified with a primary inter-pulse interval (IPI) of approximately 14 s and secondary IPI of 12.5 s. This song occurred in three pattern variants: singlet, doublet, and long triplet. The interval between pulses increased by 1.5 s between recording periods while the frequency of the overtones decreased from 89 Hz to 86 Hz. Song was never recorded in August and while it was recorded at other times in some years, it was consistently present in recordings from April through June across all years. While multiple pattern variants were present each year, singlets were generally the most prevalent variant. Doublets and triplets occurred from February through June, with highest levels of variants in February. In later years the triplet variant presence increased and in 2016 it comprised 53% of recorded song bouts. Further research is needed to understand the reasons why song changes over time and to examine the feasibility of using song to delineate and identify populations.</t>
  </si>
  <si>
    <t>[Wood, Megan; Sirovic, Ana] Texas A&amp;M Univ, Dept Marine Biol, Galveston, TX 77553 USA; [Sirovic, Ana] Norwegian Univ Sci &amp; Technol, Biol Dept, Trondheim, Norway</t>
  </si>
  <si>
    <t>Texas A&amp;M University System; Norwegian University of Science &amp; Technology (NTNU)</t>
  </si>
  <si>
    <t>Wood, M (corresponding author), Texas A&amp;M Univ, Dept Marine Biol, Galveston, TX 77553 USA.</t>
  </si>
  <si>
    <t>ana.sirovic@ntnu.no</t>
  </si>
  <si>
    <t>Sirovic, Ana/0000-0001-5097-1268; Wood, Megan/0000-0002-9724-9595</t>
  </si>
  <si>
    <t>NSF Office of Polar Programs [OPP 99-10007]; University of California San Diego Academic Senate; Consejo Nacional de Investigaciones Cientificas y Tecnicas (CONICET); Fundacion Cethus; Whale and Dolphin Conservation</t>
  </si>
  <si>
    <t>NSF Office of Polar Programs(National Science Foundation (NSF)); University of California San Diego Academic Senate; Consejo Nacional de Investigaciones Cientificas y Tecnicas (CONICET)(Consejo Nacional de Investigaciones Cientificas y Tecnicas (CONICET)); Fundacion Cethus; Whale and Dolphin Conservation</t>
  </si>
  <si>
    <t>Data from 2001-2004 used for this study were collected during Southern Ocean GLOBEC program (NSF Office of Polar Programs grant OPP 99-10007 to J. Hildebrand at the University of California San Diego). More recent data were collected with funding support from the University of California San Diego Academic Senate (https://senate.ucsd.edu/), the Consejo Nacional de Investigaciones Cienti ' ficas y Te ' cnicas (CONICET, https://www.conicet.gov.ar/), Fundacion Cethus (https://www.cethus.org), and Whale and Dolphin Conservation (https://us.whales.org/).The funders had no role in study design, data collection and analysis, decision to publish, or preparation of the manuscript.</t>
  </si>
  <si>
    <t>MAR 10</t>
  </si>
  <si>
    <t>e0264214</t>
  </si>
  <si>
    <t>10.1371/journal.pone.0264214</t>
  </si>
  <si>
    <t>2R2AR</t>
  </si>
  <si>
    <t>WOS:000820912700024</t>
  </si>
  <si>
    <t>Tagliabue, A; Bowie, AR; Holmes, T; Latour, P; Van Der Merwe, P; Gault-Ringold, M; Wuttig, K; Resing, JA</t>
  </si>
  <si>
    <t>Tagliabue, Alessandro; Bowie, Andrew R.; Holmes, Thomas; Latour, Pauline; van der Merwe, Pier; Gault-Ringold, Melanie; Wuttig, Kathrin; Resing, Joseph A.</t>
  </si>
  <si>
    <t>Constraining the Contribution of Hydrothermal Iron to Southern Ocean Export Production Using Deep Ocean Iron Observations</t>
  </si>
  <si>
    <t>trace metals; hydrothermalism; Southern Ocean; biogeochemical modelling; iron cycle in oceans</t>
  </si>
  <si>
    <t>DISSOLVED IRON; BRANSFIELD STRAIT; MANTLE HE-3; ATLANTIC; DISTRIBUTIONS; CIRCULATION; METALS; BASIN; MODEL; MN</t>
  </si>
  <si>
    <t>Hydrothermal iron supply contributes to the Southern Ocean carbon cycle via the regulation of regional export production. However, as hydrothermal iron input estimates are coupled to helium, which are uncertain depending on whether helium inputs are based on ridge spreading rates or inverse modelling, questions remain regarding the magnitude of the export production impacts. A particular challenge is the limited observations of dissolved iron (dFe) supply from the abyssal Southern Ocean ridge system to directly assess different hydrothermal iron supply scenarios. We combine ocean biogeochemical modelling with new observations of dFe from the abyssal Southern Ocean to assess the impact of hydrothermal iron supply estimated from either ridge spreading rate or inverse helium modelling on Southern Ocean export production. The hydrothermal contribution to dFe in the upper 250 m reduces 4-5 fold when supply is based on inverse modelling, relative to those based on spreading rate, translating into a 36-73% reduction in the impact of hydrothermal iron on export production. However, only the spreading rate input scheme reproduces observed dFe anomalies &gt;1 nM around the circum-Antarctic ridge. The model correlation with observations drops 3 fold under the inverse modelling input scheme. The best dFe scenario has a residence time for hydrothermal iron that is between 21 and 34 years, highlighting the importance of rapid physical mixing to surface waters. Overall, because of its short residence time, hydrothermal Fe supplied locally by circum-Antarctic ridges is most important to the Southern Ocean carbon cycle and our results highlight decoupling between hydrothermal iron and helium supply.</t>
  </si>
  <si>
    <t>[Tagliabue, Alessandro] Univ Liverpool, Sch Environm Sci, Liverpool, Merseyside, England; [Bowie, Andrew R.; Holmes, Thomas; Latour, Pauline; van der Merwe, Pier] Univ Tasmania, Inst Marine &amp; Antarctic Studies, Hobart, Tas, Australia; [Bowie, Andrew R.; van der Merwe, Pier; Gault-Ringold, Melanie; Wuttig, Kathrin] Antarctic Climate &amp; Ecosyst Cooperat Res Ctr, Hobart, Tas, Australia; [Resing, Joseph A.] Univ Washington, NOAA Pacific Marine Environm Lab, Cooperat Inst Climate Ocean &amp; Ecosyst Studies, Seattle, WA 98195 USA</t>
  </si>
  <si>
    <t>University of Liverpool; University of Tasmania; Antarctic Climate &amp; Ecosystems Cooperative Research Centre (ACE CRC); National Oceanic Atmospheric Admin (NOAA) - USA; University of Washington; University of Washington Seattle</t>
  </si>
  <si>
    <t>Tagliabue, A (corresponding author), Univ Liverpool, Sch Environm Sci, Liverpool, Merseyside, England.</t>
  </si>
  <si>
    <t>a.tagliabue@liverpool.ac.uk</t>
  </si>
  <si>
    <t>Resing, Joseph A/J-6110-2017; van der Merwe, Pier C/C-9210-2015; Bowie, Andrew/C-8677-2013; Wuttig, Kathrin/F-5793-2015; Holmes, Thomas/J-4950-2015</t>
  </si>
  <si>
    <t>Resing, Joseph A/0000-0002-7334-4176; Bowie, Andrew/0000-0002-5144-7799; Wuttig, Kathrin/0000-0003-4010-5918; Holmes, Thomas/0000-0001-8061-4325</t>
  </si>
  <si>
    <t>NERC [NE/N009525/1]; Antarctic Climate and Ecosystems Cooperative Research Centre (ACE CRC); Australian Research Council [FT130100037]; NOAA Earth-Ocean Interactions Program; Office of Ocean Exploration and Research; United States National Science Foundation [OCE1756402]; Australian Research Council [FT130100037] Funding Source: Australian Research Council</t>
  </si>
  <si>
    <t>NERC(UK Research &amp; Innovation (UKRI)Natural Environment Research Council (NERC)); Antarctic Climate and Ecosystems Cooperative Research Centre (ACE CRC)(Australian GovernmentDepartment of Industry, Innovation and ScienceCooperative Research Centres (CRC) Programme); Australian Research Council(Australian Research Council); NOAA Earth-Ocean Interactions Program; Office of Ocean Exploration and Research; United States National Science Foundation(National Science Foundation (NSF)); Australian Research Council(Australian Research Council)</t>
  </si>
  <si>
    <t>AT was supported by funding from NERC (NE/N009525/1). AB was supported by the Antarctic Climate and Ecosystems Cooperative Research Centre (ACE CRC) and Australian Research Council through the Future Fellowships Program (FT130100037). JR was funded by NOAA Earth-Ocean Interactions Program and Office of Ocean Exploration and Research and United States National Science Foundation OCE1756402.</t>
  </si>
  <si>
    <t>10.3389/fmars.2022.754517</t>
  </si>
  <si>
    <t>0H3IH</t>
  </si>
  <si>
    <t>WOS:000778628900001</t>
  </si>
  <si>
    <t>Panti, C; Muñoz-Arnanz, J; Marsili, L; Panigada, S; Baini, M; Jiménez, B; Fossi, MC; Lauriano, G</t>
  </si>
  <si>
    <t>Panti, Cristina; Munoz-Arnanz, Juan; Marsili, Letizia; Panigada, Simone; Baini, Matteo; Jimenez, Begona; Fossi, Maria Cristina; Lauriano, Giancarlo</t>
  </si>
  <si>
    <t>Ecotoxicological Characterization of Type C Killer Whales From Terra Nova Bay (Ross Sea, Antarctica): Molecular Biomarkers, Legacy, and Emerging Persistent Organic Contaminants</t>
  </si>
  <si>
    <t>cetaceans; persistent organic pollutants (POPs); dechlorane plus (DP); gene expression; qRT- PCR; protein expression; PPARs</t>
  </si>
  <si>
    <t>MESSENGER-RNA EXPRESSION; ORCINUS-ORCA; POLYCHLORINATED-BIPHENYLS; SKIN BIOPSY; POLLUTANTS; WEB; BIOACCUMULATION; INDUCTION; CETACEANS; EXPOSURE</t>
  </si>
  <si>
    <t>Among killer whale forms, type C is a fish-eating form and is the most common in the Ross Sea. In the austral summer 2015, a study was conducted to evaluate the toxicological hazard these marine mammals face in the Antarctic ecosystem. Seven biopsy samples were collected from adult individuals (five males and two females) in the surroundings of the Italian Research Station Mario Zucchelli, Terra Nova Bay, by remote dart sampling from the pack ice. The accumulation levels of persistent organic pollutants (POPs) such as legacy (DDTs, PCBs, and HCB) and emerging (PBDEs and DP) were measured. Moreover, the protein expression of cytochrome P450 (CYP1A1 and 2B) and the mRNA level variations of the peroxisome proliferator-activated receptors alpha and gamma (PPAR alpha-gamma) and the estrogen receptor alpha (ER alpha), aryl hydrocarbon receptor (AhR), and Cyp1a were evaluated. Twenty PCB congeners, six DDTs, HCB, three HCHs, and fourteen brominated BDEs and DP-syn and anti-isomers were analyzed on freeze-dried blubber biopsy samples by GC-MS. The protein expression was evaluated by Western Blot and the mRNA levels were quantified by quantitative real-time PCR. The average abundance pattern for the contaminants was DDTs &gt; PCBs &gt; HCB &gt; HCHs approximate to PBDEs &gt;&gt; DP. Contaminant levels resulted to be lower when compared to the existing data from the Antarctic type C killer whales from the McMurdo Sound (Ross Sea) and those reported for fish-eating killer whales worldwide. The mRNA levels of the five target genes were successfully quantified, but no statistical correlation was found with POP levels, suggesting that either the low levels of quantified POPs in blubber may not significantly affect the biological responses investigated, or that other stressors could contribute to the alterations of the molecular biomarkers. Although the results showed a lower risk related to contamination compared to more impacted areas, this study provides baseline data for the conservation of this species in an area with high ecological value, recently declared as the largest Marine Protected Area in Antarctica, where pollutants should remain at minimum levels despite increasing multiple stresses existing in the region.</t>
  </si>
  <si>
    <t>[Panti, Cristina; Marsili, Letizia; Baini, Matteo; Fossi, Maria Cristina] Univ Siena, Dept Environm Earth &amp; Phys Sci, Siena, Italy; [Munoz-Arnanz, Juan] CSIC, Inst Organ Chem IQOG, Madrid, Spain; [Marsili, Letizia] Univ Siena, Ctr Interuniv Ric Cetacei CIRCE, Dept Environm Earth &amp; Phys Sci, Siena, Italy; [Panigada, Simone; Jimenez, Begona] Tethys Res Inst, Milan, Italy; [Lauriano, Giancarlo] Italian Inst Environm Protect &amp; Res ISPRA, Rome, Italy</t>
  </si>
  <si>
    <t>University of Siena; Consejo Superior de Investigaciones Cientificas (CSIC); CSIC - Instituto de Quimica Organica General (IQOG); University of Siena; Italian Institute for Environmental Protection &amp; Research (ISPRA)</t>
  </si>
  <si>
    <t>Panti, C (corresponding author), Univ Siena, Dept Environm Earth &amp; Phys Sci, Siena, Italy.</t>
  </si>
  <si>
    <t>panti4@unisi.it</t>
  </si>
  <si>
    <t>Marsili, Letizia/AAB-7138-2019; Muñoz-Arnanz, Juan/M-6638-2019; Baini, Matteo/IAR-1459-2023</t>
  </si>
  <si>
    <t>Marsili, Letizia/0000-0002-2474-4587; Muñoz-Arnanz, Juan/0000-0002-6329-7003; Baini, Matteo/0000-0003-2237-7688; lauriano, giancarlo/0000-0003-3465-6078; Jimenez, Begona/0000-0002-2401-4648</t>
  </si>
  <si>
    <t>Italian Antarctic Research Programme (PNRA); [15CAES004]; [17CAES004]; [2013/AZ1.08]</t>
  </si>
  <si>
    <t>Italian Antarctic Research Programme (PNRA); ; ;</t>
  </si>
  <si>
    <t>This study was funded by the Italian Antarctic Research Programme (PNRA) granted to Giancarlo Lauriano (award no 2013/AZ1.08).</t>
  </si>
  <si>
    <t>10.3389/fmars.2022.818370</t>
  </si>
  <si>
    <t>0G9NX</t>
  </si>
  <si>
    <t>WOS:000778366300001</t>
  </si>
  <si>
    <t>Mora, M; Walker, TR; Willis, R</t>
  </si>
  <si>
    <t>Mora, Myriam; Walker, Tony R.; Willis, Rob</t>
  </si>
  <si>
    <t>Spatiotemporal characterization of petroleum hydrocarbons and polychlorinated biphenyls in small craft harbour sediments in Nova Scotia, Canada</t>
  </si>
  <si>
    <t>Petroleum hydrocarbons (PHCs); Polychlorinated biphenyls (PCBs); Marine sediments; Sediment quality guidelines (SQGs); Small craft harbours (SCHs); Nova Scotia</t>
  </si>
  <si>
    <t>POLYCYCLIC AROMATIC-HYDROCARBONS; ANTARCTIC COASTAL ENVIRONMENT; SYDNEY TAR PONDS; SURFACE SEDIMENTS; MARINE-SEDIMENTS; ORGANIC CONTAMINANTS; HALIFAX HARBOR; OIL-SPILL; DATA SETS; METALS</t>
  </si>
  <si>
    <t>Previous characterization of polycyclic aromatic hydrocarbons (PAHs) and metals has been conducted in small craft harbour (SCH) sediments in Nova Scotia, Canada, but petroleum hydrocarbons (PHCs) and polychlorinated biphenyls (PCBs) have not been spatiotemporally assessed. This study characterized the distribution of over 500 PHCs and PCBs samples in 31 SCHs sediments between 2000 and 2017. Federal and regional sediment quality guidelines were used to determine exceedances. Results showed exceedances for diesel and oil resembling PHCs, expected given their longer permanence in sediments and lower volatility. However, only 7% of the samples exceeded 500 ppm, threshold where benthic impairment is observed, showing low risk. PCBs do not pose high risk to biota since only six samples exceeded the higher effect level and 25% of them exceeded the lower effect one. Monitoring is recommended for SCHs with significant exceedances, as well as collectively assessing all contaminants characterized in SCHs.</t>
  </si>
  <si>
    <t>[Mora, Myriam; Walker, Tony R.] Dalhousie Univ, Sch Resource &amp; Environm Studies, Halifax, NS B3H 4R2, Canada; [Willis, Rob] Dillon Consulting Ltd, Halifax, NS B3S 1B3, Canada</t>
  </si>
  <si>
    <t>Dalhousie University</t>
  </si>
  <si>
    <t>Mora, M (corresponding author), Dalhousie Univ, Sch Resource &amp; Environm Studies, Halifax, NS B3H 4R2, Canada.</t>
  </si>
  <si>
    <t>myriam.mora@dal.ca</t>
  </si>
  <si>
    <t>Walker BSc, MPhil, PhD, Tony R./ABA-4581-2020</t>
  </si>
  <si>
    <t>Walker BSc, MPhil, PhD, Tony R./0000-0001-9008-0697</t>
  </si>
  <si>
    <t>Natural Sciences and Engineering Research Council of Canada (NSERC) [RGPIN-2018-04119]; NSERC CREATE: ASPIRE student scholarship; Mitacs Globalink Graduate Fellowship</t>
  </si>
  <si>
    <t>Natural Sciences and Engineering Research Council of Canada (NSERC)(Natural Sciences and Engineering Research Council of Canada (NSERC)); NSERC CREATE: ASPIRE student scholarship; Mitacs Globalink Graduate Fellowship</t>
  </si>
  <si>
    <t>Thanks to DFO-SCH and PSPC for supplying sediment data. This study was funded by the Natural Sciences and Engineering Research Council of Canada (NSERC), Grant/Award Number: RGPIN-2018-04119 to Tony R. Walker, a NSERC CREATE: ASPIRE student scholarship and a Mitacs Globalink Graduate Fellowship to Myriam Mora.</t>
  </si>
  <si>
    <t>10.1016/j.marpolbul.2022.113524</t>
  </si>
  <si>
    <t>0H7VI</t>
  </si>
  <si>
    <t>WOS:000778939000007</t>
  </si>
  <si>
    <t>Woods, BL; Walters, A; Hindell, M; Revill, AT; Field, I; McCormack, SA; Cherel, Y; Trebilco, R</t>
  </si>
  <si>
    <t>Woods, B. L.; Walters, A.; Hindell, M.; Revill, A. T.; Field, I; McCormack, S. A.; Cherel, Y.; Trebilco, R.</t>
  </si>
  <si>
    <t>Trophic structure of Southern Ocean squid: a cross-basin analysis of stable isotopes in archived beaks from predator stomachs</t>
  </si>
  <si>
    <t>Allometry; Biochemical tracers; CSIA-AA; Nitrogen; Trophic position; Cephalopods; Antarctic; Mesopelagic</t>
  </si>
  <si>
    <t>SEA CEPHALOPOD ASSEMBLAGE; INCLUDING GIANT; ONTOGENIC CHANGES; FORAGING ECOLOGY; SIZE-SPECTRA; AMINO-ACIDS; BODY-SIZE; NITROGEN; POSITION; FISH</t>
  </si>
  <si>
    <t>Cephalopods are an important component of Southern Ocean food webs, but aspects of their trophic ecology remain unresolved. Here, we used archived squid (order Teuthida) beaks, collected from stomach contents of predators at Macquarie and Kerguelen Islands, to investigate the trophic structure within an assemblage of pelagic squids (Alluroteuthis antarcticus, Filippovia knipovitchi, Gonatus antarcticus, Histioteuthis eltaninae, Martialia hyadesi and Brachioteuthis linkovskyi). We combined bulk nitrogen stable isotopes (delta N-15(bulk)) with compound-specific isotope analysis of amino acids (CSIA-AA) to estimate the trophic position (TP) of species and to assess isotopic relationships with body size at the species, community, and ocean basin levels. We observed significantly higher mean delta N-15(bulk) values for species at the Kerguelen Islands compared to conspecifics at Macquarie Island. This result was explained by regional variability in delta N-15 values of phenylalanine (delta N-15(Phe)), suggesting that predator species were accessing different isotopic baselines at each region. This may highlight the different foraging strategies of both species. The overlap in species TP estimates from CSIA-AA (TPCSIA) between the 2 communities (Macquarie Island TPCSIA min: 2.3, max: 5.3; Kerguelen Islands TPCSIA min: 2.7, max: 5.3) indicated a similar trophic structure at both locations. We note unrealistically low TPCSIA for some species, which we attribute to uncertainty of trophic discrimination factors. TP estimates suggested that squid encompass 3 trophic levels from mid-trophic levels to higher predators. We did not find strong or consistent relationships between TP and body size at either the species- or community-level. One of the largest squid species, M. hyadesi, occupied the lowest TP in both communities. These new insights into the trophic structure of the Southern Ocean squid community have important implications for the future representation of pelagic squids in ecosystem models.</t>
  </si>
  <si>
    <t>[Woods, B. L.; Walters, A.; Hindell, M.; Field, I; McCormack, S. A.; Trebilco, R.] Univ Tasmania, Inst Marine &amp; Antarctic Studies, Private Bag 129, Hobart, Tas 7001, Australia; [Revill, A. T.; Trebilco, R.] CSIRO, Oceans &amp; Atmosphere, Battery Point, Tas 7004, Australia; [Cherel, Y.] La Rochelle Univ, Ctr Etud Biol Chize, UMR 7372, CNRS, F-79360 Villiers En Bois, France</t>
  </si>
  <si>
    <t>University of Tasmania; Commonwealth Scientific &amp; Industrial Research Organisation (CSIRO); Centre National de la Recherche Scientifique (CNRS); CNRS - Institute of Ecology &amp; Environment (INEE)</t>
  </si>
  <si>
    <t>Woods, BL (corresponding author), Univ Tasmania, Inst Marine &amp; Antarctic Studies, Private Bag 129, Hobart, Tas 7001, Australia.</t>
  </si>
  <si>
    <t>bree.woods@utas.edu.au</t>
  </si>
  <si>
    <t>Hindell, Mark A/K-1131-2013; Trebilco, Rowan/I-5311-2012; Revill, Andrew/B-8733-2011</t>
  </si>
  <si>
    <t>Trebilco, Rowan/0000-0001-9712-8016; Walters, Andrea/0000-0002-7166-5689; Revill, Andrew/0000-0003-2486-5976; Woods, Briannyn/0000-0001-6735-3626</t>
  </si>
  <si>
    <t>Research Enhancement Grant Scheme (REGS) award from the University of Tasmania; IPEV Programme [109]; Terres Australes et Antarctiques Francaises</t>
  </si>
  <si>
    <t>Research Enhancement Grant Scheme (REGS) award from the University of Tasmania; IPEV Programme; Terres Australes et Antarctiques Francaises</t>
  </si>
  <si>
    <t>The data from Macquarie Island were collected with permits from the Tasmanian Parks and Wildlife Service and ethics approval from the Australian Antarctic Animal Ethics Committee. We thank M. Biuw, J. Harrington, C. McKinley, N. Milius, R. Munro, M. Pauza, K. Wheatley and members of the 51st-53rd ANARE to Macquarie Island for their work in the field. We thank Christian Dietz and Christine Cook at the Central Science Laboratory at the University of Tasmania for their analytical work. Thanks to Kieran Murphy for his guidance and advice on the interpretation of stable isotope data. This project was supported by a Research Enhancement Grant Scheme (REGS) award to R.T. from the University of Tasmania. The data from Kerguelen Islands were collected with ethics approval from the Ethics Committee of the Institut Polaire Francais Paul Emile Victor (IPEV). The authors thank S. Caulle and D. Secondi, who helped during the field work. The Kerguelen study was supported financially and logistically by the IPEV Programme N degrees 109 (C. Barbraud) and the Terres Australes et Antarctiques Francaises.</t>
  </si>
  <si>
    <t>10.3354/meps13990</t>
  </si>
  <si>
    <t>ZX2MR</t>
  </si>
  <si>
    <t>WOS:000771734400010</t>
  </si>
  <si>
    <t>Twiname, S; Fitzgibbon, QP; Hobday, AJ; Carter, CG; Oellermann, M; Pecl, GT</t>
  </si>
  <si>
    <t>Twiname, Samantha; Fitzgibbon, Quinn P.; Hobday, Alistair J.; Carter, Chris G.; Oellermann, Michael; Pecl, Gretta T.</t>
  </si>
  <si>
    <t>Resident lobsters dominate food competition with range-shifting lobsters in an ocean warming hotspot</t>
  </si>
  <si>
    <t>Climate change ecology; Interspecific competition; Climate change ecology; Interspecific competition; Novel species interactions; Range shifts; Spiny lobsters; Thermal performance</t>
  </si>
  <si>
    <t>SOUTHERN ROCK LOBSTER; AMERICANUS MILNE-EDWARDS; CLIMATE-CHANGE IMPACTS; SPINY LOBSTER; HOMARUS-AMERICANUS; INTERSPECIFIC INTERACTIONS; TROPHIC INTERACTIONS; INDIVIDUAL VARIATION; PANULIRUS-GUTTATUS; JASUS-EDWARDSII</t>
  </si>
  <si>
    <t>Species redistributions are one of the most prevalent changes observed in oceans worldwide due to climate change. One of the major challenges is being able to predict temperature-driven changes to species interactions and the outcome of these changes for marine communities due to the complex nature of indirect effects. In the ocean-warming hotspot of southeast Australia, the ranges of many species have shifted poleward. The range of the eastern rock lobster Sagmariasus verreauxi has extended into warming Tasmanian waters inhabited by the resident southern rock lobster Jasus edwardsii, which may lead to increased competitive interactions between the species. Using video monitoring, we investigated how the 2 species compete for food at current (18 degrees C), future (21 degrees C) and future heatwave (24 degrees C) summer temperatures. Behavioural competition occurred in 80% of experiments, during which J. edwardsii won 84% of competitive interactions and showed more aggressive behaviour at all temperatures. This indicates that resident J. edwardsii is not only more dominant in direct food competition than the range-shifting S. verreauxi but, surprisingly, also sustains competitive dominance beyond its physiological thermal optimum under predicted future ocean warming and heatwave scenarios.</t>
  </si>
  <si>
    <t>[Twiname, Samantha; Fitzgibbon, Quinn P.; Carter, Chris G.; Oellermann, Michael; Pecl, Gretta T.] Univ Tasmania, Inst Marine &amp; Antarctic Studies, Private Bag 49, Hobart, Tas 7001, Australia; [Hobday, Alistair J.] CSIRO Oceans &amp; Atmosphere, Hobart, Tas 7001, Australia; [Oellermann, Michael] Tech Univ Munich, TUM Sch Life Sci, Aquat Syst Biol Unit, D-85354 Weihenstephan, Germany</t>
  </si>
  <si>
    <t>University of Tasmania; Commonwealth Scientific &amp; Industrial Research Organisation (CSIRO); Technical University of Munich</t>
  </si>
  <si>
    <t>Twiname, S (corresponding author), Univ Tasmania, Inst Marine &amp; Antarctic Studies, Private Bag 49, Hobart, Tas 7001, Australia.</t>
  </si>
  <si>
    <t>samantha.twiname@utas.edu.au</t>
  </si>
  <si>
    <t>Pecl, Gretta/D-7267-2011; Hobday, Alistair/A-1460-2012; Carter, Chris Guy/A-3438-2008; Oellermann, Michael/G-7073-2011</t>
  </si>
  <si>
    <t>Pecl, Gretta/0000-0003-0192-4339; Carter, Chris Guy/0000-0001-5210-1282; Fitzgibbon, Quinn/0000-0002-1104-3052; Oellermann, Michael/0000-0001-5392-6737</t>
  </si>
  <si>
    <t>ARC Future Fellowship [FT140100596]; ARC Industrial Transformation Research Hub project [IH12100032]; German Research Foundation [OE658/1, OE658/2]; Holsworth Wildlife Research Endowment</t>
  </si>
  <si>
    <t>ARC Future Fellowship(Australian Research Council); ARC Industrial Transformation Research Hub project(Australian Research Council); German Research Foundation(German Research Foundation (DFG)); Holsworth Wildlife Research Endowment</t>
  </si>
  <si>
    <t>We thank the IMAS aquaculture technicians for their laboratory support and M. Corkill for his help conducting the experiments. We also thank the commercial rock lobster fishers of Tasmania for their help in obtaining S. verreauxi individuals for this study. This research was supported by G.T.P.'s ARC Future Fellowship (FT140100596), Q.P.F. and C.G.C.'s ARC Industrial Transformation Research Hub project (IH12100032), M.O.'s research fellowships by the German Research Foundation (OE658/1 &amp; OE658/2) and S.T.'s Holsworth Wildlife Research Endowment. We appreciate the comments from the editors and the 3 anonymous reviewers that improved the clarity of the manuscript.</t>
  </si>
  <si>
    <t>10.3354/meps13984</t>
  </si>
  <si>
    <t>WOS:000771734400012</t>
  </si>
  <si>
    <t>De Leij, R; Grange, LJ; Peck, LS</t>
  </si>
  <si>
    <t>De Leij, Rebecca; Grange, Laura J.; Peck, Lloyd S.</t>
  </si>
  <si>
    <t>Functional thermal limits are determined by rate of warming during simulated marine heatwaves</t>
  </si>
  <si>
    <t>Extreme warming events; Sub-lethal limits; Thermal tolerance; Climate change; Polar; Segmented regression; Echinoderm; Sterechinus neumayeri</t>
  </si>
  <si>
    <t>ANTARCTIC SEA-URCHIN; TEMPERATURE LIMITS; SOUTHERN-OCEAN; METABOLIC-RATE; TOLERANCE; GROWTH; OXYGEN; ABUNDANCE; RESPONSES; BIVALVE</t>
  </si>
  <si>
    <t>Marine heatwaves (MHWs) are increasing in both intensity and frequency against a backdrop of gradual warming associated with climate change. In the context of MHWs, animals are likely to experience sub-lethal rather than lethal effects, defining long-term limits to survival and/or impacting individual and population fitness. We investigated how functional sub-lethal limits track critical thresholds and how this relationship changes with warming rate. To this end, we monitored basic functioning, specifically the ability to right, feed and assimilate energy, as well as oxygen consumption rate in the common Antarctic sea urchin Sterechinus neumayeri. Water temperature in experimental systems was increased at rates of 1, 0.5 and 0.3 degrees C d(-1), in line with the characteristics of MHW events previously experienced at the site where the study urchins were collected on the Antarctica Peninsula. Functioning was assessed during the simulation of MHWs, and sub-lethal limits were determined when the rate of functional degradation changed as temperature increased. Results suggest that thermal sensitivity varies between the key biological functions measured, with the ability to right having the highest thermal threshold. Functions deteriorated at lower temperatures when warming was more rapid (1 degrees C d(-1)), contrary to lethal critical thresholds, which were reached at lower temperatures when warming was slower (0.3 degrees C d(-1)). MHWs and their impacts extend far beyond Antarctica, and in this context, our analyses indicate that the onset rate of MHWs is critical in determining the ability of an organism to tolerate short-term elevated temperatures.</t>
  </si>
  <si>
    <t>[De Leij, Rebecca] Univ Southampton, Waterfront Campus,European Way, Southampton SO14 3ZH, Hants, England; [De Leij, Rebecca; Grange, Laura J.] Bangor Univ, Sch Ocean Sci, Bangor LL57 2DG, Gwynedd, Wales; [Peck, Lloyd S.] British Antarctic Survey, Madingley Rd, Cambridge CB3 0ET, England</t>
  </si>
  <si>
    <t>University of Southampton; Bangor University; UK Research &amp; Innovation (UKRI); Natural Environment Research Council (NERC); NERC British Antarctic Survey</t>
  </si>
  <si>
    <t>De Leij, R (corresponding author), Univ Southampton, Waterfront Campus,European Way, Southampton SO14 3ZH, Hants, England.;De Leij, R (corresponding author), Bangor Univ, Sch Ocean Sci, Bangor LL57 2DG, Gwynedd, Wales.</t>
  </si>
  <si>
    <t>ridl1n17@soton.ac.uk</t>
  </si>
  <si>
    <t>Natural Environmental Research Council [NE/L002531/1]; Collaborative Antarctic Science Scheme (CASS)</t>
  </si>
  <si>
    <t>Natural Environmental Research Council(UK Research &amp; Innovation (UKRI)Natural Environment Research Council (NERC)); Collaborative Antarctic Science Scheme (CASS)</t>
  </si>
  <si>
    <t>This work was supported by the Natural Environmental Research Council (grant number NE/L002531/1). We acknowledge the Collaborative Antarctic Science Scheme (CASS) for providing the funds to support the travel and carry out this work at Rothera Research Station. We thank the British Antarctic Survey Rothera Marine team for the support provided during the experimental period of this work: in particular, the laboratory manager, Aurelia Reichardt, for her technical guidance and assistance in the aquarium; and Dr. Simon Morley, for his expertise and assistance during the Antarctic season.</t>
  </si>
  <si>
    <t>10.3354/meps13980</t>
  </si>
  <si>
    <t>WOS:000771734400013</t>
  </si>
  <si>
    <t>Fowler, AM; Ochwada-Doyle, FA; Dowling, NA; Folpp, H; Hughes, JM; Lowry, MB; Lyle, JM; Lynch, TP; Miles, NG; Chick, RC</t>
  </si>
  <si>
    <t>Fowler, Ashley M.; Ochwada-Doyle, Faith A.; Dowling, Natalie A.; Folpp, Heath; Hughes, Julian M.; Lowry, Michael B.; Lyle, Jeremy M.; Lynch, Tim P.; Miles, Nathan G.; Chick, Rowan C.</t>
  </si>
  <si>
    <t>Integrating recreational fishing into harvest strategies: linking data with objectives</t>
  </si>
  <si>
    <t>fisheries management; harvest strategies; monitoring; recreational fishing</t>
  </si>
  <si>
    <t>FISHERIES MANAGEMENT; MURRAY COD; IMPLEMENTATION; CATCH; CONSERVATION; IMPACTS; SUSTAINABILITY; MOTIVATIONS; MULTISECTOR; PERFORMANCE</t>
  </si>
  <si>
    <t>Recreational fishing (RF) is a popular pastime resulting in substantial fish mortality in many regions. Yet inclusion of RF in fishery harvest strategies is limited, because the sector's objectives are poorly understood, as are the data required to track their performance. To address this, we reviewed RF data sources available from a region of globally high participation (New South Wales [NSW], Australia) and evaluated their utility for RF-specific performance indicators within harvest strategies. We then linked these data sources to RF objectives they may be used to monitor. A total of 21 RF data sources were identified in NSW over the past two decades, spanning all major aquatic environments and 146 fished species. Numerous data sources were available to monitor ecological objectives, providing time-series and potential reference points for key indicators such as catch-per-unit-effort. Few data sources were available for social, economic, and institutional objectives, consistent with a global paucity of these data. We found that most social objectives of RF lie outside the scope of traditional harvest strategies, although some are linked to underlying ecological performance. Harvest strategy performance for RF will depend on the relative importance of social objectives and whether these can be achieved by controlling harvest.</t>
  </si>
  <si>
    <t>[Fowler, Ashley M.; Hughes, Julian M.] Sydney Inst Marine Sci, New South Wales Dept Primary Ind, Mosman, NSW 2088, Australia; [Fowler, Ashley M.] Univ Technol Sydney, Sch Life Sci, Ultimo, NSW 2007, Australia; [Ochwada-Doyle, Faith A.] New South Wales Dept Primary Ind, Wollongbar, NSW 2477, Australia; [Ochwada-Doyle, Faith A.] Univ New South Wales, Sch Biol Earth &amp; Environm Sci, Evolut &amp; Ecol Res Ctr, Sydney, NSW 2052, Australia; [Dowling, Natalie A.; Lynch, Tim P.] CSIRO, Oceans &amp; Atmosphere, Hobart, Tas 7004, Australia; [Folpp, Heath] North Coast Fisheries, Recreat &amp; Indigenous Fishing Div, New South Wales Dept Primary Ind, Coifs Harbour Jetty, NSW 2450, Australia; [Lowry, Michael B.; Chick, Rowan C.] Port Stephens Fisheries Inst, New South Wales Dept Primary Ind, Taylors Beach, NSW 2316, Australia; [Lyle, Jeremy M.] Univ Tasmania, Inst Marine &amp; Antarctic Studies, Hobart, Tas 7001, Australia; [Miles, Nathan G.] Narrandera Fisheries Ctr, Dept Primary Ind, Narrandera, Nsw 2700, Australia</t>
  </si>
  <si>
    <t>NSW Department of Primary Industries; Sydney Institute of Marine Science; University of Technology Sydney; NSW Department of Primary Industries; University of New South Wales Sydney; Commonwealth Scientific &amp; Industrial Research Organisation (CSIRO); NSW Department of Primary Industries; NSW Department of Primary Industries; University of Tasmania</t>
  </si>
  <si>
    <t>Fowler, AM (corresponding author), Sydney Inst Marine Sci, New South Wales Dept Primary Ind, Mosman, NSW 2088, Australia.;Fowler, AM (corresponding author), Univ Technol Sydney, Sch Life Sci, Ultimo, NSW 2007, Australia.</t>
  </si>
  <si>
    <t>ashley.fowler@dpi.nsw.gov.au</t>
  </si>
  <si>
    <t>Chick, Rowan C/D-8473-2017; Doyle, Faith/IYT-3580-2023; Hughes, Julian/D-2695-2017; Lyle, Jeremy/J-7170-2014; Fowler, Ashley/N-8623-2016</t>
  </si>
  <si>
    <t>Ochwada-Doyle, Faith/0000-0002-9810-7716; Lynch, Tim/0000-0002-5346-8454; Hughes, Julian/0000-0002-0884-8386; Lyle, Jeremy/0000-0001-9670-5854; Fowler, Ashley/0000-0003-3075-7066</t>
  </si>
  <si>
    <t>Fisheries Research and Development Corporation [FRDC 2019-021]; New South Wales Recreational Fishing Saltwater Trust [RFSWT DPIS050]</t>
  </si>
  <si>
    <t>Fisheries Research and Development Corporation; New South Wales Recreational Fishing Saltwater Trust</t>
  </si>
  <si>
    <t>This research was supported by a grant from the Fisheries Research and Development Corporation (FRDC 2019-021) and the New South Wales Recreational Fishing Saltwater Trust (RFSWT DPIS050).</t>
  </si>
  <si>
    <t>10.1093/icesjms/fsab270</t>
  </si>
  <si>
    <t>ZQ0OR</t>
  </si>
  <si>
    <t>WOS:000766813800003</t>
  </si>
  <si>
    <t>Millstein, JD; Minchew, BM; Pegler, SS</t>
  </si>
  <si>
    <t>Millstein, Joanna D.; Minchew, Brent M.; Pegler, Samuel S.</t>
  </si>
  <si>
    <t>Ice viscosity is more sensitive to stress than commonly assumed</t>
  </si>
  <si>
    <t>FLOW-LAW; POLYCRYSTALLINE ICE; CREEP DEFORMATION; DYNAMICS; RHEOLOGY; GLACIERS</t>
  </si>
  <si>
    <t>Accurate representation of the viscous flow of ice is fundamental to understanding glacier dynamics and projecting sea-level rise. Ice viscosity is often described by a simple but largely untested and uncalibrated constitutive relation, Glen's Flow Law, wherein the rate of deformation is proportional to stress raised to the power n. The value n = 3 is commonly prescribed in ice-flow models, though observations and experiments support a range of values across stresses and temperatures found on Earth. Here, we leverage recent remotely-sensed observations of Antarctic ice shelves to show that Glen's Flow Law approximates the viscous flow of ice with n = 4.1 +/- 0.4 in fast-flowing areas. The viscosity and flow rate of ice are therefore more sensitive to changes in stress than most ice-flow models allow. By calibrating the governing equation of ice deformation, our result is a pathway towards improving projections of future glacier change. The rate of deformation in Antarctic ice shelves is proportional to stress to the power of 4, not 3 as often used in models, according to a calibration of Glen's Flow Law with satellite remote sensing data from Antarctic ice shelves.</t>
  </si>
  <si>
    <t>[Millstein, Joanna D.] MIT, Woods Hole Oceanog Inst, Joint Program Oceanog Appl Ocean Sci &amp; Engn, 77 Massachusetts Ave, Cambridge, MA 02139 USA; [Minchew, Brent M.] MIT, Dept Earth Atmospher &amp; Planetary Sci, Cambridge, MA USA; [Pegler, Samuel S.] Univ Leeds, Sch Math, Leeds, W Yorkshire, England</t>
  </si>
  <si>
    <t>Woods Hole Oceanographic Institution; Massachusetts Institute of Technology (MIT); Massachusetts Institute of Technology (MIT); University of Leeds</t>
  </si>
  <si>
    <t>Millstein, JD (corresponding author), MIT, Woods Hole Oceanog Inst, Joint Program Oceanog Appl Ocean Sci &amp; Engn, 77 Massachusetts Ave, Cambridge, MA 02139 USA.</t>
  </si>
  <si>
    <t>jdmill@mit.edu</t>
  </si>
  <si>
    <t>Millstein, Joanna/0000-0002-8407-5485</t>
  </si>
  <si>
    <t>NSF Graduate Research Fellowship; NSF-NERC award [1853918, 1739031]; Office of Polar Programs (OPP); Directorate For Geosciences [1739031] Funding Source: National Science Foundation</t>
  </si>
  <si>
    <t>NSF Graduate Research Fellowship(National Science Foundation (NSF)); NSF-NERC award; Office of Polar Programs (OPP); Directorate For Geosciences(National Science Foundation (NSF)NSF - Directorate for Geosciences (GEO))</t>
  </si>
  <si>
    <t>We benefited from discussions with Jerome Neufeld, Colin Meyer, and Andrew Ashton. We appreciate insightful reviews from Jeremy Bassis and Paul Bons. J.D.M. was partially funded through an NSF Graduate Research Fellowship. J.D.M. and B.M.M. where partially funded through NSF-NERC award 1853918. B.M.M. received additional funding through NSF-NERC award 1739031.</t>
  </si>
  <si>
    <t>10.1038/s43247-022-00385-x</t>
  </si>
  <si>
    <t>ZQ8RO</t>
  </si>
  <si>
    <t>WOS:000767365500001</t>
  </si>
  <si>
    <t>Raphael, MN; Handcock, MS</t>
  </si>
  <si>
    <t>Raphael, Marilyn N.; Handcock, Mark S.</t>
  </si>
  <si>
    <t>A new record minimum for Antarctic sea ice</t>
  </si>
  <si>
    <t>NATURE REVIEWS EARTH &amp; ENVIRONMENT</t>
  </si>
  <si>
    <t>Antarctic sea ice extent reached a new record low of 1.965 million km(2) on 23 February 2022. This extent is approximately 32% below climatological values and might indicate a transition to new, more extreme, annual fluctuations.</t>
  </si>
  <si>
    <t>[Raphael, Marilyn N.] Univ Calif Los Angeles, Dept Geog, Los Angeles, CA 90024 USA; [Raphael, Marilyn N.] Univ Calif Los Angeles, Inst Environm &amp; Sustainabil, Los Angeles, CA 90024 USA; [Handcock, Mark S.] Univ Calif Los Angeles, Dept Stat, Los Angeles, CA USA</t>
  </si>
  <si>
    <t>University of California System; University of California Los Angeles; University of California System; University of California Los Angeles; University of California System; University of California Los Angeles</t>
  </si>
  <si>
    <t>Raphael, MN (corresponding author), Univ Calif Los Angeles, Dept Geog, Los Angeles, CA 90024 USA.;Raphael, MN (corresponding author), Univ Calif Los Angeles, Inst Environm &amp; Sustainabil, Los Angeles, CA 90024 USA.</t>
  </si>
  <si>
    <t>raphael@geog.ucla.edu</t>
  </si>
  <si>
    <t>Handcock, Mark S./AAY-3318-2021</t>
  </si>
  <si>
    <t>Handcock, Mark S./0000-0002-9985-2785</t>
  </si>
  <si>
    <t>National Science Foundation, Office of Polar Programs [NSF-OPP-1745089]</t>
  </si>
  <si>
    <t>National Science Foundation, Office of Polar Programs(National Science Foundation (NSF)NSF - Directorate for Geosciences (GEO))</t>
  </si>
  <si>
    <t>M.N.R. and M.S.H. are supported by the National Science Foundation, Office of Polar Programs (grant no. NSF-OPP-1745089).</t>
  </si>
  <si>
    <t>2662-138X</t>
  </si>
  <si>
    <t>NAT REV EARTH ENV</t>
  </si>
  <si>
    <t>Nat. Rev. Earth Environ.</t>
  </si>
  <si>
    <t>10.1038/s43017-022-00281-0</t>
  </si>
  <si>
    <t>0O5AZ</t>
  </si>
  <si>
    <t>WOS:000767004000001</t>
  </si>
  <si>
    <t>Fraser, KPP; Peck, LS; Clark, MS; Clarke, A; Hill, SL</t>
  </si>
  <si>
    <t>Fraser, Keiron P. P.; Peck, Lloyd S.; Clark, Melody S.; Clarke, Andrew; Hill, Simeon L.</t>
  </si>
  <si>
    <t>Life in the freezer: protein metabolism in Antarctic fish</t>
  </si>
  <si>
    <t>protein turnover; slow growth; temperature limitation; cryobiology; Antarctic; protein synthesis</t>
  </si>
  <si>
    <t>NACELLA-CONCINNA STREBEL; NUCLEIC-ACID CONTENT; RAINBOW-TROUT; ONCORHYNCHUS-MYKISS; LOW-TEMPERATURE; SYNTHESIS CAPACITIES; JUVENILE BARRAMUNDI; SEASONAL PHYSIOLOGY; NITROGEN-EXCRETION; GROWTH EFFICIENCY</t>
  </si>
  <si>
    <t>Whole-animal, in vivo protein metabolism rates have been reported in temperate and tropical, but not Antarctic fish. Growth in Antarctic species is generally slower than lower latitude species. Protein metabolism data for Antarctic invertebrates show low rates of protein synthesis and unusually high rates of protein degradation. Additionally, in Antarctic fish, increasing evidence suggests a lower frequency of successful folding of nascent proteins and reduced protein stability. This study reports the first whole-animal protein metabolism data for an Antarctic fish. Groups of Antarctic, Harpagifer antarcticus, and temperate, Lipophrys pholis, fish were acclimatized to a range of overlapping water temperatures and food consumption, whole-animal growth and protein metabolism measured. The rates of protein synthesis and growth in Antarctic, but not temperate fish, were relatively insensitive to temperature and were significantly lower in H. antarcticus at 3 degrees C than in L. pholis. Protein degradation was independent of temperature in H. antarcticus and not significantly different to L. pholis at 3 degrees C, while protein synthesis retention efficiency was significantly higher in L. pholis than H. antarcticus at 3 degrees C. These results suggest Antarctic fish degrade a significantly larger proportion of synthesized protein than temperate fish, with fundamental energetic implications for growth at low temperatures.</t>
  </si>
  <si>
    <t>[Fraser, Keiron P. P.] Univ Plymouth, Marine Stn, Artillery Pl,Coxside, Plymouth PL4 OLU, England; [Peck, Lloyd S.; Clark, Melody S.; Clarke, Andrew; Hill, Simeon L.] NERC, British Antarctic Survey, High Cross,Madingley Rd, Cambridge CB3 OET, England</t>
  </si>
  <si>
    <t>University of Plymouth; UK Research &amp; Innovation (UKRI); Natural Environment Research Council (NERC); NERC British Antarctic Survey</t>
  </si>
  <si>
    <t>Fraser, KPP (corresponding author), Univ Plymouth, Marine Stn, Artillery Pl,Coxside, Plymouth PL4 OLU, England.</t>
  </si>
  <si>
    <t>keiron.fraser@plymouth.ac.uk</t>
  </si>
  <si>
    <t>Simeon, Hill L/B-2307-2008; Clark, Melody S/D-7371-2014</t>
  </si>
  <si>
    <t>Fraser, Keiron/0000-0001-5491-8376; Hill, Simeon/0000-0003-1441-8769</t>
  </si>
  <si>
    <t>MAR 9</t>
  </si>
  <si>
    <t>10.1098/rsos.211272</t>
  </si>
  <si>
    <t>0Z7SK</t>
  </si>
  <si>
    <t>WOS:000791273300004</t>
  </si>
  <si>
    <t>Fossum, KN; Ovadnevaite, J; Liu, DT; Flynn, M; O'Dowd, C; Ceburnis, D</t>
  </si>
  <si>
    <t>Fossum, Kirsten N.; Ovadnevaite, Jurgita; Liu, Dantong; Flynn, Michael; O'Dowd, Colin; Ceburnis, Darius</t>
  </si>
  <si>
    <t>Background levels of black carbon over remote marine locations</t>
  </si>
  <si>
    <t>ATMOSPHERIC RESEARCH</t>
  </si>
  <si>
    <t>Southern Ocean; Northeast Atlantic; Black carbon; SP2; OM; Back trajectories</t>
  </si>
  <si>
    <t>MIXING STATE; AEROSOL; PARTICLE; MATTER; AIR</t>
  </si>
  <si>
    <t>Approximately 80% of the Southern Hemisphere (SH) surface is oceanic, while the Northern Hemisphere (NH) hosts 85% of the world's population along with a broadly equivalent anthropogenic emissions contribution. Consequently, the so-called 'background' marine air loading would be expected to be notably lower, or cleaner, in the SH than that over the NH. To test this supposition, we investigate the levels of air pollution over the Northeast Atlantic, at the Mace Head Global Atmospheric Watch station (located 53.3253?degrees N, 9.9044?degrees W), and on a ship-borne cruise in the Southern Ocean (50-65?degrees S and 40-65?degrees W). The highly sensitive single-particle soot photometer (SP2) was deployed to measure refractory black carbon (BC) at one-minute temporal resolution during the Austral Summer from January 2nd - February 12th 2015 for the SH campaign and April 2nd - 20th 2015 for the NH campaign. The aerosol organic matter (OM) was also measured as a relevant adjunct measurement. We found the percentage 'frequency-of-occurrence' of BC mass concentration ranging from 0 to 1000 ng m(-3). For both the SH and NH distributions, we found that these distributions could be fitted by a series of lognormal distributions (8-modes). The SH distribution had four modes with BC concentrations &lt; 0.1 ng m(-3), while the NH distribution had only one mode at concentrations &lt; 0.1 ng m(-3). Both distributions had a maximum modal occurrence of similar to 270 ng m(-3). The lognormal distributions are statistical representations of particular aerosol sources or ageing. In this context, we can regard the lower concentration modes in the frequency-of-occurrence distribution as representative of the marine background. Consequently, we conclude, using BC as an anthropogenic tracer, that while both oceans show low background concentrations of refractory BC, the SH campaign was cleaner much more frequently. The addition of regression and correlation analysis of OM vs BC also define what levels of BC can be regarded as thresholds for distinguishing between natural and anthropogenic OM over oceans, particularly in the NH where biogenic OM may be significantly greater than in the SH.</t>
  </si>
  <si>
    <t>[Fossum, Kirsten N.; Ovadnevaite, Jurgita; O'Dowd, Colin; Ceburnis, Darius] Natl Univ Ireland Galway, Sch Phys, H91CF50, Galway, Ireland; [Fossum, Kirsten N.; Ovadnevaite, Jurgita; O'Dowd, Colin; Ceburnis, Darius] Natl Univ Ireland Galway, Ryan Inst, Ctr Climate &amp; Air Pollut Studies, H91CF50, Galway, Ireland; [Liu, Dantong] Zhejiang Univ, Sch Earth Sci, Dept Atmospher Sci, Hangzhou 310027, Peoples R China; [Flynn, Michael] Univ Manchester, Ctr Atmospher Sci, Sch Earth &amp; Environm Sci, Manchester M13 9PL, Lancs, England</t>
  </si>
  <si>
    <t>Ollscoil na Gaillimhe-University of Galway; Ollscoil na Gaillimhe-University of Galway; Zhejiang University; University of Manchester</t>
  </si>
  <si>
    <t>Fossum, KN; Ceburnis, D (corresponding author), Natl Univ Ireland Galway, Sch Phys, H91CF50, Galway, Ireland.;Fossum, KN; Ceburnis, D (corresponding author), Natl Univ Ireland Galway, Ryan Inst, Ctr Climate &amp; Air Pollut Studies, H91CF50, Galway, Ireland.</t>
  </si>
  <si>
    <t>kirstennicole.fossum@nuigalway.ie; darius.ceburnis@nuigalway.ie</t>
  </si>
  <si>
    <t>O'Dowd, Colin D/K-8904-2012; Brophy, Deirdre/JQW-0281-2023; Ceburnis, Darius/C-1293-2012; Ovadnevaite, Jurgita/B-6203-2018</t>
  </si>
  <si>
    <t>O'Dowd, Colin D/0000-0002-3068-2212; Ovadnevaite, Jurgita/0000-0001-7201-0118</t>
  </si>
  <si>
    <t>Spanish Ministry of Economy and Competitiveness (MINECO) [CTM2012-37615, CGL2013-49020-R]; European Union [603,445]; EPA Ireland project AC3-AEROSOURCE [2016CCRP-MS-31]; MaREI; SFI Research Centre for Energy, Climate and Marine</t>
  </si>
  <si>
    <t>Spanish Ministry of Economy and Competitiveness (MINECO)(Spanish Government); European Union(European Union (EU)); EPA Ireland project AC3-AEROSOURCE(Environmental Protection Agency Ireland (EPA)); MaREI; SFI Research Centre for Energy, Climate and Marine</t>
  </si>
  <si>
    <t>The research leading to these results has received funding from the Spanish Ministry of Economy and Competitiveness (MINECO) as part of the PEGASO (Ref.: CTM2012-37615) and BIO-NUC (Ref.: CGL2013-49020-R) projects; the European Union's Seventh Framework Programme (FP7/2007-2013) project BACCHUS under grant agreement n_ 603,445; the EPA Ireland project AC3-AEROSOURCE (Ref.: 2016CCRP-MS-31); and by MaREI, the SFI Research Centre for Energy, Climate and Marine.The authors gratefully acknowledge the NOAA Air Resources Laboratory (ARL) for the provision of the HYSPLIT transport and dispersion model and/or READY website (https://www.ready.noaa.gov) used in this publication.; The SP2 instrument used in this work was provided by H. Coe and J. Allan from the Centre for Atmospheric Sciences, School of Earth and Environmental Sciences, University of Manchester, Manchester M13 9PL, UK.; The Antarctic cruise that led to this study was organised by R. Simo and M. Dall'Osto from the Institut de Ci ' encies del Mar (CSIC), Barcelona, Catalonia, Spain.</t>
  </si>
  <si>
    <t>0169-8095</t>
  </si>
  <si>
    <t>1873-2895</t>
  </si>
  <si>
    <t>ATMOS RES</t>
  </si>
  <si>
    <t>Atmos. Res.</t>
  </si>
  <si>
    <t>10.1016/j.atmosres.2022.106119</t>
  </si>
  <si>
    <t>0D6AL</t>
  </si>
  <si>
    <t>WOS:000776075900003</t>
  </si>
  <si>
    <t>Konstantinov, DK; Menzorov, A; Krivenko, O; Doroshkov, AV</t>
  </si>
  <si>
    <t>Konstantinov, Dmitrii K.; Menzorov, Aleksei; Krivenko, Olga; Doroshkov, Alexey, V</t>
  </si>
  <si>
    <t>Isolation and transcriptome analysis of a biotechnologically promising Black Sea protist, Thraustochytrium aureum ssp. strugatskii</t>
  </si>
  <si>
    <t>PEERJ</t>
  </si>
  <si>
    <t>Thraustochytrium; Fatty acids; RNA-seq; Transcriptome assembly; Marine protists</t>
  </si>
  <si>
    <t>DOCOSAHEXAENOIC ACID DHA; ANTARCTIC PENINSULA; MARINE PROTIST; SCHIZOCHYTRIUM; PHYLOGENY; DYNAMICS; NOV.; AURANTIOCHYTRIUM; ACCUMULATION; DIVERSITY</t>
  </si>
  <si>
    <t>Background. Marine protists are an important part of the ocean ecosystem. They may possess unique sets of biosynthetic pathways and, thus, be promising model organisms for metabolic engineering for producing substances for the pharmaceutical, cosmetic, and perfume industries. Currently, full-genome data are available just for a limited number of protists hampering their use in biotechnology. Methods. We characterized the morphology of a new cultured strain of Thraustochytriaceae isolated from the Black Sea ctenophore Beroe ovata using phase-contrast microscopy. Cell culture was performed in the FAND culture medium based on fetal bovine serum and DMEM. Phylogenetic analysis was performed using the 18S rRNA sequence. We also conducted a transcriptome assembly and compared the data with the closest species. Results. The protist belongs to the genus Thraustochytrium based on the 18S rRNA sequence analysis. We designated the isolated protist as T. aureum ssp. strugatskii. The closest species with the genome assembly is Schizochytrium aggregatum. Transcriptome analysis revealed the majority of the fatty add synthesis enzymes. Conclusion. Our findings suggest that the T. aureum ssp. strugatskii is a promising candidate for biotechnological use. Together with the previously available, our data would allow the establishment of an accurate phylogeny of the family Thraustochytriaceae. Also, it could be a reference point for studying the evolution of the enzyme families.</t>
  </si>
  <si>
    <t>[Konstantinov, Dmitrii K.; Menzorov, Aleksei; Doroshkov, Alexey, V] Novosibirsk State Univ, Novosibirsk, Russia; [Konstantinov, Dmitrii K.; Menzorov, Aleksei; Doroshkov, Alexey, V] Russian Acad Sci, Inst Cytol &amp; Genet, Siberian Branch, Novosibirsk, Russia; [Krivenko, Olga] RAS, AO Kovalevsky Inst Biol Southern Seas, Sevastopol, Russia; [Doroshkov, Alexey, V] Siberian Fed Univ, Krasnoyarsk, Russia</t>
  </si>
  <si>
    <t>Novosibirsk State University; Russian Academy of Sciences; Institute of Cytology &amp; Genetics ICG SB RAS; Russian Academy of Sciences; AO Kovalevsky Institute of Biology of the Southern Seas of RAS (IBSS); Siberian Federal University</t>
  </si>
  <si>
    <t>Doroshkov, AV (corresponding author), Novosibirsk State Univ, Novosibirsk, Russia.;Doroshkov, AV (corresponding author), Russian Acad Sci, Inst Cytol &amp; Genet, Siberian Branch, Novosibirsk, Russia.;Doroshkov, AV (corresponding author), Siberian Fed Univ, Krasnoyarsk, Russia.</t>
  </si>
  <si>
    <t>ad@bionet.nsc.ru</t>
  </si>
  <si>
    <t>Menzorov, Aleksei G/K-6839-2015</t>
  </si>
  <si>
    <t>Menzorov, Aleksei G/0000-0002-1436-5196</t>
  </si>
  <si>
    <t>Ministry of Education and Science of the Russian Federation [2019-0546 (FSUS-2020-0040)]; Laboratory of Marine Biodiversity and Functional Genomics [14.W03.31.0015]; IBSS [121030100028-0]</t>
  </si>
  <si>
    <t>Ministry of Education and Science of the Russian Federation(Ministry of Education and Science, Russian Federation); Laboratory of Marine Biodiversity and Functional Genomics; IBSS</t>
  </si>
  <si>
    <t>The study was supported by the Ministry of Education and Science of the Russian Federation, grant 2019-0546 (FSUS-2020-0040). Part of the work carried out by O.V. Krivenko was done at the Laboratory of Marine Biodiversity and Functional Genomics (created with the support of grant No. 14.W03.31.0015), and was funded by IBSS GA No. 121030100028-0. The funders had no role in study design, data collection and analysis, decision to publish, or preparation of the manuscript.</t>
  </si>
  <si>
    <t>PEERJ INC</t>
  </si>
  <si>
    <t>341-345 OLD ST, THIRD FLR, LONDON, EC1V 9LL, ENGLAND</t>
  </si>
  <si>
    <t>2167-8359</t>
  </si>
  <si>
    <t>PeerJ</t>
  </si>
  <si>
    <t>e12737</t>
  </si>
  <si>
    <t>10.7717/peerj.12737</t>
  </si>
  <si>
    <t>ZY5YB</t>
  </si>
  <si>
    <t>WOS:000772661600005</t>
  </si>
  <si>
    <t>Tetzner, DR; Allen, CS; Thomas, ER</t>
  </si>
  <si>
    <t>Tetzner, Dieter R.; Allen, Claire S.; Thomas, Elizabeth R.</t>
  </si>
  <si>
    <t>Regional variability of diatoms in ice cores from the Antarctic Peninsula and Ellsworth Land, Antarctica</t>
  </si>
  <si>
    <t>MCMURDO DRY VALLEYS; SOUTHERN-OCEAN SEDIMENTS; SEA-ICE; ATMOSPHERIC TRANSPORT; POSSESSION CROZET; AMUNDSEN SEA; GLACIER; DUST; BIOGEOGRAPHY; ATLANTIC</t>
  </si>
  <si>
    <t>The presence of marine microfossils (diatoms) in glacier ice and ice cores has been documented from numerous sites in Antarctica, Greenland, as well as from sites in the Andes and the Altai mountains, and attributed to entrainment and transport by winds. However, their presence and diversity in snow and ice, especially in polar regions, are not well documented and still poorly understood. Here we present the first data to resolve the regional and temporal distribution of diatoms in ice cores, spanning a 20-year period across four sites in the Antarctic Peninsula and Ellsworth Land, Antarctica. We assess the regional variability in diatom composition and abundance at annual and sub-annual resolution across all four sites. These data corroborate the prevalence of contemporary marine diatoms in Antarctic Peninsula ice cores, reveal that the timing and amount of diatoms deposited vary between low- and high-elevation sites, and support existing evidence that marine diatoms have the potential to yield a novel palaeoenvironmental proxy for ice cores in Antarctica.</t>
  </si>
  <si>
    <t>[Tetzner, Dieter R.; Allen, Claire S.; Thomas, Elizabeth R.] British Antarctic Survey, Ice Dynam &amp; Paleoclimate, Cambridge CB3 0ET, England; [Tetzner, Dieter R.] Univ Cambridge, Dept Earth Sci, Cambridge CB2 3EQ, England</t>
  </si>
  <si>
    <t>Tetzner, DR (corresponding author), British Antarctic Survey, Ice Dynam &amp; Paleoclimate, Cambridge CB3 0ET, England.;Tetzner, DR (corresponding author), Univ Cambridge, Dept Earth Sci, Cambridge CB2 3EQ, England.</t>
  </si>
  <si>
    <t>dietet95@bas.ac.uk</t>
  </si>
  <si>
    <t>Thomas, Elizabeth Ruth/ADF-3660-2022</t>
  </si>
  <si>
    <t>Thomas, Elizabeth Ruth/0000-0002-3010-6493; Tetzner, Dieter/0000-0001-7659-8799</t>
  </si>
  <si>
    <t>Comision Nacional de Investigacion Cientifica y Tecnologica [72180432]</t>
  </si>
  <si>
    <t>Comision Nacional de Investigacion Cientifica y Tecnologica</t>
  </si>
  <si>
    <t>This research has been supported by the Comision Nacional de Investigacion Cientifica y Tecnologica (grant no. 72180432).</t>
  </si>
  <si>
    <t>10.5194/tc-16-779-2022</t>
  </si>
  <si>
    <t>ZS1PA</t>
  </si>
  <si>
    <t>WOS:000768242600001</t>
  </si>
  <si>
    <t>Ruscasso, F; Cavello, I; Curutchet, G; Cavalitto, S</t>
  </si>
  <si>
    <t>Ruscasso, F.; Cavello, I; Curutchet, G.; Cavalitto, S.</t>
  </si>
  <si>
    <t>Antarctic yeasts: potential use in a biologic treatment of textile azo dyes</t>
  </si>
  <si>
    <t>BIORESOURCES AND BIOPROCESSING</t>
  </si>
  <si>
    <t>Leucosporidium muscorum F20A; Cold-adapted yeasts; Textile wastewaters</t>
  </si>
  <si>
    <t>REACTIVE BLACK 5; SYNTHETIC DYES; ONE-STAGE; DECOLORIZATION; BIODEGRADATION; DEGRADATION; BIOREMEDIATION; IDENTIFICATION; DETOXIFICATION; PERFORMANCE</t>
  </si>
  <si>
    <t>We investigated the dye-removal potential of a collection of 61 cold-adapted yeasts from the King George Island, Antarctica, on agar plates supplemented with 100 mg L-1 of several textile dyes; among which isolates 81% decolorized Reactive Black 5 (RB-5), with 56% decolorizing Reactive Orange 16, but only 26% doing so with Reactive Blue 19 and Acid Blue 74. Furthermore, we evaluated the ligninolytic potential using 2,2'-azino-bis(3-ethylbenzothiazoline-6-sulfonic-acid) diammonium salt-, 3,5-dimethoxy-4-hydroxybenzaldehydazine-, or manganese-supplemented plates but detected no activity, possibly due to a dye-removal mechanism involving reductases. The removal kinetics were studied in liquid medium supplemented with 100 mg L-1 of RB-5 in a selection of 9 yeasts. The highest volumetric-removal rates (eta) were found for Candida sake 41E (4.14 mg L-1 h(-1)), Leucosporidium muscorum F20A (3.90 mg L-1 h(-1)), and Cystofilobasidium infirmominiatum F13E (3.90 mg L-1 h(-1)). Different UV-Vis spectra were obtained if the dye removal occurred by biodegradation or biosorption/bioaccumulation. L. muscorum F20A was selected to study the dye-removal mechanism of RB-5 and the effect of different chemical and environmental parameters on the process. Optimum dye-removal conditions were obtained with 10 g L-1 of glucose within an initial medium pH range of 5.0 to 6.0. Up to 700 mg L-1 of dye could be removed in 45 h. High-performance liquid chromatography profiles obtained were consistent with a biodegradation of the dye. Phytotoxicity was estimated by calculating the 50%-inhibition concentration (IC50) with Lactuca sativa L. seeds. These findings propose psychrophilic yeasts as a novel environmentally suitable alternative for the treatment of dye-industry wastewaters.</t>
  </si>
  <si>
    <t>[Ruscasso, F.; Cavello, I; Cavalitto, S.] CCT La Plata CONICET, Ctr Invest &amp; Desarrollo Fermentac Ind CINDEFI, UNLP, Calle 47 &amp; 115, RA-1900 La Plata, Buenos Aires, Argentina; [Curutchet, G.] Consejo Nacl Invest Cient &amp; Tecn, Inst Invest &amp; Ingn Ambiental IIIA, UNSAM, Campus Miguelete,25 Mayo &amp; Francia, RA-1650 San Martin, Provincia De Bu, Argentina; [Curutchet, G.] Consejo Nacl Invest Cient &amp; Tecn, Escuela Ciencia &amp; Tecnol, Av 25 Mayo &amp; Francia, RA-1650 San Martin, Provincia De Bu, Argentina; [Curutchet, G.] Consejo Nacl Invest Cient &amp; Tecn, Inst Invest &amp; Ingn Ambiental, UNASM, Av 25 Mayo &amp; Francia, RA-1650 San Martin, Provincia De Bu, Argentina</t>
  </si>
  <si>
    <t>Consejo Nacional de Investigaciones Cientificas y Tecnicas (CONICET); National University of La Plata; Consejo Nacional de Investigaciones Cientificas y Tecnicas (CONICET); Consejo Nacional de Investigaciones Cientificas y Tecnicas (CONICET); Consejo Nacional de Investigaciones Cientificas y Tecnicas (CONICET)</t>
  </si>
  <si>
    <t>Cavello, I (corresponding author), CCT La Plata CONICET, Ctr Invest &amp; Desarrollo Fermentac Ind CINDEFI, UNLP, Calle 47 &amp; 115, RA-1900 La Plata, Buenos Aires, Argentina.</t>
  </si>
  <si>
    <t>National Scientific and Technological Research Council; National Agency for the Promotion of Science and Technology (ANPCyT) [PICT 2018-3194]; CyT [UNLP X780]</t>
  </si>
  <si>
    <t>National Scientific and Technological Research Council; National Agency for the Promotion of Science and Technology (ANPCyT)(ANPCyT); CyT</t>
  </si>
  <si>
    <t>This work was supported with grants from the National Scientific and Technological Research Council and the National Agency for the Promotion of Science and Technology (ANPCyT, PICT 2018-3194; CyT UNLP X780).</t>
  </si>
  <si>
    <t>2197-4365</t>
  </si>
  <si>
    <t>BIORESOUR BIOPROCESS</t>
  </si>
  <si>
    <t>Bioresour. Bioprocess.</t>
  </si>
  <si>
    <t>10.1186/s40643-022-00507-5</t>
  </si>
  <si>
    <t>ZP6SQ</t>
  </si>
  <si>
    <t>WOS:000766551000001</t>
  </si>
  <si>
    <t>Jordan, TA; Ferraccioli, F; Forsberg, R</t>
  </si>
  <si>
    <t>Jordan, Tom A.; Ferraccioli, Fausto; Forsberg, Rene</t>
  </si>
  <si>
    <t>An embayment in the East Antarctic basement constrains the shape of the Rodinian continental margin</t>
  </si>
  <si>
    <t>DRONNING MAUD LAND; PENSACOLA MOUNTAINS; GLACIER AREA; ROSS OROGEN; PROTEROZOIC SUPERCONTINENT; TRANSANTARCTIC MOUNTAINS; CRUSTAL EVOLUTION; GRENVILLE-AGE; SOUTH-POLE; PROVENANCE</t>
  </si>
  <si>
    <t>A cratonic embayment that likely formed during the Neoproterozoic rifting of the supercontinent Rodinia is identified under the East Antarctic ice sheet through analyses of aeromagnetic and other geophysical data East Antarctic provinces lay at the heart of both Rodinian and Gondwanan supercontinents, yet poor exposure and limited geophysical data provide few constraints on the region's tectonic evolution. The shape of the Mawson Continent, the stable nucleus of East Antarctica, is one of Antarctica's most important, but contested features, with implications for global plate reconstructions and local tectonic models. Here we show a major marginal embayment 500-700 km wide, cuts into the East Antarctic basement in the South Pole region. This embayment, defined by new aeromagnetic and other geophysical data, truncates the Mawson Continent, which is distinct from basement provinces flanking the Weddell Sea. We favour a late Neoproterozoic rifting model for embayment formation and discuss analogies with other continental margins. The embayment and associated basement provinces help define the East Antarctic nucleus for supercontinental reconstructions, while the inherited marginal geometry likely influenced evolution of the paleo-Pacific margin of Gondwana.</t>
  </si>
  <si>
    <t>[Jordan, Tom A.; Ferraccioli, Fausto] British Antarctic Survey, Cambridge CB3 0ET, England; [Ferraccioli, Fausto] Ist Nazl Oceanog &amp; Geofis Sperimentale, Borgo Grotta Gigante, Sgonico, Italy; [Forsberg, Rene] Tech Univ Denmark, Natl Space Inst, Lyngby, Denmark</t>
  </si>
  <si>
    <t>UK Research &amp; Innovation (UKRI); Natural Environment Research Council (NERC); NERC British Antarctic Survey; Istituto Nazionale di Oceanografia e di Geofisica Sperimentale; Technical University of Denmark</t>
  </si>
  <si>
    <t>Jordan, TA (corresponding author), British Antarctic Survey, Cambridge CB3 0ET, England.</t>
  </si>
  <si>
    <t>tomj@bas.ac.uk</t>
  </si>
  <si>
    <t>Jordan, Tom/0000-0003-2780-1986; Forsberg, Rene/0000-0002-7288-9545</t>
  </si>
  <si>
    <t>ESA PolarGAP project; ADMAP 2.0+ component of 3D Earth; BAS Geology and Geophysics team; DTU Space; Norwegian Polar Institute (NPI) Centre for Ice, Climate and Ecosystems; National Science Foundation [OPP-1643713]</t>
  </si>
  <si>
    <t>ESA PolarGAP project; ADMAP 2.0+ component of 3D Earth; BAS Geology and Geophysics team; DTU Space; Norwegian Polar Institute (NPI) Centre for Ice, Climate and Ecosystems; National Science Foundation(National Science Foundation (NSF))</t>
  </si>
  <si>
    <t>This work was supported by the ESA PolarGAP project and ADMAP 2.0+ component of 3D Earth, the BAS Geology and Geophysics team and DTU Space, with additional support from the Norwegian Polar Institute (NPI) Centre for Ice, Climate and Ecosystems. We specifically thank Kenichi Matsuoka from NPI and Tania Casal, our ESA project coordinator. The contribution of F.F. and R.F. to this paper is part of the 4D Antarctica project, for which ESA support is acknowledged. The Norwegian Troll Station, NSF South Pole Station and British Antarctic Survey are thanked for logistic support and Carl Robinson for engineering support. This material is also based on services provided by the Polar Rock Repository with support from the National Science Foundation, under Cooperative Agreement OPP-1643713. We thank Steven Boger, John Goodge and an anonymous reviewer for their helpful and constructive feedback on our manuscript.</t>
  </si>
  <si>
    <t>10.1038/s43247-022-00375-z</t>
  </si>
  <si>
    <t>ZP7JW</t>
  </si>
  <si>
    <t>WOS:000766597100001</t>
  </si>
  <si>
    <t>Makabe, R; Hasegawa, T; Sano, M; Kashiwase, H; Moteki, M</t>
  </si>
  <si>
    <t>Makabe, Ryosuke; Hasegawa, Takumi; Sano, Masayoshi; Kashiwase, Haruhiko; Moteki, Masato</t>
  </si>
  <si>
    <t>Copepod assemblages in the water column and drifting sea-ice floes in the ice-edge region in the Indian Ocean sector of the Southern Ocean during the austral summer</t>
  </si>
  <si>
    <t>Sea-ice biota; Copepods; Seasonal ice zone; Sea-ice advection; East Antarctica</t>
  </si>
  <si>
    <t>LIFE-CYCLE STRATEGY; WEDDELL SEA; SYMPAGIC ORGANISMS; STEPHOS-LONGIPES; ROSS SEA; VARIABILITY; ABUNDANCE; ZONE; CALANOIDA; SURFACE</t>
  </si>
  <si>
    <t>The ice-associated copepods Stephos longipes, Paralabidocera antarctica, and Drescheriella glacialis are the dominant species inhabiting Antarctic sea ice. They influence the pelagic ecosystem after being released into the water column when the ice melts from spring to summer in the marginal ice zone (MIZ), although less is known about those in the off-shelf region. We investigated the occurrence of copepods in drifting sea-ice floes and the adjacent water column off Vincennes Bay in the Indian sector of the Southern Ocean in mid-summer (January) of 2014 and 2016-2018. Sea-ice samples from the ice-growth season (February-March) collected off Australia's Mawson Station (2016, n = 1) and Cape Darnley (2018, n = 2) provide some comparison with the ice-melt season. In the ice floes off Vincennes Bay, S. longipes and harpacticoid nauplii were abundant, but also highly variable (2016: 2.2 +/- 3.5 [x 10(4) ind. m(-3)], n = 8; 2017: 1.1 +/- 5.4, n = 11; 2018: 0.94 +/- 1.81, n = 10). Copepod nauplii were very abundant at 0-5 m depths (maximum of 8.1 x 10(2) ind. m(-3)), but absent at depths below 35 m; this implies that copepods disappear rapidly from the surface layer after being released, mainly due to predation/non-predation death or development from the nauplius to the copepodite stages. Overall, the results indicate that sea ice forming in shelf regions transports some of the ice-associated copepods further north, which supplies food to pelagic predators, although S. longipes is also a primary consumer in the MIZ.</t>
  </si>
  <si>
    <t>[Makabe, Ryosuke; Sano, Masayoshi; Kashiwase, Haruhiko; Moteki, Masato] Natl Inst Polar Res, 10-3 Midori Cho, Tachikawa, Tokyo 1908518, Japan; [Makabe, Ryosuke; Hasegawa, Takumi; Moteki, Masato] Tokyo Univ Marine Sci &amp; Technol, Dept Ocean Sci, Minato Ku, 4-5-7 Konan, Tokyo 1088477, Japan; [Makabe, Ryosuke] Grad Univ Adv Studies SOKENDAI, Dept Polar Sci, 10-3 Midori Cho, Tachikawa, Tokyo 1908518, Japan</t>
  </si>
  <si>
    <t>Research Organization of Information &amp; Systems (ROIS); National Institute of Polar Research (NIPR) - Japan; Tokyo University of Marine Science &amp; Technology; Graduate University for Advanced Studies - Japan</t>
  </si>
  <si>
    <t>Makabe, R (corresponding author), Natl Inst Polar Res, 10-3 Midori Cho, Tachikawa, Tokyo 1908518, Japan.;Makabe, R (corresponding author), Tokyo Univ Marine Sci &amp; Technol, Dept Ocean Sci, Minato Ku, 4-5-7 Konan, Tokyo 1088477, Japan.;Makabe, R (corresponding author), Grad Univ Adv Studies SOKENDAI, Dept Polar Sci, 10-3 Midori Cho, Tachikawa, Tokyo 1908518, Japan.</t>
  </si>
  <si>
    <t>makabe@nipr.ac.jp</t>
  </si>
  <si>
    <t>Japanese Antarctic Research Expedition (JARE); Grants-in-Aid for Scientific Research [20H05707, 20H04313] Funding Source: KAKEN</t>
  </si>
  <si>
    <t>Japanese Antarctic Research Expedition (JARE); Grants-in-Aid for Scientific Research(Ministry of Education, Culture, Sports, Science and Technology, Japan (MEXT)Japan Society for the Promotion of ScienceGrants-in-Aid for Scientific Research (KAKENHI))</t>
  </si>
  <si>
    <t>We are grateful to Dr. T Odate (National Institute of Polar Research), who deceased on February 2021 for providing us the opportunity to conduct the observations and supporting us prepare the manuscript. We thank the captain and crew of the TV Umitaka-maru for their support during the cruises. This study was supported by the Japanese Antarctic Research Expedition (JARE). We also thank Drs. Kunio Takahashi and Shintaro Takao of the National Institute of Polar Research (NIPR) for helpful discussions. We thank Dr. Kerrie M. Swadling of the Australian Antarctic Program and Institute for Marine and Antarctic Studies, University of Tasmania, for providing invaluable comments as a reviewer.</t>
  </si>
  <si>
    <t>10.1007/s00300-022-03030-7</t>
  </si>
  <si>
    <t>WOS:000766457500001</t>
  </si>
  <si>
    <t>Noll, D; Leon, F; Brandt, D; Pistorius, P; Le Bohec, C; Bonadonna, F; Trathan, PN; Barbosa, A; Rey, AR; Dantas, GPM; Bowie, RCK; Poulin, E; Vianna, JA</t>
  </si>
  <si>
    <t>Noll, D.; Leon, F.; Brandt, D.; Pistorius, P.; Le Bohec, C.; Bonadonna, F.; Trathan, P. N.; Barbosa, A.; Rey, A. Raya; Dantas, G. P. M.; Bowie, R. C. K.; Poulin, E.; Vianna, J. A.</t>
  </si>
  <si>
    <t>Positive selection over the mitochondrial genome and its role in the diversification of gentoo penguins in response to adaptation in isolation</t>
  </si>
  <si>
    <t>CLIMATE-CHANGE; COMPLEX-I; GENETIC DIFFERENTIATION; SUBSTITUTION MODELS; NATURAL-SELECTION; PYGOSCELIS-PAPUA; EVOLUTION; METABOLISM; DNA; PHYLOGEOGRAPHY</t>
  </si>
  <si>
    <t>Although mitochondrial DNA has been widely used in phylogeography, evidence has emerged that factors such as climate, food availability, and environmental pressures that produce high levels of stress can exert a strong influence on mitochondrial genomes, to the point of promoting the persistence of certain genotypes in order to compensate for the metabolic requirements of the local environment. As recently discovered, the gentoo penguins (Pygoscelis papua) comprise four highly divergent lineages across their distribution spanning the Antarctic and sub-Antarctic regions. Gentoo penguins therefore represent a suitable animal model to study adaptive processes across divergent environments. Based on 62 mitogenomes that we obtained from nine locations spanning all four gentoo penguin lineages, we demonstrated lineage-specific nucleotide substitutions for various genes, but only lineage-specific amino acid replacements for the ND1 and ND5 protein-coding genes. Purifying selection (dN/dS&lt;1) is the main driving force in the protein-coding genes that shape the diversity of mitogenomes in gentoo penguins. Positive selection (dN/dS&gt;1) was mostly present in codons of the Complex I (NADH genes), supported by two different codon-based methods at the ND1 and ND4 in the most divergent lineages, the eastern gentoo penguin from Crozet and Marion Islands and the southern gentoo penguin from Antarctica respectively. Additionally, ND5 and ATP6 were under selection in the branches of the phylogeny involving all gentoo penguins except the eastern lineage. Our study suggests that local adaptation of gentoo penguins has emerged as a response to environmental variability promoting the fixation of mitochondrial haplotypes in a non-random manner. Mitogenome adaptation is thus likely to have been associated with gentoo penguin diversification across the Southern Ocean and to have promoted their survival in extreme environments such as Antarctica. Such selective processes on the mitochondrial genome may also be responsible for the discordance detected between nuclear- and mitochondrial-based phylogenies of gentoo penguin lineages.</t>
  </si>
  <si>
    <t>[Noll, D.; Leon, F.; Vianna, J. A.] Pontificia Univ Catolica Chile, Dept Ecosistemas &amp; Medio Ambiente, Vicuna Mackenna 4860, Santiago, Chile; [Noll, D.; Poulin, E.; Vianna, J. A.] Millennium Inst Biodivers Antarctic &amp; Subantarct, Santiago, Chile; [Noll, D.; Poulin, E.] Univ Chile, Fac Ciencias, Inst Ecol &amp; Biodiversidad, Santiago, Chile; [Brandt, D.; Bowie, R. C. K.] Univ Calif Berkeley, Dept Integrat Biol, 3101 Valley Life Sci Bldg, Berkeley, CA 94720 USA; [Pistorius, P.] Nelson Mandela Univ, Dept Zool, 11DST NRF Ctr Excellence, Percy FitzPatrick Inst African Ornithol, Port Elizabeth, South Africa; [Le Bohec, C.] Univ Strasbourg, CNRS, IPHC UMR 7178, F-67000 Strasbourg, France; [Le Bohec, C.] Ctr Sci Monaco, Dept Biol Polaire, Monaco 98000, Monaco; [Bonadonna, F.] Univ Montpellier, Univ Paul Valery Montpellier, EPHE, CNRS,CEFE UMR 5175, Montpellier 5, France; [Trathan, P. N.] British Antarctic Survey, Cambridge, England; [Barbosa, A.] Museo Nacl Ciencias Nat, CSIC, Dept Ecol Evolut, Madrid, Spain; [Rey, A. Raya] Ctr Austral Invest Cient Consejo Nacl Invest Cien, Ushuaia, Argentina; [Rey, A. Raya] Univ Nacl Tierra Fuego, Inst Ciencias Polares Ambiente &amp; Recursos Nat, Ushuaia, Argentina; [Rey, A. Raya] Wildlife Conservat Soc, Buenos Aires, DF, Argentina; [Dantas, G. P. M.] Pontificia Univ Catolica Minas Gerais, PPG Vertebrate Biol, Belo Horizonte, MG, Brazil; [Bowie, R. C. K.] Univ Calif Berkeley, Museum Vertebrate Zool, 3101 Valley Life Sci Bldg, Berkeley, CA 94720 USA; [Vianna, J. A.] Ctr Genome Regulat CRG, Fond Desarrollo Areas Prioritarias FONDAP, Santiago, Chile</t>
  </si>
  <si>
    <t>Pontificia Universidad Catolica de Chile; Universidad de Chile; University of California System; University of California Berkeley; Nelson Mandela University; Centre National de la Recherche Scientifique (CNRS); CNRS - National Institute of Nuclear and Particle Physics (IN2P3); Universites de Strasbourg Etablissements Associes; Universite de Strasbourg; Universite PSL; Ecole Pratique des Hautes Etudes (EPHE); Centre National de la Recherche Scientifique (CNRS); CNRS - Institute of Ecology &amp; Environment (INEE); Universite de Montpellier; UK Research &amp; Innovation (UKRI); Natural Environment Research Council (NERC); NERC British Antarctic Survey; Consejo Superior de Investigaciones Cientificas (CSIC); CSIC - Museo Nacional de Ciencias Naturales (MNCN); Pontificia Universidade Catolica de Minas Gerais; University of California System; University of California Berkeley</t>
  </si>
  <si>
    <t>Vianna, JA (corresponding author), Pontificia Univ Catolica Chile, Dept Ecosistemas &amp; Medio Ambiente, Vicuna Mackenna 4860, Santiago, Chile.;Vianna, JA (corresponding author), Millennium Inst Biodivers Antarctic &amp; Subantarct, Santiago, Chile.;Vianna, JA (corresponding author), Ctr Genome Regulat CRG, Fond Desarrollo Areas Prioritarias FONDAP, Santiago, Chile.</t>
  </si>
  <si>
    <t>jvianna@uc.cl</t>
  </si>
  <si>
    <t>Dantas, Gisele PM/T-6782-2019; Vianna, Juliana A/E-9847-2015; Poulin, Elie/C-2654-2012</t>
  </si>
  <si>
    <t>Dantas, Gisele PM/0000-0001-5282-7577; Poulin, Elie/0000-0001-7736-0969; Noll, Daly/0000-0003-3733-8817</t>
  </si>
  <si>
    <t>Beca ANID Doctorado Nacional [21171214]; Millennium Institute Biodiversity of Antarctic and Subantarctic Ecosystems (BASE) ANID-Millennium Science Initiative Program [ICN2021_002, RT_12-14]; Fondecyt [1150517, PIA ACT172065 GAB]; Center of genome regulation (CRG) ANID/FONDAP [15200002]; CNPq [431463/2016-6]; PROANTAR, IPEV programs [137 ANTAVIA-ECOPHY, 354 ETHOTAAF]; Spanish Research Agency [CGL2004-01348, CGL200760369, POL2006-06635, CTM2015-64720-R]</t>
  </si>
  <si>
    <t>Beca ANID Doctorado Nacional; Millennium Institute Biodiversity of Antarctic and Subantarctic Ecosystems (BASE) ANID-Millennium Science Initiative Program; Fondecyt(Comision Nacional de Investigacion Cientifica y Tecnologica (CONICYT)CONICYT FONDECYT); Center of genome regulation (CRG) ANID/FONDAP; CNPq(Conselho Nacional de Desenvolvimento Cientifico e Tecnologico (CNPQ)); PROANTAR, IPEV programs; Spanish Research Agency(Spanish Government)</t>
  </si>
  <si>
    <t>Financial support for this study was provided by Beca ANID Doctorado Nacional (Folio: 21171214), Millennium Institute Biodiversity of Antarctic and Subantarctic Ecosystems (BASE) ANID-Millennium Science Initiative Program-ICN2021_002, Inach RT_12-14, Fondecyt 1150517, PIA ACT172065 GAB, Center of genome regulation (CRG) ANID/FONDAP/15200002, the CNPq (431463/2016-6) and the PROANTAR, IPEV programs 137 ANTAVIA-ECOPHY and 354 ETHOTAAF and by the Spanish Research Agency (CGL2004-01348, CGL200760369, POL2006-06635 and CTM2015-64720-R). We thank Sarah Crofts, Micky Reeves and Jonathan Handley from Falklands Conservation for their contribution to the sampling.</t>
  </si>
  <si>
    <t>MAR 8</t>
  </si>
  <si>
    <t>10.1038/s41598-022-07562-0</t>
  </si>
  <si>
    <t>2Z3IA</t>
  </si>
  <si>
    <t>WOS:000826474600031</t>
  </si>
  <si>
    <t>Murunga, M</t>
  </si>
  <si>
    <t>Murunga, Michael</t>
  </si>
  <si>
    <t>Public engagement for social transformation: Informing or Empowering?</t>
  </si>
  <si>
    <t>Global environmental change; Knowledge exchange; Public engagement; Social transformation; Sustainability transformation; Transformative change</t>
  </si>
  <si>
    <t>CLIMATE-CHANGE; SCIENCE COMMUNICATION; INDIGENOUS KNOWLEDGE; PARTICIPATION; BIODIVERSITY; GOVERNANCE; COPRODUCTION; ADAPTATION; SUSTAINABILITY; REFLEXIVITY</t>
  </si>
  <si>
    <t>Engagement of the public by researchers and policymakers is crucial to address pressing societal issues. Yet, while it holds the promise of improving interactions among distinct publics, it is not always evident what counts as engagement. This perspective discusses the ambiguity of the engagement construct and associated imaginaries. It explores variations concerning the engagement construct; and uses five lenses to suggest ways of transforming engagement under climate change. It notes that engagement processes need to go beyond informing to empowering the distinct publics to deliberate ways of transforming society, achieving mutually satisfying outcomes, and securing the future of our planet.</t>
  </si>
  <si>
    <t>[Murunga, Michael] Univ Tasmania, Inst Marine &amp; Antarctic Studies IMAS, Hobart, Tas 7001, Australia; [Murunga, Michael] Univ Tasmania, Ctr Marine Socioecol CMS, Private Bag 129, Hobart, Tas 7001, Australia</t>
  </si>
  <si>
    <t>Murunga, M (corresponding author), Univ Tasmania, Inst Marine &amp; Antarctic Studies IMAS, Hobart, Tas 7001, Australia.</t>
  </si>
  <si>
    <t>michael.murunga@utas.edu.au</t>
  </si>
  <si>
    <t>Murunga, Michael/0000-0002-4163-4224</t>
  </si>
  <si>
    <t>Tasmania Graduate Research Scholarship</t>
  </si>
  <si>
    <t>MM acknowledges funding from the Tasmania Graduate Research Scholarship. The Institute for Marine and Antarctic Studies (IMAS) and Centre for Marine Socioecology (CMS) of the University of Tasmania (UTAS -Australia) provided in-kind support. The author thanks all colleagues who remarked on an earlier draft of this manuscript and the two anonymous reviewers.</t>
  </si>
  <si>
    <t>10.1016/j.envsci.2022.02.031</t>
  </si>
  <si>
    <t>2P9XA</t>
  </si>
  <si>
    <t>WOS:000820083100002</t>
  </si>
  <si>
    <t>Kaczmarek, L; Michalczyk, L; McInnes, SJ</t>
  </si>
  <si>
    <t>Kaczmarek, Lukasz; Michalczyk, Lukasz; McInnes, Sandra J.</t>
  </si>
  <si>
    <t>Annotated zoogeography of non-marine Tardigrada. Part V: Australasia</t>
  </si>
  <si>
    <t>Key words; Australia; biogeography; New Zealand; Papua New Guinea; species list; tardigrades; water bears</t>
  </si>
  <si>
    <t>SPECIES HETEROTARDIGRADA ECHINISCIDAE; HUFELANDI GROUP TARDIGRADA; 3 MILNESIUM DOYERE; INTEGRATIVE DESCRIPTION; SP-NOV; NEW-ZEALAND; GROUP EUTARDIGRADA; MOLECULAR-DATA; SP. NOV.; ET-AL.</t>
  </si>
  <si>
    <t>This paper is the fifth monograph of the series that describes the global records of limno-terrestrial water bears (Tardigrada). Here, we provide a comprehensive list of non-marine tardigrades recorded from Australasia, providing an updated and revised taxonomy accompanied by geographic co-ordinates, habitat, and biogeographic comments. It is hoped this work will serve as a reference point and background for further zoogeographical and taxonomical studies.</t>
  </si>
  <si>
    <t>[Kaczmarek, Lukasz] Jagiellonian Univ, Fac Biol, Inst Zool &amp; Biomed Res, Dept Invertebrate Evolut, Gronostajowa 9, PL-30387 Krakow, Poland; [Kaczmarek, Lukasz] Univ Western Australia, Ctr Evolutionary Biol, 35 Stirling Highway, Perth, WA 6009, Australia; [Michalczyk, Lukasz] Adam Mickiewicz Univ, Dept Anim Taxon &amp; Ecol, Uniwersytetu Poznanskiego 6, PL-61614 Poznan, Poland; [McInnes, Sandra J.] British Antarctic Survey, Madingley Rd, Cambridge CB3 0ET, England</t>
  </si>
  <si>
    <t>Jagiellonian University; University of Western Australia; Adam Mickiewicz University; UK Research &amp; Innovation (UKRI); Natural Environment Research Council (NERC); NERC British Antarctic Survey</t>
  </si>
  <si>
    <t>Kaczmarek, L (corresponding author), Jagiellonian Univ, Fac Biol, Inst Zool &amp; Biomed Res, Dept Invertebrate Evolut, Gronostajowa 9, PL-30387 Krakow, Poland.;Kaczmarek, L (corresponding author), Univ Western Australia, Ctr Evolutionary Biol, 35 Stirling Highway, Perth, WA 6009, Australia.</t>
  </si>
  <si>
    <t>LM@tandigrada.net; kaczmar@amu.edu.pl; s.mcinnes@bas.ac.uk</t>
  </si>
  <si>
    <t>McInnes, Sandra/AAN-4773-2020; Michalczyk, Lukasz/D-1362-2009</t>
  </si>
  <si>
    <t>McInnes, Sandra/0000-0003-3403-9379; Michalczyk, Lukasz/0000-0002-2912-4870</t>
  </si>
  <si>
    <t>Group of Eight (Go8) European Fellowships Programme, Australia</t>
  </si>
  <si>
    <t>The authors would like to thank the numerous colleagues who have kindly supplied their papers on tardigrades as they are published. We are especially grateful to the late Professors Barbara Weglarska (Poland) and Clark Beasley (USA) for sharing their immense tardigrade literature with us. We also thank Laura Gerrish (British Antarctic Survey, UK) for supplying the figures. We are grateful to the reviewers, Dr. Sandra Claxton (Australia) and Dr. Peter Degma (Slovakia) for their valuable comments and corrections of the manuscript. Studies have been partially conducted in the framework of activities of the BARg (Biodiversity and Astrobiology Research group). The study was supported by the Group of Eight (Go8) European Fellowships Programme, Australia (a grant to LM), and LM is grateful to Professor Joe Tomkins for his wonderful hospitality during LM's fellowship at the University of Western Australia in Perth (2014-2015).</t>
  </si>
  <si>
    <t>10.11646/zootaxa.5107.1.1</t>
  </si>
  <si>
    <t>ZS3WZ</t>
  </si>
  <si>
    <t>WOS:000768400300001</t>
  </si>
  <si>
    <t>Young, TJ; Christoffersen, P; Bougamont, M; Tulaczyk, SM; Hubbard, B; Mankoff, KD; Nicholls, KW; Stewart, CL</t>
  </si>
  <si>
    <t>Young, Tun Jan; Christoffersen, Poul; Bougamont, Marion; Tulaczyk, Slawek M.; Hubbard, Bryn; Mankoff, Kenneth D.; Nicholls, Keith W.; Stewart, Craig L.</t>
  </si>
  <si>
    <t>Rapid basal melting of the Greenland Ice Sheet from surface meltwater drainage</t>
  </si>
  <si>
    <t>Greenland; glaciology; ice sheets; climate change; radio echo sounding</t>
  </si>
  <si>
    <t>STORE GLACIER; PHYSICAL CONDITIONS; SUBGLACIAL DRAINAGE; OUTBURST FLOODS; FLOW; BENEATH; EVOLUTION; SYSTEM; RADAR; HYDRAULICS</t>
  </si>
  <si>
    <t>Subglacial hydrologic systems regulate ice sheet flow, causing acceleration or deceleration, depending on hydraulic efficiency and the rate at which surface meltwater is delivered to the bed. Because these systems are rarely observed, ice sheet basal drainage represents a poorly integrated and uncertain component of models used to predict sea level changes. Here, we report radar-derived basal melt rates and unexpectedly warm subglacial conditions beneath a large Greenlandic outlet glacier. The basal melt rates averaged 14 mm . d(-1) over 4 months, peaking at 57 mm . d(-1) when basal water temperature reached +0.88 degrees C in a nearby borehole. We attribute both observations to the conversion of potential energy of surface water to heat in the basal drainage system, which peaked during a period of rainfall and intense surface melting. Our findings reveal limitations in the theory of channel formation, and we show that viscous dissipation far surpasses other basal heat sources, even in a distributed, high-pressure system.</t>
  </si>
  <si>
    <t>[Young, Tun Jan; Christoffersen, Poul; Bougamont, Marion] Univ Cambridge, Scott Polar Res Inst, Cambridge CB2 1ER, England; [Tulaczyk, Slawek M.] Univ Calif Santa Cruz, Earth &amp; Planetary Sci, Santa Cruz, CA 95064 USA; [Hubbard, Bryn] Aberystwyth Univ, Ctr Glaciol, Dept Geog &amp; Earth Sci, Aberystwyth SY23 3DB, Dyfed, Wales; [Mankoff, Kenneth D.] Geol Survey Denmark &amp; Greenland, Dept Glaciol &amp; Climate, DK-1350 Copenhagen, Denmark; [Nicholls, Keith W.] British Antarctic Survey, Nat Environm Res Council, Cambridge CB3 0ET, England; [Stewart, Craig L.] Natl Inst Water &amp; Atmospher Res, Wellington 6241, New Zealand</t>
  </si>
  <si>
    <t>University of Cambridge; University of California System; University of California Santa Cruz; Aberystwyth University; Geological Survey Of Denmark &amp; Greenland; UK Research &amp; Innovation (UKRI); Natural Environment Research Council (NERC); NERC British Antarctic Survey; National Institute of Water &amp; Atmospheric Research (NIWA) - New Zealand</t>
  </si>
  <si>
    <t>Christoffersen, P (corresponding author), Univ Cambridge, Scott Polar Res Inst, Cambridge CB2 1ER, England.</t>
  </si>
  <si>
    <t>pc350@cam.ac.uk</t>
  </si>
  <si>
    <t>Tulaczyk, Slawek/O-7375-2018; Mankoff, Kenneth/G-1197-2010; Christoffersen, Poul/C-7328-2013</t>
  </si>
  <si>
    <t>Mankoff, Kenneth/0000-0001-5453-2019; Christoffersen, Poul/0000-0003-2643-8724; Young, Tun Jan/0000-0001-5865-3459; Hubbard, Bryn/0000-0002-3565-3875</t>
  </si>
  <si>
    <t>European Research Council under the European Union [683043]; Natural Environment Research Council [NE/K005871/1, NE/K006126]; Higher Education Funding Council for Wales; Aberystwyth University Capital Equipment Grant; NERC [NE/K006126/1, NE/S006788/1, NE/K005871/1] Funding Source: UKRI; European Research Council (ERC) [683043] Funding Source: European Research Council (ERC)</t>
  </si>
  <si>
    <t>European Research Council under the European Union(European Research Council (ERC)); Natural Environment Research Council(UK Research &amp; Innovation (UKRI)Natural Environment Research Council (NERC)); Higher Education Funding Council for Wales(UK Research &amp; Innovation (UKRI)Higher Education Funding Council for England (HEFCE)); Aberystwyth University Capital Equipment Grant; NERC(UK Research &amp; Innovation (UKRI)Natural Environment Research Council (NERC)); European Research Council (ERC)(European Research Council (ERC)Spanish Government)</t>
  </si>
  <si>
    <t>We are grateful to Ann Andreasen and the Uumman-naq Polar Institute for their generous support and hospitality. This research was funded by the European Research Council under the European Union's Horizon 2020 research and innovation program (Grant 683043) . P.C., M.B., and B.H. were supported by the Natural Environment Research Council (Grants NE/K005871/1 and NE/K006126) . B.H. was also supported by the Higher Education Funding Council for Wales and an Aberystwyth University Capital Equipment Grant.</t>
  </si>
  <si>
    <t>e2116036119</t>
  </si>
  <si>
    <t>10.1073/pnas.2116036119</t>
  </si>
  <si>
    <t>ZX9NZ</t>
  </si>
  <si>
    <t>Green Submitted, hybrid, Green Published, Green Accepted</t>
  </si>
  <si>
    <t>WOS:000772220900004</t>
  </si>
  <si>
    <t>Kim, S; Cazenave, F</t>
  </si>
  <si>
    <t>Kim, Stacy; Cazenave, Francois</t>
  </si>
  <si>
    <t>Benthic community descriptions at underwater peaks in McMurdo Sound, Antarctica</t>
  </si>
  <si>
    <t>Ecology; Ice; Bathymetry</t>
  </si>
  <si>
    <t>BIOLOGY; SHELF; ICE; DISPERSAL; SEAMOUNT</t>
  </si>
  <si>
    <t>In McMurdo Sound, Antarctica, fine-scale bathymetry is poorly defined, and benthic communities at water depths over 30 m have not been well described. We describe the benthic communities on two previously unknown bathymetric highs, sampled in 2012 and 2014, using scuba divers, a remotely operated vehicle, and a specially designed time-lapse camera system (SeeStar). One site (Mystery Peak) was capped by a dense thicket of the sponge Homaxinella balfourensis, a temporally variable community that likely formed in response to iceberg disturbance. Below the H. balfourensis cap (at 40 m) and at the second site (Tongue Peak, 70 m), the communities conformed to a known ecological pattern driven by food availability from benthic diatoms. Overall, mixed hydroids and bryozoans were the dominant organisms, and at greater depths the sponge Rosella podagrosa also became abundant. Over time, there were only minor changes in these communities on isolated bathymetric highs. Ice is a physical factor that interacts with depth and influences benthic communities through disturbance by icebergs and anchor ice, and through food supply by sea ice coverage. The SeeStar time-lapse camera system performed exceptionally and opens up opportunities for new winter observations in the Antarctic.</t>
  </si>
  <si>
    <t>[Kim, Stacy] Moss Landing Marine Labs, 8272 Moss Landing Rd, Moss Landing, CA 95062 USA; [Cazenave, Francois] Monterey Bay Aquarium Res Inst, 700 Sandhoidt Rd, Moss Landing, CA 95039 USA</t>
  </si>
  <si>
    <t>Moss Landing Marine Laboratories; Monterey Bay Aquarium Research Institute</t>
  </si>
  <si>
    <t>Kim, S (corresponding author), Moss Landing Marine Labs, 8272 Moss Landing Rd, Moss Landing, CA 95062 USA.</t>
  </si>
  <si>
    <t>slkim@alum.mit.edu</t>
  </si>
  <si>
    <t>Cazenave, Francois/0000-0001-8542-212X</t>
  </si>
  <si>
    <t>National Science Foundation [ANT-0944747, OPP-0619622]</t>
  </si>
  <si>
    <t>This material is based on work supported by the National Science Foundation under grants ANT-0944747 and OPP-0619622. Any opinions, findings and conclusions or recommendations expressed in this material are those of the authors and do not necessarily reflect the views of the National Science Foundation.</t>
  </si>
  <si>
    <t>e5</t>
  </si>
  <si>
    <t>10.1017/S0032247422000031</t>
  </si>
  <si>
    <t>ZO5GE</t>
  </si>
  <si>
    <t>WOS:000765752200001</t>
  </si>
  <si>
    <t>Castleman, BA; Schlegel, NJ; Caron, L; Larour, E; Khazendar, A</t>
  </si>
  <si>
    <t>Castleman, Blake A.; Schlegel, Nicole-Jeanne; Caron, Lambert; Larour, Eric; Khazendar, Ala</t>
  </si>
  <si>
    <t>Derivation of bedrock topography measurement requirements for the reduction of uncertainty in ice-sheet model projections of Thwaites Glacier</t>
  </si>
  <si>
    <t>SEA-LEVEL RISE; WEST ANTARCTICA; MASS-LOSS; NORTHEAST GREENLAND; GROUNDING LINE; PINE ISLAND; MELT RATES; FLOW; RETREAT; QUANTIFICATION</t>
  </si>
  <si>
    <t>Determining the future evolution of the Antarctic Ice Sheet is critical for understanding and narrowing the large existing uncertainties in century-scale global mean sea-level-rise (SLR) projections. One of the most significant glaciers and ice streams in Antarctica, Thwaites Glacier, is at risk of destabilization and, if destabilized, has the potential to be the largest regional-scale contributor of SLR on Earth. This is because Thwaites Glacier is vulnerable to the marine ice-sheet instability as its grounding line is significantly influenced by ocean-driven basal melting rates, and its bedrock topography retrogrades into kilometer-deep troughs. In this study, we investigate how bedrock topography features influence the grounding line migration beneath Thwaites Glacier when extreme ocean-driven basal melt rates are applied. Specifically, we design experiments using the Ice-sheet and Sealevel System Model (ISSM) to quantify the SLR projection uncertainty due to reported errors in the current bedrock topography maps that are often used by ice-sheet models. We find that spread in model estimates of sea-level-rise contribution from Thwaites Glacier due to the reported bedrock topography error could be as large as 21.9 cm after 200 years of extreme ocean warming. Next, we perturb the bedrock topography beneath Thwaites Glacier using wavelet decomposition techniques to introduce realistic noise (within error). We explore the model space with multiple realizations of noise to quantify what spatial and vertical resolutions in bedrock topography are required to minimize the uncertainty in our 200-year experiment. We conclude that at least a 2 km spatial and 8m vertical resolution would independently constrain possible SLR to +/- 2 cm over 200 years, fulfilling requirements outlined by the 2017 Decadal Survey for Earth Science. Lastly, we perform an ensemble of simulations to determine in which regions our model of Thwaites Glacier is most sensitive to perturbations in bedrock topography. Our results suggest that the retreat of the grounding line is most sensitive to bedrock topography in proximity to the grounding line's initial position. Additionally, we find that the location and amplitude of the bedrock perturbation is more significant than its sharpness and shape. Overall, these findings inform and benchmark observational requirements for future missions that will measure ice-sheet bedrock topography, not only in the case of Thwaites Glacier but for Antarctica on the continental scale.</t>
  </si>
  <si>
    <t>[Castleman, Blake A.; Schlegel, Nicole-Jeanne; Caron, Lambert; Larour, Eric; Khazendar, Ala] CALTECH, Jet Prop Lab, Pasadena, CA 91125 USA; [Castleman, Blake A.] Georgia Inst Technol, Sch Mech Engn, Atlanta, GA 30332 USA</t>
  </si>
  <si>
    <t>National Aeronautics &amp; Space Administration (NASA); NASA Jet Propulsion Laboratory (JPL); California Institute of Technology; University System of Georgia; Georgia Institute of Technology</t>
  </si>
  <si>
    <t>Castleman, BA (corresponding author), CALTECH, Jet Prop Lab, Pasadena, CA 91125 USA.;Castleman, BA (corresponding author), Georgia Inst Technol, Sch Mech Engn, Atlanta, GA 30332 USA.</t>
  </si>
  <si>
    <t>bcastleman3@gatech.edu</t>
  </si>
  <si>
    <t>Caron, Lambert/AAO-9863-2021</t>
  </si>
  <si>
    <t>Schlegel, Nicole-Jeanne/0000-0001-8035-448X</t>
  </si>
  <si>
    <t>Jet Propulsion Laboratory Research and Technology Development program; Earth Science and Technology Directorate, Jet Propulsion Laboratory, California Institute of Technology; NASA</t>
  </si>
  <si>
    <t>Jet Propulsion Laboratory Research and Technology Development program; Earth Science and Technology Directorate, Jet Propulsion Laboratory, California Institute of Technology; NASA(National Aeronautics &amp; Space Administration (NASA))</t>
  </si>
  <si>
    <t>Funding was provided by the Jet Propulsion Laboratory Research and Technology Development program, the Earth Science and Technology Directorate, Jet Propulsion Laboratory, California Institute of Technology, and from NASA Cryospheric Science, Sea Level Change Team, and Modeling, Analysis and Prediction (MAP) programs.</t>
  </si>
  <si>
    <t>10.5194/tc-16-761-2022</t>
  </si>
  <si>
    <t>ZS1GA</t>
  </si>
  <si>
    <t>WOS:000768218900001</t>
  </si>
  <si>
    <t>Kershaw, F; Bruford, MW; Funk, WC; Grueber, CE; Hoban, S; Hunter, ME; Laikre, L; MacDonald, AJ; Meek, MH; Mittan, C; O'Brien, D; Ogden, R; Shaw, RE; Vernesi, C; Segelbacher, G</t>
  </si>
  <si>
    <t>Kershaw, Francine; Bruford, Michael W.; Funk, W. Chris; Grueber, Catherine E.; Hoban, Sean; Hunter, Margaret E.; Laikre, Linda; MacDonald, Anna J.; Meek, Mariah H.; Mittan, Cinnamon; O'Brien, David; Ogden, Rob; Shaw, Robyn E.; Vernesi, Cristiano; Segelbacher, Gernot</t>
  </si>
  <si>
    <t>The Coalition for Conservation Genetics: Working across organizations to build capacity and achieve change in policy and practice</t>
  </si>
  <si>
    <t>capacity building; conservation genetics; genetic diversity; international policy; policy and practice; scientific networks</t>
  </si>
  <si>
    <t>IMPLEMENTATION; BIODIVERSITY; VARIABILITY; POPULATION; GENOMICS; GOALS</t>
  </si>
  <si>
    <t>The Coalition for Conservation Genetics (CCG) brings together four eminent organizations with the shared goal of improving the integration of genetic information into conservation policy and practice. We provide a historical context of conservation genetics as a field and reflect on current barriers to conserving genetic diversity, highlighting the need for collaboration across traditional divides, international partnerships, and coordinated advocacy. We then introduce the CCG and illustrate through examples how a coalition approach can leverage complementary expertise and improve the organizational impact at multiple levels. The CCG has proven particularly successful at implementing large synthesis-type projects, training early-career scientists, and advising policy makers. Achievements to date highlight the potential for the CCG to make effective contributions to practical conservation policy and management that no one parent organization could achieve on its own. Finally, we reflect on the lessons learned through forming the CCG, and our vision for the future.</t>
  </si>
  <si>
    <t>[Kershaw, Francine] Nat Resources Def Council, New York, NY USA; [Bruford, Michael W.] Cardiff Univ, Sch BioSci, Cardiff, S Glam, Wales; [Funk, W. Chris] Colorado State Univ, Dept Biol, Grad Degree Program Ecol, Ft Collins, CO 80523 USA; [Grueber, Catherine E.] Univ Sydney, Sch Life &amp; Environm Sci, Sydney, NSW, Australia; [Hoban, Sean] Ctr Tree Sci, Morton Arboretum, Lisle, IL USA; [Hunter, Margaret E.] US Geol Survey, Wetland &amp; Aquat Res Ctr, Gainesville, FL USA; [Laikre, Linda] Stockholm Univ, Dept Zool, Div Populat Genet, Stockholm, Sweden; [MacDonald, Anna J.] Australian Natl Univ, Res Sch Biol, Canberra, Acton, Australia; [Meek, Mariah H.] Michigan State Univ, Dept Integrat Biol, AgBio Res, E Lansing, MI 48824 USA; [Meek, Mariah H.] Michigan State Univ, Ecol Evolut &amp; Behav Program, E Lansing, MI 48824 USA; [Mittan, Cinnamon] Cornell Univ, Dept Ecol &amp; Evolutionary Biol, Ithaca, NY USA; [O'Brien, David] NatureScot, Inverness, Scotland; [Ogden, Rob] Univ Edinburgh, Royal Dick Sch Vet Studies, Edinburgh, Midlothian, Scotland; [Ogden, Rob] Univ Edinburgh, Roslin Inst, Edinburgh, Midlothian, Scotland; [Shaw, Robyn E.] Murdoch Univ, Environm &amp; Conservat Sci, Perth, WA, Australia; [Vernesi, Cristiano] Fdn Edmund Mach, Forest Ecol Unit, Res &amp; Innovat Ctr, San Michele All Adige, Trentino, Italy; [Segelbacher, Gernot] Univ Freiburg, Wildlife Ecol &amp; Management, Freiburg, Germany; [MacDonald, Anna J.] Dept Agr Water &amp; Environm, Australian Antarctic Div, Kingston, Tas, Australia</t>
  </si>
  <si>
    <t>Cardiff University; Colorado State University; University of Sydney; United States Department of the Interior; United States Geological Survey; Stockholm University; Australian National University; Michigan State University; Michigan State University AgBioResearch; Michigan State University; Cornell University; University of Edinburgh; University of Edinburgh; UK Research &amp; Innovation (UKRI); Biotechnology and Biological Sciences Research Council (BBSRC); Roslin Institute; Murdoch University; Fondazione Edmund Mach; University of Freiburg; Australian Antarctic Division</t>
  </si>
  <si>
    <t>Kershaw, F (corresponding author), 6115 Wiley Dr, Simpsonville, SC 29680 USA.</t>
  </si>
  <si>
    <t>fkershaw@nrdc.org</t>
  </si>
  <si>
    <t>Hoban, Sean M/E-1530-2011; Segelbacher, Gernot/F-3633-2011; MacDonald, Anna J/B-4462-2011</t>
  </si>
  <si>
    <t>Segelbacher, Gernot/0000-0002-8024-7008; MacDonald, Anna J/0000-0003-2972-200X; Grueber, Catherine/0000-0002-8179-1822; Kershaw, Francine/0000-0003-2146-8094; Meek, Mariah/0000-0002-3219-4888; Laikre, Linda/0000-0001-9286-3361; Ogden, Rob/0000-0002-2831-0428; Shaw, Robyn/0000-0002-7899-1743; O'Brien, David/0000-0001-7901-295X; Mittan-Moreau, Cinnamon S./0000-0002-5874-5588</t>
  </si>
  <si>
    <t>COST (European Cooperation in Science and Technology) [CA 18134]</t>
  </si>
  <si>
    <t>COST (European Cooperation in Science and Technology)(European Cooperation in Science and Technology (COST))</t>
  </si>
  <si>
    <t>We are greatly indebted to the numerous collaborators and leadership across the four CCG organizations. The success of the coalition would not be possible without the support by all who have worked so hard on this endeavor-we thank you. We also would like to pay special regards to all of the other dedicated organizations and working groups across the globe, and other co-contributors who advance the focus of improving production and uptake of genetic diversity in research and policy. Any use of trade, firm, or product, or firm names is for descriptive purposes only and does not imply endorsement by the US Government. This article/publication is based upon work from COST Action G-BiKE, CA 18134, supported by COST (European Cooperation in Science and Technology).</t>
  </si>
  <si>
    <t>e12635</t>
  </si>
  <si>
    <t>10.1111/csp2.12635</t>
  </si>
  <si>
    <t>0E4TD</t>
  </si>
  <si>
    <t>WOS:000765723900001</t>
  </si>
  <si>
    <t>Gupta, R; Pandey, M; Arora, D; Pant, NC; Rao, NVC</t>
  </si>
  <si>
    <t>Gupta, Rashmi; Pandey, Mayuri; Arora, Devsamridhi; Pant, Naresh Chandra; Rao, N. V. Chalapathi</t>
  </si>
  <si>
    <t>Evincing the presence of a trans-Gondwanian mobile belt in the interior of the Princess Elizabeth Land, East Antarctica: insights from offshore detrital sediments, rock fragments, and monazite geochronology</t>
  </si>
  <si>
    <t>GEOLOGICAL JOURNAL</t>
  </si>
  <si>
    <t>Antarctica; detrital sediments; monazite; Princess Elizabeth Land</t>
  </si>
  <si>
    <t>GAMBURTSEV SUBGLACIAL MOUNTAINS; DRONNING MAUD LAND; PRYDZ BAY AREA; CHARLES-MOUNTAINS; U-PB; LARSEMANN HILLS; MUSGRAVE PROVINCE; GEOLOGICAL RELATIONSHIPS; BASEMENT PROVINCES; CRUSTAL EVOLUTION</t>
  </si>
  <si>
    <t>East Gondwana was assembled through the stitching of the Indo-Antarctica and Australo-Antarctica domains which also represents the key Gondwana-forming regions in present-day East Antarctica. However, the Indo-Antarctica and Australo-Antarctica boundaries remain speculative and contentious, as the thick Antarctic Ice sheet precludes direct geological characterization of these terranes. In addition, the exact role of the Gamburtsev Subglacial Mountains, present in the interior of Princess Elizabeth Land (PEL), during the amalgamation of Gondwana, has not been well understood. We present new mineralogical data of offshore sediments from Prydz Bay to infer the geology of the interior of the PEL terrain, East Antarctica. Coast marginal outcrops dominantly expose igneous and granulite facies metamorphic rocks. Heavy minerals characterization of the rock fragments followed by consideration of the outcrop geology indicate a possible contribution of sediments from the far interior of PEL terrain. Total U-Pb chemical geochronology of detrital monazites dominantly shows a bimodal age distribution ascribable to Stenian to Tonian (similar to 1,100 Ma, 900 Ma) event ages and a younger Pan-African event (similar to 500 Ma). Besides these, Tonian-Cryogenian (similar to 700 Ma) ages from texturally constrained monazites of a low-grade schist rock fragment is reported for the first time from this sector. Consideration of glacial flow directions and the nature of rock fragments indicate their sourcing from the distal hinterland. The possible provenance is inferred to be from the Gamburtsev Subglacial Mountains.</t>
  </si>
  <si>
    <t>[Gupta, Rashmi; Pandey, Mayuri; Rao, N. V. Chalapathi] Banaras Hindu Univ, Inst Sci, Dept Geol, Varanasi, Uttar Pradesh, India; [Arora, Devsamridhi] Indian Inst Technol, Dept Earth Sci, Mumbai, Maharashtra, India; [Pant, Naresh Chandra] Univ Delhi, Dept Geol, Delhi, India</t>
  </si>
  <si>
    <t>Banaras Hindu University (BHU); Indian Institute of Technology System (IIT System); Indian Institute of Technology (IIT) - Bombay; University of Delhi</t>
  </si>
  <si>
    <t>Pandey, M (corresponding author), Banaras Hindu Univ, Inst Sci, Dept Geol, Varanasi, Uttar Pradesh, India.</t>
  </si>
  <si>
    <t>mayuri.geo@bhu.ac.in</t>
  </si>
  <si>
    <t>GUPTA, RASHMI/JED-8985-2023</t>
  </si>
  <si>
    <t>GUPTA, RASHMI/0000-0001-7911-8025; Arora, Devsamridhi/0000-0003-1790-6960; CHALAPATHI RAO, N.V./0000-0003-0476-5302; Pant, Naresh Chandra/0000-0002-3204-0563; PANDEY, MAYURI/0000-0001-8125-8051</t>
  </si>
  <si>
    <t>IOE</t>
  </si>
  <si>
    <t>IOE research grant</t>
  </si>
  <si>
    <t>0072-1050</t>
  </si>
  <si>
    <t>1099-1034</t>
  </si>
  <si>
    <t>GEOL J</t>
  </si>
  <si>
    <t>Geol. J.</t>
  </si>
  <si>
    <t>10.1002/gj.4430</t>
  </si>
  <si>
    <t>2P9CL</t>
  </si>
  <si>
    <t>WOS:000765923700001</t>
  </si>
  <si>
    <t>Kulshrestha, S; Jibran, R; van Klink, JW; Zhou, YF; Brummell, DA; Albert, NW; Schwinn, KE; Chagné, D; Landi, M; Bowman, JL; Davies, KM</t>
  </si>
  <si>
    <t>Kulshrestha, Samarth; Jibran, Rubina; van Klink, John W.; Zhou, Yanfei; Brummell, David A.; Albert, Nick W.; Schwinn, Kathy E.; Chagne, David; Landi, Marco; Bowman, John L.; Davies, Kevin M.</t>
  </si>
  <si>
    <t>Stress, senescence, and specialized metabolites in bryophytes</t>
  </si>
  <si>
    <t>Flavonoid; hornwort; liverwort; moss; phenolic; terpenoid</t>
  </si>
  <si>
    <t>LEAF SENESCENCE; SECONDARY METABOLITES; MARCHANTIA-POLYMORPHA; NITROGEN DEPOSITION; ENZYMATIC LATCH; ANTARCTIC MOSS; LAND PLANTS; ARABIDOPSIS; EVOLUTION; ANTHOCYANINS</t>
  </si>
  <si>
    <t>Life on land exposes plants to varied abiotic and biotic environmental stresses. These environmental drivers contributed to a large expansion of metabolic capabilities during land plant evolution and species diversification. In this review we summarize knowledge on how the specialized metabolite pathways of bryophytes may contribute to stress tolerance capabilities. Bryophytes are the non-tracheophyte land plant group (comprising the hornworts, liverworts, and mosses) and rapidly diversified following the colonization of land. Mosses and liverworts have as wide a distribution as flowering plants with regard to available environments, able to grow in polar regions through to hot desert landscapes. Yet in contrast to flowering plants, for which the biosynthetic pathways, transcriptional regulation, and compound function of stress tolerance-related metabolite pathways have been extensively characterized, it is only recently that similar data have become available for bryophytes. The bryophyte data are compared with those available for angiosperms, including examining how the differing plant forms of bryophytes and angiosperms may influence specialized metabolite diversity and function. The involvement of stress-induced specialized metabolites in senescence and nutrient response pathways is also discussed. We review how specialized metabolites help plants cope with the abiotic and biotic stresses of the terrestrial environment, and compare emerging knowledge on bryophytes with that available for angiosperms.</t>
  </si>
  <si>
    <t>[Kulshrestha, Samarth; Zhou, Yanfei; Brummell, David A.; Albert, Nick W.; Schwinn, Kathy E.; Chagne, David; Davies, Kevin M.] New Zealand Inst Plant &amp; Food Res Ltd, Private Bag 11600, Palmerston North 4442, New Zealand; [Jibran, Rubina] New Zealand Inst Plant &amp; Food Res Ltd, Auckland Mail Ctr, Private Bag 92169, Auckland 1142, New Zealand; [van Klink, John W.] Univ Otago, New Zealand Inst Plant &amp; Food Res Ltd, Dept Chem, Dunedin, New Zealand; [Landi, Marco] Univ Pisa, Dept Agr Food &amp; Environm, Pisa, Italy; [Bowman, John L.] Monash Univ, Sch Biol Sci, Melbourne, Vic, Australia</t>
  </si>
  <si>
    <t>New Zealand Institute for Plant &amp; Food Research Ltd; New Zealand Institute for Plant &amp; Food Research Ltd; University of Otago; New Zealand Institute for Plant &amp; Food Research Ltd; University of Pisa; Monash University; Melbourne Genomics Health Alliance</t>
  </si>
  <si>
    <t>Davies, KM (corresponding author), New Zealand Inst Plant &amp; Food Res Ltd, Private Bag 11600, Palmerston North 4442, New Zealand.</t>
  </si>
  <si>
    <t>kevin.davies@plantandfood.co.nz</t>
  </si>
  <si>
    <t>ZHOU, yf/IAO-5497-2023; ZHOU, YUN/ISA-9160-2023; Albert, Nick W/B-6897-2009; Schwinn, Kathy/S-4662-2017; Brummell, David/F-1498-2010</t>
  </si>
  <si>
    <t>ZHOU, YUN/0009-0003-5061-8730; Albert, Nick W/0000-0002-8579-529X; Zhou, Yanfei/0000-0002-9607-8376; Landi, Marco/0000-0003-0121-0715; Schwinn, Kathy/0000-0002-6337-3627; Brummell, David/0000-0002-2754-6340; Jibran, Rubina/0000-0002-4709-4281; van Klink, John/0000-0002-0843-567X; Bowman, John/0000-0001-7347-3691</t>
  </si>
  <si>
    <t>Marsden Fund of New Zealand/Te Putea Rangahau a Marsden [PAF1701, PAF2002]; James Cook Research Fellowship (KMD) [JCF-PAF2001]</t>
  </si>
  <si>
    <t>Marsden Fund of New Zealand/Te Putea Rangahau a Marsden; James Cook Research Fellowship (KMD)</t>
  </si>
  <si>
    <t>Financial support was provided by the Marsden Fund of New Zealand/Te Putea Rangahau a Marsden (contracts PAF1701 and PAF2002) and a James Cook Research Fellowship (KMD, contract JCF-PAF2001).</t>
  </si>
  <si>
    <t>10.1093/jxb/erac085</t>
  </si>
  <si>
    <t>WOS:000787263600001</t>
  </si>
  <si>
    <t>Valsala, V</t>
  </si>
  <si>
    <t>Valsala, Vinu</t>
  </si>
  <si>
    <t>Is Amundsen-Bellingshausen Seas-Low affecting trace gas air-sea fluxes in the Antarctic Ocean?</t>
  </si>
  <si>
    <t>Amundsen-Bellingshausen Seas-Low; ABSL; SAM; Chlorofluorocarbon; Antarctic ocean</t>
  </si>
  <si>
    <t>WEST ANTARCTICA; MODEL; CIRCULATION; VENTILATION; INCREASE; CFC-11; WATER; SF6</t>
  </si>
  <si>
    <t>Observations of chlorofluorocarbon in the Antarctic Ocean and a concomitant analysis of its life history for the past 80 years reveal the recently identified Amundsen-Bellingshausen Seas Low (ABSL) persuaded the invasion of chlorofluorocarbon in the Antarctic/Southern Ocean sectors. Two distinct roles of ABSL in trace gas fluxes in the Antarctic Ocean are identified; (a) ABSL helps to localize the prominent invasion zones of trace gases in the Antarctic sector to specific areas over the Amundsen-Bellingshausen Seas, (b) it modulates the 'grip' of southern annular mode in trace gas fluxes of the Antarctic Ocean. The ABSL region is a gateway to-25% of southern hemispheric chlorofluorocarbon invading the ocean. The study has implications on trace gas fluxes and their Antarctic sector changes under present and future climate.</t>
  </si>
  <si>
    <t>[Valsala, Vinu] Minist Earth Sci, Indian Inst Trop Meteorol, Dev Skilled Manpower DESK, Pune 411008, Maharashtra, India</t>
  </si>
  <si>
    <t>Ministry of Earth Sciences (MoES) - India; Indian Institute of Tropical Meteorology (IITM)</t>
  </si>
  <si>
    <t>Valsala, V (corresponding author), Minist Earth Sci, Indian Inst Trop Meteorol, Dev Skilled Manpower DESK, Pune 411008, Maharashtra, India.</t>
  </si>
  <si>
    <t>valsala@tropmet.res.in</t>
  </si>
  <si>
    <t>MoES; [GFDL-CM2.1-ECDA/CM2.1R-ECDA-v3.1-1960/mon/ocean/dc_Omon/r1i1p1/v20110601/]</t>
  </si>
  <si>
    <t>MoES;</t>
  </si>
  <si>
    <t>GFDL reanalysis data for simulation of OTTM is obtained from (ftp ://nomads.gfdl.noaa.gov/2/ECDA/ecda/GFDL-CM2.1-ECDA/CM2.1R-ECDA-v3.1-1960/mon/ocean/dc_Omon/r1i1p1/v20110601/) . Sur-face wind from NCEP/NCAR is obtained from (https://psl.noaa.gov/dat a/reanalysis/reanalysis.shtml) . The SAM index is taken from htt ps://legacy.bas.ac.uk/met/gjma/sam.html. The ABSL index is ob-tained from https://scott-hosking.github.io/asl_index#Data. Model simulations are carried out at the High-Performance Computing (HPC) facility of IITM, Ministry of Earth Sciences (MoES) , Govt of India. MoES support this work through its various programs operating at IITM.</t>
  </si>
  <si>
    <t>10.1016/j.dsr.2022.103725</t>
  </si>
  <si>
    <t>0Y4WH</t>
  </si>
  <si>
    <t>WOS:000790391700002</t>
  </si>
  <si>
    <t>Prekrasna, I; Pavlovska, M; Oleinik, I; Dykyi, E; Slobodnik, J; Alygizakis, N; Solomenko, L; Stoica, E</t>
  </si>
  <si>
    <t>Prekrasna, Ievgeniia; Pavlovska, Mariia; Oleinik, Iurii; Dykyi, Evgen; Slobodnik, Jaroslav; Alygizakis, Nikiforos; Solomenko, Liudmyla; Stoica, Elena</t>
  </si>
  <si>
    <t>Bacterial communities of the Black Sea exhibit activity against persistent organic pollutants in the water column and sediments</t>
  </si>
  <si>
    <t>ECOTOXICOLOGY AND ENVIRONMENTAL SAFETY</t>
  </si>
  <si>
    <t>Marine bacteria; POPs; Bacterial catabolism; Biodegradation; Black Sea; QPCR</t>
  </si>
  <si>
    <t>POLYCYCLIC AROMATIC-HYDROCARBONS; POLYCHLORINATED-BIPHENYLS; DEGRADING BACTERIA; DEGRADATION; HEXACHLOROCYCLOHEXANE; DIOXYGENASE; GENES; BIODEGRADATION; MYCOBACTERIUM; FATE</t>
  </si>
  <si>
    <t>The ability of bacteria to degrade organic pollutants influences their fate in the environment, impact on the other biota and accumulation in the food web. The aim of this study was to evaluate abundance and expression activity of the catabolic genes targeting widespread pollutants, such as polyaromatic hydrocarbons (PAHs), polychlorinated biphenyls (PCBs) and hexachloro-cyclohexane (HCH) in the Black Sea water column and sediments. Concentrations of PAHs, PCBs and HCH were determined by gas chromatography (GC) coupled to mass spectrometry (MS) and electron capture (ECD) detectors. bphA1, PAH-RHD alpha, nahAc, linA and linB that encode biphenyl 2,3 dioxygenase, alpha-subunits of ring hydroxylating dioxygenases, naphthalene dioxygenase, dehydrochlorinase and halidohydrolase correspondently were quantified by quantitative PCR. More recalcitrant PAHs, PCBs and HCH tended to accumulate in the Black Sea environments. In water samples, 3-and 4-ringed PAHs outnumbered naphthalene, while PAHs with &gt; 4 rings prevailed in the sediments. Congeners with 4-8 chlorines with ortho-position of the substituents were the most abundant among the PCBs. beta-HCH was determined at highest concentration in water samples, and total amount of HCH exceeded its legacy Environmental Quality Standard value. bphA1, was the most numerous gene in water layers (10(5) copies/mL) and sediments (10(5) copies/mg), followed by linB and PAH-RHD alpha genes (10(3) copies/mL; 105 copies/mg). The least abundant genes were linA (10(3) copies/mL; 104 copies/mg) and nahAc (10(2) copies/mL; 10(4) copies/mg). The most widely distributed gene bphA1 was one of the least expressed (10(-3)-10(-2) copies/mL; 10(-1) copies/mg). The most actively expressed genes were linB (10(1)-10(2) copies/mL; 103 copies/mg), PAH-RHD alpha (10(1) copies/mL; 10(2)&amp; nbsp;copies/mg) and linA (10(-1)-10(0) copies/mL; 10(0) copies/mg). Interaction of bacteria with PAHs, PCBs and HCH is evidenced by high copy numbers of the catabolic genes that initiate their degradation. More persistent compounds, such as high-molecular weight PAHs or beta-HCH are accumulating in the Black Sea water and sediments, albeit microbial activity is directed against them.</t>
  </si>
  <si>
    <t>[Prekrasna, Ievgeniia; Pavlovska, Mariia; Dykyi, Evgen] State Inst Natl Antarctic Sci Ctr, Taras Shevchenko Blvd 16, UA-01601 Kiev, Ukraine; [Oleinik, Iurii] Ukrainian Sci Ctr Ecol Sea, 89 Frantsuzsky Blvd, UA-65009 Odessa, Ukraine; [Slobodnik, Jaroslav; Alygizakis, Nikiforos] Environm Inst, Okruzna 784-42, Kos 97241, Slovakia; [Pavlovska, Mariia; Solomenko, Liudmyla] Natl Univ Life &amp; Environm Sci Ukraine, 15 Heroiv Oborony Str, UA-03041 Kiev, Ukraine; [Stoica, Elena] Natl Inst Marine Res &amp; Dev Grigore Antipa, Blvd Mamaia 300, RO-900581 Constanta 3, Romania; [Alygizakis, Nikiforos] Natl &amp; Kapodistrian Univ Athens, Lab Analyt Chem, Dept Chem, Panepistimiopolis Zografou, Athens 15771, Greece</t>
  </si>
  <si>
    <t>Ministry of Education &amp; Science of Ukraine; State Institution National Antarctic Scientific Center; Ukrainian Scientific Center of Ecology of the Sea (UkrSCES); Environmental Institute; National University of Life &amp; Environmental Sciences of Ukraine; National Institute for Marine Research &amp; Development Grigore Antipa; National &amp; Kapodistrian University of Athens</t>
  </si>
  <si>
    <t>Stoica, E (corresponding author), Natl Inst Marine Res &amp; Dev Grigore Antipa, Blvd Mamaia 300, RO-900581 Constanta 3, Romania.</t>
  </si>
  <si>
    <t>estoica@alpha.rmri.ro</t>
  </si>
  <si>
    <t>Stoica, Elena/C-5392-2011; Alygizakis, Nikiforos/I-8111-2018</t>
  </si>
  <si>
    <t>Alygizakis, Nikiforos/0000-0002-5727-4999; Solomenko, Ludmila/0000-0001-8224-3548; Stoica, Elena/0000-0001-8766-0973</t>
  </si>
  <si>
    <t>EU/UNDP Project: Improving Environmental Monitoring in the Black Sea - Phase II (EMBLAS-II) [ENPI/2013/313-169]; Romanian Authority of Scientific Research Program (Program NUCLEU) [PROMARE35 N/2016, PN1623-0202]</t>
  </si>
  <si>
    <t>EU/UNDP Project: Improving Environmental Monitoring in the Black Sea - Phase II (EMBLAS-II); Romanian Authority of Scientific Research Program (Program NUCLEU)</t>
  </si>
  <si>
    <t>This work was supported by EU/UNDP Project: Improving Environmental Monitoring in the Black Sea - Phase II (EMBLAS-II) - ENPI/2013/313-169, and partially funded by the Romanian Authority of Scientific Research Program (Program NUCLEU - Contract PROMARE35 N/2016, Project PN1623-0202) .</t>
  </si>
  <si>
    <t>0147-6513</t>
  </si>
  <si>
    <t>1090-2414</t>
  </si>
  <si>
    <t>ECOTOX ENVIRON SAFE</t>
  </si>
  <si>
    <t>Ecotox. Environ. Safe.</t>
  </si>
  <si>
    <t>10.1016/j.ecoenv.2022.113367</t>
  </si>
  <si>
    <t>0K9JZ</t>
  </si>
  <si>
    <t>WOS:000781104700002</t>
  </si>
  <si>
    <t>Johnson, MS; Adams, VM; Byrne, J; Harris, RMB</t>
  </si>
  <si>
    <t>Johnson, Malcolm S.; Adams, Vanessa M.; Byrne, Jason; Harris, Rebecca M. B.</t>
  </si>
  <si>
    <t>The benefits of Q plus PPGIS for coupled human-natural systems research: A systematic review</t>
  </si>
  <si>
    <t>AMBIO</t>
  </si>
  <si>
    <t>Environmental management; Mixed-method; Planning; PPGIS; Q-method; Socio-ecological system</t>
  </si>
  <si>
    <t>SOCIAL-ECOLOGICAL SYSTEMS; Q-METHODOLOGY; PERSPECTIVES; PERCEPTIONS; VALUES; STAKEHOLDERS; SCIENCE; ADAPTATION; MANAGEMENT</t>
  </si>
  <si>
    <t>Managing complex problems in socio-ecological systems (SES) requires innovative approaches, which account for multiple scales, large datasets, and diverse lived experiences. By combining two commonly utilized mixed-methods, public participation GIS (PPGIS) and Q-method (Q), Q + PPGIS has the potential to reveal competing agendas and reduce conflict, but its benefits and weaknesses are comparatively understudied. Using a systematic review, we evaluated how different studies have employed and implemented the Q + PPGIS method. We found 16 studies, comprising 30 publications, with considerable variation in their geographic foci, research disciplines, and addressed SES challenges. These studies exhibit a lack of cohesion between methodological design and implementation and the absence of a consistent application of the method. Nonetheless, Q + PPGIS offers a tool that can guide policy, better inform stakeholders, and reduce conflict based on misconceptions. Resolving the shortcomings identified here will broaden Q + PPGIS utility in geographically situating and representing multiple realities within complex socio-ecological systems challenges.</t>
  </si>
  <si>
    <t>[Johnson, Malcolm S.; Adams, Vanessa M.; Byrne, Jason; Harris, Rebecca M. B.] Univ Tasmania, Sch Geog Planning &amp; Spatial Sci, Hobart, Tas 7000, Australia; [Johnson, Malcolm S.; Adams, Vanessa M.] Univ Tasmania, Coll Sci &amp; Engn, Inst Marine &amp; Antarctic Studies, Ctr Marine Socioecol, Hobart, Tas, Australia; [Johnson, Malcolm S.] Univ Tasmania, Geog &amp; Environm Studies, Private Bag 78, Hobart, Tas 7001, Australia</t>
  </si>
  <si>
    <t>Johnson, MS (corresponding author), Univ Tasmania, Sch Geog Planning &amp; Spatial Sci, Hobart, Tas 7000, Australia.;Johnson, MS (corresponding author), Univ Tasmania, Coll Sci &amp; Engn, Inst Marine &amp; Antarctic Studies, Ctr Marine Socioecol, Hobart, Tas, Australia.;Johnson, MS (corresponding author), Univ Tasmania, Geog &amp; Environm Studies, Private Bag 78, Hobart, Tas 7001, Australia.</t>
  </si>
  <si>
    <t>malcolm.johnson@utas.edu.au</t>
  </si>
  <si>
    <t>Adams, Vanessa M./A-3834-2012; Byrne, Jason Antony/AAC-6344-2019; Johnson, Malcolm S./ADX-7411-2022</t>
  </si>
  <si>
    <t>Adams, Vanessa M./0000-0002-3509-7901; Byrne, Jason Antony/0000-0001-8733-0333; Johnson, Malcolm S./0000-0002-1187-071X</t>
  </si>
  <si>
    <t>0044-7447</t>
  </si>
  <si>
    <t>1654-7209</t>
  </si>
  <si>
    <t>Ambio</t>
  </si>
  <si>
    <t>10.1007/s13280-022-01709-z</t>
  </si>
  <si>
    <t>2D8BR</t>
  </si>
  <si>
    <t>WOS:000765667800001</t>
  </si>
  <si>
    <t>Kachuck, SB; Whitcomb, M; Bassis, JN; Martin, DF; Price, SF</t>
  </si>
  <si>
    <t>Kachuck, Samuel B.; Whitcomb, Morgan; Bassis, Jeremy N.; Martin, Daniel F.; Price, Stephen F.</t>
  </si>
  <si>
    <t>Simulating ice-shelf extent using damage mechanics</t>
  </si>
  <si>
    <t>Iceberg calving; ice physics; ice-shelf break-up; ice-sheet modeling; ice shelves</t>
  </si>
  <si>
    <t>BASAL MELT RATES; BOTTOM CREVASSES; FRACTURE; GLACIER; SHEET; STABILITY; MODEL; FLOW; TONGUE; PENETRATION</t>
  </si>
  <si>
    <t>Inaccurate representations of iceberg calving from ice shelves are a large source of uncertainty in mass-loss projections from the Antarctic ice sheet. Here, we address this limitation by implementing and testing a continuum damage-mechanics model in a continental scale ice-sheet model. The damage-mechanics formulation, based on a linear stability analysis and subsequent long-wavelength approximation of crevasses that evolve in a viscous medium, links damage evolution to climate forcing and the large-scale stresses within an ice shelf. We incorporate this model into the BISICLES ice-sheet model and test it by applying it to idealized (1) ice tongues, for which we present analytical solutions and (2) buttressed ice-shelf geometries. Our simulations show that the model reproduces the large disparity in lengths of ice shelves with geometries and melt rates broadly similar to those of four Antarctic ice shelves: Erebus Glacier Tongue (length similar to 13 km), the unembayed portion of Drygalski Ice Tongue (similar to 65 km), the Amery Ice Shelf (similar to 350 km) and the Ross Ice Shelf (similar to 500 km). These results demonstrate that our simple continuum model holds promise for constraining realistic ice-shelf extents in large-scale ice-sheet models in a computationally tractable manner.</t>
  </si>
  <si>
    <t>[Kachuck, Samuel B.; Bassis, Jeremy N.] Univ Michigan, Ciimate &amp; Space Sci &amp; Engn Dept, Ann Arbor, MI 48109 USA; [Whitcomb, Morgan] Univ Michigan, Appl Phys Dept, Ann Arbor, MI 48109 USA; [Martin, Daniel F.] Lawrence Berkeley Natl Lab, Appl Numer Algorithms Grp, Berkeley, CA USA; [Price, Stephen F.] Los Alamos Natl Lab, Fluid Dynam &amp; Solid Mech Grp, Los Alamos, NM USA</t>
  </si>
  <si>
    <t>University of Michigan System; University of Michigan; University of Michigan System; University of Michigan; United States Department of Energy (DOE); Lawrence Berkeley National Laboratory; United States Department of Energy (DOE); Los Alamos National Laboratory</t>
  </si>
  <si>
    <t>Kachuck, SB (corresponding author), Univ Michigan, Ciimate &amp; Space Sci &amp; Engn Dept, Ann Arbor, MI 48109 USA.</t>
  </si>
  <si>
    <t>skachuck@umich.edu</t>
  </si>
  <si>
    <t>; Bassis, Jeremy/J-1706-2012; Price, Stephen/E-1568-2013</t>
  </si>
  <si>
    <t>Mahaney, William/0000-0002-5803-7397; Bassis, Jeremy/0000-0003-2946-7176; Kachuck, Samuel/0000-0002-8708-8425; Martin, Daniel/0000-0003-4488-2538; Price, Stephen/0000-0001-6878-2553</t>
  </si>
  <si>
    <t>Advanced Computing (SciDAC) program - U.S. Department of Energy (DOE), Office of Science, Biological and Environmental Research and Advanced Scientific Computing Research programs, as a part of the ProSPect SciDAC Partnership; National Science Foundation (NSF) [1738896]; Natural Environment Research Council (NERC) [NE/S006605/1]; Office of Science, of the U.S. Department of Energy [DE-AC02-05CH11231]; Office of Science of the U.S. DOE [DE-AC02-05CH11231]; NERC [NE/S006605/1] Funding Source: UKRI</t>
  </si>
  <si>
    <t>Advanced Computing (SciDAC) program - U.S. Department of Energy (DOE), Office of Science, Biological and Environmental Research and Advanced Scientific Computing Research programs, as a part of the ProSPect SciDAC Partnership(United States Department of Energy (DOE)); National Science Foundation (NSF)(National Science Foundation (NSF)); Natural Environment Research Council (NERC)(UK Research &amp; Innovation (UKRI)Natural Environment Research Council (NERC)); Office of Science, of the U.S. Department of Energy(United States Department of Energy (DOE)); Office of Science of the U.S. DOE(United States Department of Energy (DOE)); NERC(UK Research &amp; Innovation (UKRI)Natural Environment Research Council (NERC))</t>
  </si>
  <si>
    <t>Support for this work was provided through the Scientific Discovery through Advanced Computing (SciDAC) program funded by the U.S. Department of Energy (DOE), Office of Science, Biological and Environmental Research and Advanced Scientific Computing Research programs, as a part of the ProSPect SciDAC Partnership. This work is from the DOMINOS project, a component of the International Thwaites Glacier Collaboration (ITGC). Support was provided by National Science Foundation (NSF: Grant 1738896) and Natural Environment Research Council (NERC: Grant NE/S006605/1). Logistics provided by NSF-U.S. Antarctic Program and NERC-British Antarctic Survey. ITGC Contribution No. ITGC-063. Work at Berkeley Lab was supported by the Director, Office of Science, of the U.S. Department of Energy under Contract No. DE-AC02-05CH11231. This research used resources of the National Energy Research Scientific Computing Center supported by the Office of Science of the U.S. DOE under contract no. DE-AC02-05CH11231. The authors also thank two anonymous reviewers for their thoughtful comments and Editor Matthew Siegfried for his guidance.</t>
  </si>
  <si>
    <t>10.1017/jog.2022.12</t>
  </si>
  <si>
    <t>WOS:000765142200001</t>
  </si>
  <si>
    <t>Brehm, N; Christl, M; Knowles, TDJ; Casanova, E; Evershed, RP; Adolphi, F; Muscheler, R; Synal, HA; Mekhaldi, F; Paleari, CI; Leuschner, HH; Bayliss, A; Nicolussi, K; Pichler, T; Schluchter, C; Pearson, CL; Salzer, MW; Fonti, P; Nievergelt, D; Hantemirov, R; Brown, DM; Usoskin, I; Wacker, L</t>
  </si>
  <si>
    <t>Brehm, Nicolas; Christl, Marcus; Knowles, Timothy D. J.; Casanova, Emmanuelle; Evershed, Richard P.; Adolphi, Florian; Muscheler, Raimund; Synal, Hans-Arno; Mekhaldi, Florian; Paleari, Chiara I.; Leuschner, Hanns-Hubert; Bayliss, Alex; Nicolussi, Kurt; Pichler, Thomas; Schluchter, Christian; Pearson, Charlotte L.; Salzer, Matthew W.; Fonti, Patrick; Nievergelt, Daniel; Hantemirov, Rashit; Brown, David M.; Usoskin, Ilya; Wacker, Lukas</t>
  </si>
  <si>
    <t>Tree-rings reveal two strong solar proton events in 7176 and 5259 BCE</t>
  </si>
  <si>
    <t>GEOMAGNETIC DIPOLE-MOMENT; GREENLAND ICE-CORE; AD 775; C-14; TIMESCALES; CHRONOLOGY; BE-10; HOLOCENE; INCREASE; CYCLE</t>
  </si>
  <si>
    <t>The Sun sporadically produces eruptive events leading to intense fluxes of solar energetic particles (SEPs) that dramatically disrupt the near-Earth radiation environment. Such events have been directly studied for the last decades but little is known about the occurrence and magnitude of rare, extreme SEP events. Presently, a few events that produced measurable signals in cosmogenic radionuclides such as C-14, Be-10 and Cl-36 have been found. Analyzing annual C-14 concentrations in tree-rings from Switzerland, Germany, Ireland, Russia, and the USA we discovered two spikes in atmospheric C-14 occurring in 7176 and 5259 BCE. The similar to 2% increases of atmospheric C-14 recorded for both events exceed all previously known C-14 peaks but after correction for the geomagnetic field, they are comparable to the largest event of this type discovered so far at 775 CE. These strong events serve as accurate time markers for the synchronization with floating tree-ring and ice core records and provide critical information on the previous occurrence of extreme solar events which may threaten modern infrastructure.</t>
  </si>
  <si>
    <t>[Brehm, Nicolas; Christl, Marcus; Synal, Hans-Arno; Wacker, Lukas] ETHZ, Lab Ion Beam Phys, Otto Stern Weg 5 HPK, CH-8093 Zurich, Switzerland; [Knowles, Timothy D. J.; Casanova, Emmanuelle; Evershed, Richard P.] Univ Bristol, Bristol Radiocarbon Accelerator Mass Spectrometry, Bristol BS8 1TS, Avon, England; [Adolphi, Florian] Alfred Wegener Inst, Helmholtz Ctr Polar &amp; Marine Res, D-27568 Bremerhaven, Germany; [Muscheler, Raimund; Mekhaldi, Florian; Paleari, Chiara I.] Lund Univ, Dept Geol Quaternary Sci, S-22362 Lund, Sweden; [Mekhaldi, Florian] British Antarctic Survey, Ice Dynam &amp; Paleoclimate, Cambridge CB3 0ET, England; [Leuschner, Hanns-Hubert] Georg August Univ, Albrecht Haller Inst Plant Sci, Dept Palynol &amp; Climate Dynam, Wilhelm Weber Str 2a, D-37073 Gottingen, Germany; [Bayliss, Alex] Hist England, Cannon Bridge House,25 Dowgate Hill, London EC4R 2YA, England; [Nicolussi, Kurt; Pichler, Thomas] Univ Innsbruck, Dept Geog, Innrain 52, A-6020 Innsbruck, Austria; [Schluchter, Christian] Univ Bern, Inst Geol Sci, Baltzerstr 1 3, CH-3012 Bern, Switzerland; [Pearson, Charlotte L.; Salzer, Matthew W.; Fonti, Patrick] Univ Arizona, Tree Ring Res Lab, 1215 E Lowell St, Tucson, AZ 85721 USA; [Fonti, Patrick; Nievergelt, Daniel] Swiss Fed Res Inst WSL, Zurcherstr 111, CH-8903 Birmensdorf, Switzerland; [Hantemirov, Rashit] Russian Acad Sci, Ural Branch, Inst Plant &amp; Anim Ecol, Lab Dendrochronol, 8 Marta St 202, Ekaterinburg 620144, Russia; [Hantemirov, Rashit] Ural Fed Univ, Lab Nat Sci Methods Humanities, 19 Mira St, Ekaterinburg 620002, Russia; [Brown, David M.] Queens Univ, Sch Nat &amp; Built Environm, Belfast BT7 1NN, Antrim, North Ireland; [Usoskin, Ilya] Univ Oulu, Sodankyla Geophys Observ, FIN-90014 Oulu, Finland; [Usoskin, Ilya] Univ Oulu, Space Phys &amp; Astron Res Unit, FIN-90014 Oulu, Finland; [Casanova, Emmanuelle] Museum Natl Hist Nat, UMR 7209, Archeol &amp; Archeobot Societes Prat &amp; Environnem, CP56, 43 Rue Buffon, F-75005 Paris, France</t>
  </si>
  <si>
    <t>Swiss Federal Institutes of Technology Domain; ETH Zurich; University of Bristol; Helmholtz Association; Alfred Wegener Institute, Helmholtz Centre for Polar &amp; Marine Research; Lund University; UK Research &amp; Innovation (UKRI); Natural Environment Research Council (NERC); NERC British Antarctic Survey; University of Gottingen; University of Innsbruck; University of Bern; University of Arizona; Swiss Federal Institutes of Technology Domain; Swiss Federal Institute for Forest, Snow &amp; Landscape Research; Russian Academy of Sciences; Institute of Plant &amp; Animal Ecology of the Russian Academy of Sciences; Ural Federal University; Queens University Belfast; University of Oulu; University of Oulu; Museum National d'Histoire Naturelle (MNHN); Centre National de la Recherche Scientifique (CNRS); CNRS - Institute of Ecology &amp; Environment (INEE)</t>
  </si>
  <si>
    <t>Brehm, N; Christl, M; Wacker, L (corresponding author), ETHZ, Lab Ion Beam Phys, Otto Stern Weg 5 HPK, CH-8093 Zurich, Switzerland.</t>
  </si>
  <si>
    <t>nbrehm@ethz.ch; mchristl@phys.ethz.ch; wacker@phys.ethz.ch</t>
  </si>
  <si>
    <t>Nievergelt, Daniel/J-7156-2012; Salzer, Matthew/AAG-1405-2019; Christl, Marcus/J-4769-2016; Synal, Hans-Arno/JYQ-3205-2024; Casanova, Emmanuelle/AAY-5712-2020; Fonti, Patrick/B-7400-2011; Hantemirov, Rashit/E-9674-2011</t>
  </si>
  <si>
    <t>Salzer, Matthew/0000-0001-5353-7459; Christl, Marcus/0000-0002-3131-6652; Casanova, Emmanuelle/0000-0003-1417-3060; Fonti, Patrick/0000-0002-7070-3292; Muscheler, Raimund/0000-0003-2772-3631; Brehm, Nicolas/0000-0003-0248-7345; Adolphi, Florian/0000-0003-0014-8753; Knowles, Timothy/0000-0003-4871-5542; Pearson, Charlotte/0000-0002-3594-3194; Paleari, Chiara/0000-0002-0007-5155; Mekhaldi, Florian/0000-0001-8323-2955; Hantemirov, Rashit/0000-0003-3033-8312</t>
  </si>
  <si>
    <t>Swiss National Science Foundation [SNF 197137]; NERC; BBSRC; University of Bristol - ERC Proof of Concept grant [LipDat H2020 ERC-2018-PoC/812917, M234, Q2729, Q2750]; SNF Sinergia [183571]; Russian Science Foundation [21-14-00330]; Academy of Finland [321882 ESPERA]; M.H. Wiener Foundation (ICCP Project); Austrian Science Fund FWF [I-1183-N19]; Russian Science Foundation [21-14-00330] Funding Source: Russian Science Foundation</t>
  </si>
  <si>
    <t>Swiss National Science Foundation(Swiss National Science Foundation (SNSF)); NERC(UK Research &amp; Innovation (UKRI)Natural Environment Research Council (NERC)); BBSRC(UK Research &amp; Innovation (UKRI)Biotechnology and Biological Sciences Research Council (BBSRC)); University of Bristol - ERC Proof of Concept grant; SNF Sinergia; Russian Science Foundation(Russian Science Foundation (RSF)); Academy of Finland(Research Council of Finland); M.H. Wiener Foundation (ICCP Project); Austrian Science Fund FWF(Austrian Science Fund (FWF)); Russian Science Foundation(Russian Science Foundation (RSF))</t>
  </si>
  <si>
    <t>The Laboratory of Ion Beam Physics is partially funded by its consortium partners PSI, EAWAG, and EMPA. N.B. is funded by the Swiss National Science Foundation (SNSF grant #SNF 197137). The establishment of the BRAMS Facility was jointly funded by the NERC, BBSRC and the University of Bristol and the measurements in this work were partly funded by an ERC Proof of Concept grant awarded to R.P.E. and financing E.C. postdoctoral contract (LipDat H2020 ERC-2018-PoC/812917). We thank Bisserka Gaydarska for sub-sampling the inter-laboratory replicates from M49, M234, Q2729 and Q2750, Cathy Tyers for reviewing the dating of the Irish and German samples, and Alexander Land for assistance in dating sample M49. P.F. received funding from the SNF Sinergia project CALDERA (no. 183571). R.H. is funded by Russian Science Foundation (grant # 21-14-00330). I.U. acknowledges the support from the Academy of Finland (grant 321882 ESPERA). C.L.P.'s and M.W.S.'s work on bristlecone pine was funded by the M.H. Wiener Foundation (ICCP Project). K.N. acknowledges the support provided by the Austrian Science Fund FWF (grant I-1183-N19).</t>
  </si>
  <si>
    <t>MAR 7</t>
  </si>
  <si>
    <t>10.1038/s41467-022-28804-9</t>
  </si>
  <si>
    <t>ZO6DR</t>
  </si>
  <si>
    <t>WOS:000765815800009</t>
  </si>
  <si>
    <t>Ward, D; Melbourne-Thomas, J; Pecl, GT; Evans, K; Green, M; McCormack, PC; Novaglio, C; Trebilco, R; Bax, N; Brasier, MJ; Cavan, EL; Edgar, G; Hunt, HL; Jansen, J; Jones, R; Lea, MA; Makomere, R; Mull, C; Semmens, JM; Shaw, J; Tinch, D; van Steveninck, TJ; Layton, C</t>
  </si>
  <si>
    <t>Ward, Delphi; Melbourne-Thomas, Jessica; Pecl, Gretta T.; Evans, Karen; Green, Madeline; McCormack, Phillipa C.; Novaglio, Camilla; Trebilco, Rowan; Bax, Narissa; Brasier, Madeleine J.; Cavan, Emma L.; Edgar, Graham; Hunt, Heather L.; Jansen, Jan; Jones, Russ; Lea, Mary-Anne; Makomere, Reuben; Mull, Chris; Semmens, Jayson M.; Shaw, Janette; Tinch, Dugald; van Steveninck, Tatiana J.; Layton, Cayne</t>
  </si>
  <si>
    <t>Safeguarding marine life: conservation of biodiversity and ecosystems</t>
  </si>
  <si>
    <t>Ecosystem management; Ecosystem services; Indigenous knowledge; Integrated management; Stewardship; Sustainable Development Goals; Foresighting; hindcasting</t>
  </si>
  <si>
    <t>SUSTAINABLE DEVELOPMENT; PROTECTED AREAS; LIVING RESOURCES; BRIGHT SPOTS; SCIENCE; MANAGEMENT; COASTAL; OCEAN; IMPACTS; IMPLEMENTATION</t>
  </si>
  <si>
    <t>Marine ecosystems and their associated biodiversity sustain life on Earth and hold intrinsic value. Critical marine ecosystem services include maintenance of global oxygen and carbon cycles, production of food and energy, and sustenance of human wellbeing. However marine ecosystems are swiftly being degraded due to the unsustainable use of marine environments and a rapidly changing climate. The fundamental challenge for the future is therefore to safeguard marine ecosystem biodiversity, function, and adaptive capacity whilst continuing to provide vital resources for the global population. Here, we use foresighting/hindcasting to consider two plausible futures towards 2030: a business-as-usual trajectory (i.e. continuation of current trends), and a more sustainable but technically achievable future in line with the UN Sustainable Development Goals. We identify key drivers that differentiate these alternative futures and use these to develop an action pathway towards the desirable, more sustainable future. Key to achieving the more sustainable future will be establishing integrative (i.e. across jurisdictions and sectors), adaptive management that supports equitable and sustainable stewardship of marine environments. Conserving marine ecosystems will require recalibrating our social, financial, and industrial relationships with the marine environment. While a sustainable future requires long-term planning and commitment beyond 2030, immediate action is needed to avoid tipping points and avert trajectories of ecosystem decline. By acting now to optimise management and protection of marine ecosystems, building upon existing technologies, and conserving the remaining biodiversity, we can create the best opportunity for a sustainable future in 2030 and beyond.</t>
  </si>
  <si>
    <t>[Ward, Delphi; Pecl, Gretta T.; Novaglio, Camilla; Bax, Narissa; Brasier, Madeleine J.; Edgar, Graham; Jansen, Jan; Lea, Mary-Anne; Semmens, Jayson M.; Shaw, Janette; Layton, Cayne] Univ Tasmania, Inst Marine &amp; Antarctic Studies, Hobart, Tas 7001, Australia; [Ward, Delphi; Melbourne-Thomas, Jessica; Pecl, Gretta T.; Green, Madeline; McCormack, Phillipa C.; Novaglio, Camilla; Trebilco, Rowan; Bax, Narissa; Lea, Mary-Anne; Shaw, Janette; Layton, Cayne] Univ Tasmania, Ctr Marine Socioecol, Hobart, Tas 7001, Australia; [Melbourne-Thomas, Jessica; Evans, Karen; Green, Madeline; Novaglio, Camilla; Trebilco, Rowan; van Steveninck, Tatiana J.] CSIRO Oceans &amp; Atmosphere, Hobart, Tas 7001, Australia; [McCormack, Phillipa C.] Univ Adelaide, Adelaide Law Sch, North Terrace, Adelaide, SA 5005, Australia; [Bax, Narissa] South Atlantic Environm Res Inst, Stanley, Falkland Island; [Cavan, Emma L.] Imperial Coll London, Dept Life Sci, Silwood Pk Campus, Ascot SL5 7PY, Berks, England; [Hunt, Heather L.] Univ New Brunswick, Dept Biol Sci, POB 5050, St John, NB E2L 4L5, Canada; [Jones, Russ] Haida Nat, POB 1451, Skidegate, BC V0T 1S1, Canada; [Makomere, Reuben] Univ Tasmania, Fac Law, Hobart, Tas 7001, Australia; [Mull, Chris] Dalhousie Univ, Dept Biol, Integrated Fisheries Lab, Halifax, NS B3H 4R2, Canada; [Tinch, Dugald] Univ Tasmania, Tasmanian Sch Business &amp; Econ, Hobart, Tas 7001, Australia; [van Steveninck, Tatiana J.] Caribbean Res &amp; Management Biodivers, Carmabi, Willemstad, Curacao</t>
  </si>
  <si>
    <t>University of Tasmania; University of Tasmania; Commonwealth Scientific &amp; Industrial Research Organisation (CSIRO); University of Adelaide; Imperial College London; University of New Brunswick; University of Tasmania; Dalhousie University; University of Tasmania</t>
  </si>
  <si>
    <t>Ward, D; Layton, C (corresponding author), Univ Tasmania, Inst Marine &amp; Antarctic Studies, Hobart, Tas 7001, Australia.</t>
  </si>
  <si>
    <t>Delphi.Ward@utas.edu.au; Cayne.Layton@utas.edu.au</t>
  </si>
  <si>
    <t>Melbourne-Thomas, Jess/N-2437-2019; Edgar, Graham/AAY-3797-2020; Trebilco, Rowan/I-5311-2012; Pecl, Gretta/D-7267-2011; McCormack, Phillipa/GYA-3008-2022; McCormack, Phillipa C/N-3668-2017; Jansen, Jan/O-8632-2014; Lea, Mary-Anne/E-9054-2013; Layton, Cayne/J-8443-2013</t>
  </si>
  <si>
    <t>Melbourne-Thomas, Jess/0000-0001-6585-876X; Edgar, Graham/0000-0003-0833-9001; Trebilco, Rowan/0000-0001-9712-8016; Pecl, Gretta/0000-0003-0192-4339; Hunt, Heather/0000-0002-5500-5015; McCormack, Phillipa C/0000-0001-6751-8291; Jansen, Jan/0000-0001-5896-365X; Lea, Mary-Anne/0000-0001-8318-9299; Green, Madeline Elizabeth/0000-0002-5037-2043; Semmens, Jayson/0000-0003-1742-6692; Layton, Cayne/0000-0002-3390-6437; Ward, Delphi/0000-0002-1802-2617</t>
  </si>
  <si>
    <t>CAUL; Centre for Marine Socioecology, IMAS, MENZIES; College of Arts, Law and Education; College of Science and Engineering at UTAS; Snowchange from Finland</t>
  </si>
  <si>
    <t>Open Access funding enabled and organized by CAUL and its Member Institutions. Centre for Marine Socioecology, IMAS, MENZIES and the College of Arts, Law and Education, and the College of Science and Engineering at UTAS, and Snowchange from Finland.</t>
  </si>
  <si>
    <t>10.1007/s11160-022-09700-3</t>
  </si>
  <si>
    <t>ZU7BD</t>
  </si>
  <si>
    <t>WOS:000765684900001</t>
  </si>
  <si>
    <t>Schuster, JM; Stuart-Smith, RD; Edgar, GJ; Bates, AE</t>
  </si>
  <si>
    <t>Schuster, Jasmin M.; Stuart-Smith, Rick D.; Edgar, Graham J.; Bates, Amanda E.</t>
  </si>
  <si>
    <t>Tropicalization of temperate reef fish communities facilitated by urchin grazing and diversity of thermal affinities</t>
  </si>
  <si>
    <t>climate change; community temperature index; habitat change; kelp forest; species distribution; thermal sensitivity; urchin barren</t>
  </si>
  <si>
    <t>LAND-USE INTENSIFICATION; RANGE EXPANSION; KELP FORESTS; MARINE; BIODIVERSITY; PREDATION; AREAS</t>
  </si>
  <si>
    <t>Aim Global declines in structurally complex habitats are reshaping both land- and seascapes in directions that affect the responses of biological communities to warming. Here, we test whether widespread loss of kelp habitats through sea urchin overgrazing systematically changes the sensitivity of fish communities to warming. Location Global temperate latitudes. Time period Modern. Major taxa studied Fishes. Methods Community shifts in thermal affinity related to habitat were assessed by simulating and comparing fish communities from 2271 surveys across 15 ecoregions. Results We found that fishes in kelp and urchin barrens differed in realized thermal affinities and range sizes, but only in regions where species pools had high variability in the thermal affinities of species. Barrens on warm temperate reefs host relatively more warm-affinity fish species than neighbouring kelp beds, highlighting the acceleration of tropicalization processes facilitated by urchin grazing. In contrast, proportionally more cool-affinity fishes colonize barrens at high temperate latitudes, contributing to community lags with ocean warming in these regions. Main conclusions Our findings implicate urchins as drivers of ecological change, in part by affecting ecological resilience to warming.</t>
  </si>
  <si>
    <t>[Schuster, Jasmin M.; Bates, Amanda E.] Mem Univ Newfoundland, Dept Ocean Sci, St John, NL A1C 5S7, Canada; [Stuart-Smith, Rick D.; Edgar, Graham J.] Univ Tasmania, Inst Marine &amp; Antarctic Studies, Hobart, Tas, Australia; [Bates, Amanda E.] Univ Victoria, Dept Biol, Victoria, BC, Canada</t>
  </si>
  <si>
    <t>Memorial University Newfoundland; University of Tasmania; University of Victoria</t>
  </si>
  <si>
    <t>Schuster, JM (corresponding author), Mem Univ Newfoundland, Dept Ocean Sci, St John, NL A1C 5S7, Canada.</t>
  </si>
  <si>
    <t>jasmin.m.schuster@gmail.com</t>
  </si>
  <si>
    <t>Schuster, Jasmin/ISA-8401-2023; Edgar, Graham/AAY-3797-2020; Stuart-Smith, Rick/I-5214-2019</t>
  </si>
  <si>
    <t>Schuster, Jasmin/0000-0001-8681-0757; Edgar, Graham/0000-0003-0833-9001; Stuart-Smith, Rick/0000-0002-8874-0083; Bates, Amanda/0000-0002-0198-4537</t>
  </si>
  <si>
    <t>Canada Research Chairs program; Natural Sciences and Engineering Research Council of Canada; Australian Research Council; Commonwealth Environment Research Facilities Program; Australia's Integrated Marine Observing System (IMOS)</t>
  </si>
  <si>
    <t>Canada Research Chairs program(Canada Research Chairs); Natural Sciences and Engineering Research Council of Canada(Natural Sciences and Engineering Research Council of Canada (NSERC)CGIAR); Australian Research Council(Australian Research Council); Commonwealth Environment Research Facilities Program; Australia's Integrated Marine Observing System (IMOS)</t>
  </si>
  <si>
    <t>Canada Research Chairs program; Discovery Grant from the Natural Sciences and Engineering Research Council of Canada; Australian Research Council Funding; Commonwealth Environment Research Facilities Program; Australia's Integrated Marine Observing System (IMOS)</t>
  </si>
  <si>
    <t>10.1111/geb.13477</t>
  </si>
  <si>
    <t>0J3TG</t>
  </si>
  <si>
    <t>WOS:000765373300001</t>
  </si>
  <si>
    <t>Eger, AM; Marzinelli, EM; Christie, H; Fagerli, CW; Fujita, D; Gonzalez, AP; Hong, SW; Kim, JH; Lee, LC; McHugh, TA; Nishihara, GN; Tatsumi, M; Steinberg, PD; Vergés, A</t>
  </si>
  <si>
    <t>Eger, Aaron M.; Marzinelli, Ezequiel M.; Christie, Hartvig; Fagerli, Camilla W.; Fujita, Daisuke; Gonzalez, Alejandra P.; Hong, Seok Woo; Kim, Jeong Ha; Lee, Lynn C.; McHugh, Tristin Anoush; Nishihara, Gregory N.; Tatsumi, Masayuki; Steinberg, Peter D.; Verges, Adriana</t>
  </si>
  <si>
    <t>Global kelp forest restoration: past lessons, present status, and future directions</t>
  </si>
  <si>
    <t>kelp; restoration; marine; Laminariales; transplant; sea urchins; seaweed; costs; recovery; forest</t>
  </si>
  <si>
    <t>TAKE MARINE RESERVES; MACROCYSTIS-PYRIFERA; ARTIFICIAL REEF; NORTHERN CHILE; ECKLONIA-CAVA; SEA-URCHINS; GIANT-KELP; KOREAN PENINSULA; ALGAL SUCCESSION; FUCUS-GARDNERI</t>
  </si>
  <si>
    <t>Kelp forest ecosystems and their associated ecosystem services are declining around the world. In response, marine managers are working to restore and counteract these declines. Kelp restoration first started in the 1700s in Japan and since then has spread across the globe. Restoration efforts, however, have been largely disconnected, with varying methodologies trialled by different actors in different countries. Moreover, a small subset of these efforts are 'afforestation', which focuses on creating new kelp habitat, as opposed to restoring kelp where it previously existed. To distil lessons learned over the last 300 years of kelp restoration, we review the history of kelp restoration (including afforestation) around the world and synthesise the results of 259 documented restoration attempts spanning from 1957 to 2020, across 16 countries, five languages, and multiple user groups. Our results show that kelp restoration projects have increased in frequency, have employed 10 different methodologies and targeted 17 different kelp genera. Of these projects, the majority have been led by academics (62%), have been conducted at sizes of less than 1 ha (80%) and took place over time spans of less than 2 years. We show that projects are most successful when they are located near existing kelp forests. Further, disturbance events such as sea-urchin grazing are identified as regular causes of project failure. Costs for restoration are historically high, averaging hundreds of thousands of dollars per hectare, therefore we explore avenues to reduce these costs and suggest financial and legal pathways for scaling up future restoration efforts. One key suggestion is the creation of a living database which serves as a platform for recording restoration projects, showcasing and/or re-analysing existing data, and providing updated information. Our work establishes the groundwork to provide adaptive and relevant recommendations on best practices for kelp restoration projects today and into the future.</t>
  </si>
  <si>
    <t>[Eger, Aaron M.; Steinberg, Peter D.; Verges, Adriana] Univ New South Wales, Sch Biol Earth &amp; Environm Sci, Ctr Marine Sci &amp; Innovat, Sydney, NSW 2052, Australia; [Eger, Aaron M.; Steinberg, Peter D.; Verges, Adriana] Univ New South Wales, Sch Biol Earth &amp; Environm Sci, Ecol &amp; Evolut Res Ctr, Sydney, NSW 2052, Australia; [Marzinelli, Ezequiel M.] Univ Sydney, Sch Life &amp; Environm Sci, Sydney, NSW 2006, Australia; [Marzinelli, Ezequiel M.; Steinberg, Peter D.; Verges, Adriana] Sydney Inst Marine Sci, 19 Chowder Bay Rd, Mosman, NSW 2088, Australia; [Marzinelli, Ezequiel M.] Nanyang Technol Univ, Singapore Ctr Environm Life Sci Engn, Singapore 637551, Singapore; [Christie, Hartvig; Fagerli, Camilla W.] Norwegian Inst Water Res, Okernveien 94, N-0579 Oslo, Norway; [Fujita, Daisuke] Univ Tokyo Marine Sci &amp; Technol, Sch Marine Bioresources, Appl Phycol, Minato Ku, Tokyo 1088477, Japan; [Gonzalez, Alejandra P.] Univ Chile, Fac Ciencias, Dept Ciencias Ecol, Las Palmeras 3425, Santiago, Chile; [Hong, Seok Woo; Kim, Jeong Ha] Sungkyunkwan Univ, Dept Biol Sci, Suwon 2066, South Korea; [Lee, Lynn C.] Gwaii Haanas Natl Pk Reserve, Natl Marine Conservat Area Reserve &amp; Haida Herita, 60 Second Beach Rd, Haida Gwaii, BC V0T 1S1, Canada; [Lee, Lynn C.] Univ Victoria, Canada &amp; Sch Environm Sci, 3800 Finnery Rd, Victoria, BC V8P 5C2, Canada; [McHugh, Tristin Anoush] Reef Check Fdn, Long Marine Lab, 115 McAllister Rd, Santa Cruz, CA 95060 USA; [Nishihara, Gregory N.] Nagasaki Univ, Inst East China Sea Res, Org Marine Sci &amp; Technol, 1551-7 Taira Machi, Nagasaki 8512213, Japan; [Tatsumi, Masayuki] Univ Tasmania, Inst Marine &amp; Antarctic Studies, Hobart, Tas 7004, Australia; [McHugh, Tristin Anoush] Nature Conservancy, 830 S St, Sacramento, CA 95811 USA</t>
  </si>
  <si>
    <t>University of New South Wales Sydney; University of New South Wales Sydney; University of Sydney; Sydney Institute of Marine Science; Nanyang Technological University; Norwegian Institute for Water Research (NIVA); Universidad de Chile; Sungkyunkwan University (SKKU); University of Victoria; Nagasaki University; University of Tasmania; Nature Conservancy</t>
  </si>
  <si>
    <t>Eger, AM (corresponding author), Univ New South Wales, Sch Biol Earth &amp; Environm Sci, Ctr Marine Sci &amp; Innovat, Sydney, NSW 2052, Australia.;Eger, AM (corresponding author), Univ New South Wales, Sch Biol Earth &amp; Environm Sci, Ecol &amp; Evolut Res Ctr, Sydney, NSW 2052, Australia.</t>
  </si>
  <si>
    <t>aaron.eger@unsw.edu.au</t>
  </si>
  <si>
    <t>Marzinelli, Ezequiel/AAH-2906-2019; González, Alejandra Pilar Rendina/AAQ-8079-2020; Nishihara, Gregory N/H-6808-2019; Verges, Adriana/B-8288-2013</t>
  </si>
  <si>
    <t>Marzinelli, Ezequiel/0000-0002-3762-3389; Nishihara, Gregory N/0000-0003-2543-1301; Steinberg, Peter/0000-0002-1781-0726; Verges, Adriana/0000-0002-3507-1234; Eger, Aaron/0000-0003-0687-7340; Hong, Seokwoo/0000-0001-6234-2557</t>
  </si>
  <si>
    <t>Australian Research Council [LP160100836, DP180104041, DP190102030]; Projekt DEAL; Australian Research Council [LP160100836] Funding Source: Australian Research Council</t>
  </si>
  <si>
    <t>Australian Research Council(Australian Research Council); Projekt DEAL; Australian Research Council(Australian Research Council)</t>
  </si>
  <si>
    <t>We thank and acknowledge the indigenous peoples on whose traditional territories these projects were implemented for continuing to take care of the land and sea. We would like to thank Molly French and Emma Mellis for working to validate the database. This work was supported by a Scientia PhD scholarship to A.M.E., and the Australian Research Council through projects LP160100836 to P.D.S., E.M.M. and A.V., DP180104041 to P.D.S. and E.M.M. and DP190102030 to A.V. Open access funding enabled and organized by Projekt DEAL.</t>
  </si>
  <si>
    <t>10.1111/brv.12850</t>
  </si>
  <si>
    <t>WOS:000765493100001</t>
  </si>
  <si>
    <t>Yang, CY; Li, J; Wang, SM; Wang, YR; Jia, J; Wu, WF; Hu, JN; Zhao, Q</t>
  </si>
  <si>
    <t>Yang, Chunyu; Li, Jian; Wang, Shimiao; Wang, Yiran; Jia, Jiao; Wu, Wenfei; Hu, Jiangning; Zhao, Qi</t>
  </si>
  <si>
    <t>Determination of free fatty acids in Antarctic krill meals based on matrix solid phase dispersion</t>
  </si>
  <si>
    <t>Antarctic krill meals; Matrix solid phase dispersion; Free fatty acids; NH2-SBA-15</t>
  </si>
  <si>
    <t>PERFORMANCE LIQUID-CHROMATOGRAPHY; MESOPOROUS SILICA; MASS-SPECTROMETRY; EXTRACTION; MICROEXTRACTION; NANOPARTICLES; OIL</t>
  </si>
  <si>
    <t>Amino-modified mesoporous silica was prepared by modifying mesoporous silica with 3-aminopropyltriethoxysilane and used as adsorbents in matrix solid-phase dispersion (MSPD) to analyze free fatty acids (FFAs) in krill meals for the first time. The adsorption-desorption experiments and Fourier-transform infrared spectroscopy showed amino-modified mesoporous silica with ordered mesoporous structure was successfully synthesized. The adsorption experiments including static and dynamic adsorption showed that absorption capacity of amino-modified mesoporous silica towards FFAs was better than that of aminated silicon microspheres at all concentrations. Under optimal extraction conditions, outstanding linearity (0.1-12000 nmol g(-1)), low LODs (0.05-1.25 nmol g(-1)), satisfactory recoveries (82.17-96.43%) and precisions (0.19-5.26%) were obtained. Moreover, the application of MSPD for FFAs analysis avoided complicated lipid extraction procedures and accomplished the homogenization, crushing, extraction and cleaning of the samples in one step. Consequently, this approach provides an alternative choice to the existing approach for analyzing FFAs in solid and semi-solid samples.</t>
  </si>
  <si>
    <t>[Yang, Chunyu; Li, Jian; Wang, Shimiao; Wang, Yiran; Jia, Jiao; Wu, Wenfei; Hu, Jiangning; Zhao, Qi] Dalian Polytech Univ, Natl Engn Res Ctr Seafood, Sch Food Sci &amp; Technol, Dalian 116034, Peoples R China; [Wu, Wenfei; Hu, Jiangning; Zhao, Qi] Dalian Polytech Univ, Collaborat Innovat Ctr Seafood Deep Proc, Dalian 116034, Peoples R China</t>
  </si>
  <si>
    <t>Zhao, Q (corresponding author), Dalian Polytech Univ, Natl Engn Res Ctr Seafood, Sch Food Sci &amp; Technol, Dalian 116034, Peoples R China.</t>
  </si>
  <si>
    <t>zhaoqi@dlpu.edu.cn</t>
  </si>
  <si>
    <t>Wang, Yu/GZL-9655-2022; Wang, Yijun/GXW-1763-2022; Wang, Yiping/IZQ-2052-2023; Wu, Yiping/JJF-6185-2023; wang, yi/HOF-6668-2023; Wang, yanru/JAX-5241-2023; wang, yi/KBB-3614-2024; wang, yi/GVT-8516-2022; wang, yixuan/GXW-2866-2022; Wang, Yixuan/GZK-6559-2022; Wang, Yiru/JMB-2281-2023; wang, yixuan/JGM-3893-2023; Wang, Yin/HCI-9352-2022; wang, ya/HQZ-7558-2023; wang, yiran/IAP-0414-2023</t>
  </si>
  <si>
    <t>Wu, Yiping/0009-0000-6223-5786;</t>
  </si>
  <si>
    <t>National Key Research and Develop-ment Project [2018YFC1406805, 2018YFC1602306]</t>
  </si>
  <si>
    <t>National Key Research and Develop-ment Project</t>
  </si>
  <si>
    <t>Acknowledgements This work was funded by the National Key Research and Develop-ment Project (Grant no. 2018YFC1406805 and 2018YFC1602306) .</t>
  </si>
  <si>
    <t>10.1016/j.foodchem.2022.132620</t>
  </si>
  <si>
    <t>0G0WB</t>
  </si>
  <si>
    <t>WOS:000777774100012</t>
  </si>
  <si>
    <t>Yang, K; Dai, JG; Shen, J; Jia, XL</t>
  </si>
  <si>
    <t>Yang, Kai; Dai, Jingen; Shen, Jie; Jia, Xiaolong</t>
  </si>
  <si>
    <t>Episodic continental extension in eastern Gondwana during the mid-late mesozoic: insights from geochronology and geochemistry of mafic rocks in the Tethyan Himalaya</t>
  </si>
  <si>
    <t>INTERNATIONAL GEOLOGY REVIEW</t>
  </si>
  <si>
    <t>Mafic rock; Kerguelen plume; Tethyan Himalaya; Gondwana break-up</t>
  </si>
  <si>
    <t>LARGE IGNEOUS PROVINCE; BIMODAL INTRUSIVE ROCKS; U-PB GEOCHRONOLOGY; SOUTH TIBET; SEDIMENTARY HISTORY; SOUTHEASTERN TIBET; WESTERN-AUSTRALIA; KERGUELEN PLUME; BUNBURY BASALT; OCEANIC-CRUST</t>
  </si>
  <si>
    <t>Mesozoic extension and rifting processes of the Gondwana continent are critical for understanding the opening and formation of the Indian Ocean. Here, we report petrological, geochemical, zircon U-Pb age, and Lu-Hf isotopic data of mafic dikes in the central Tethyan Himalaya to reveal the timing and mechanism of the eastern Gondwana rifting. These mafic rocks exhibit two groups in terms of TiO2 and MgO contents (Group I with TiO2 &lt; 2.0 wt.%, whereas Group II with TiO2 &gt; 2.0 wt.%), but (1) they have similar trace elements patterns and exhibit enriched Light Rare Earth Element (LREE) patterns without Eu anomalies and (2) they have a wide range of zircon epsilon(Hf)(t) values. Both the above geochemical characteristics are similar to those of the Oceanic Island Basalt (OIB). However, they also show typical features of continental crust input. Compared to Group II, Group I has higher MgO, Cr, and Ni abundances (more primitive) and more depleted Nb-Ta contents, which are similar to those of lower TiO2 Dala mafic rocks, suggesting that the continental crust signature was mainly inherited from the Greater India subcontinental lithospheric mantle (GI-SCLM). Therefore, the mafic rocks here were mainly derived from a hybrid source from both OIB-like enriched mantle and GI-SCLM. Furthermore, two groups of zircon U-Pb ages have been identified: the first group with a weight mean age of 139.9 +/- 0.2 Ma, whereas the second group with a weight mean age of 163.2 +/- 0.9 Ma. The Middle Jurassic zircons show similar characteristics to those of intermediate to acidic igneous rocks in the continental setting, and thus they might record a stage of magmatism associated with a tectonic extension event in the Indian passive continental margin. The Early Cretaceous ages represent the crystallization timing of the mafic dikes, which are coeval with most mafic rocks in the Tethyan Himalaya. Based on these observations and the literature data in the Tethyan Himalaya, we proposed that the Kerguelen plume was incubating underneath the Tethyan Himalaya at ca. 140 Ma, but it was not located in the triple junction among the Antarctic, Australian and Indian plates. Therefore, the Kerguelen plume might play a synergistic role in the break-up of eastern Gondwana, which had experienced at least two stages of tectonic extension during the Mid-Late Mesozoic.</t>
  </si>
  <si>
    <t>[Dai, Jingen] China Univ Geosci, Sch Earth Sci &amp; Resources, Beijing 100083, Peoples R China; [Dai, Jingen] China Univ Geosci, Res Ctr Tibetan Plateau Geol, Beijing 100083, Peoples R China</t>
  </si>
  <si>
    <t>China University of Geosciences; China University of Geosciences</t>
  </si>
  <si>
    <t>Dai, JG (corresponding author), China Univ Geosci, Sch Earth Sci &amp; Resources, Beijing 100083, Peoples R China.;Dai, JG (corresponding author), China Univ Geosci, Res Ctr Tibetan Plateau Geol, Beijing 100083, Peoples R China.</t>
  </si>
  <si>
    <t>djgtibet@163.com</t>
  </si>
  <si>
    <t>Dai, Jingen/AAB-4708-2022; jia, xiaolong/HII-6615-2022</t>
  </si>
  <si>
    <t>111 project [B18048]</t>
  </si>
  <si>
    <t>111 project(Ministry of Education, China - 111 Project)</t>
  </si>
  <si>
    <t>Mr Han-ao Li, Peng Wang, Ms Qi Wang, and Xue-qian Chen are gratefully acknowledged for their help in the fieldwork and laboratory analyses. This study was supported by 111 project (No. B18048). This is CUGB petrogeochemical contribution PGC-201587.</t>
  </si>
  <si>
    <t>0020-6814</t>
  </si>
  <si>
    <t>1938-2839</t>
  </si>
  <si>
    <t>INT GEOL REV</t>
  </si>
  <si>
    <t>Int. Geol. Rev.</t>
  </si>
  <si>
    <t>JAN 19</t>
  </si>
  <si>
    <t>10.1080/00206814.2022.2045637</t>
  </si>
  <si>
    <t>7S8FR</t>
  </si>
  <si>
    <t>WOS:000765225600001</t>
  </si>
  <si>
    <t>Linares, CG; Phillips, RA; Buxton, RT</t>
  </si>
  <si>
    <t>Linares, Carlos G.; Phillips, Richard A.; Buxton, Rachel T.</t>
  </si>
  <si>
    <t>Monitoring vocal activity and temporal patterns in attendance of White-chinned Petrels using bioacoustics</t>
  </si>
  <si>
    <t>Nocturnality; playback; vocalisation; passive acoustic monitoring (PAM); automatic classifier; seasonality</t>
  </si>
  <si>
    <t>NOCTURNAL SEABIRD ACTIVITY; POPULATION-SIZE; ACOUSTIC INDEXES; PROCELLARIA-AEQUINOCTIALIS; SOUTH GEORGIA; ISLAND</t>
  </si>
  <si>
    <t>Monitoring of population sizes and trends using conventional surveys is challenging for nocturnal, burrow-nesting seabirds. The White-chinned Petrel is the most commonly killed species in Southern Ocean fisheries and its breeding success at many sites is reduced because of predation by invasive cats and rodents. As adaptive management of such threats requires cost-effective and reproducible protocols for monitoring populations, we examined the potential of automated bioacoustic techniques for measuring colony attendance patterns (relative number of birds visiting at a given time) using data from acoustic recorders deployed over a breeding season at Bird Island, South Georgia. Generic recognition software was of limited utility, but a suite of acoustic indices in a random forest model reliably predicted the occurrence of vocalisations. Vocal activity showed clear temporal patterns, despite high day-to-day variability, and was lowest during the pre-laying period, in the early evening, and on moonlit nights. To facilitate estimation of population density using acoustic recorders, we determined the mean vocalisation rate of individuals (2.3 min(-1)), mean call length (similar to 15.3 sec), and detection distance (similar to 15 m based on signal to noise ratios of playbacks). Our results indicate that acoustic indices are a useful measure of colony attendance. If these indices can be linked to density, acoustic monitoring would provide a powerful and cost-effective census method for White-chinned Petrels and other nocturnal species.</t>
  </si>
  <si>
    <t>[Linares, Carlos G.] Boise State Univ, Dept Biol Sci, Boise, ID 83725 USA; [Phillips, Richard A.] NERC, British Antarctic Survey, Madingley Rd, Cambridge, England; [Buxton, Rachel T.] Carleton Univ, Dept Biol, Ottawa, ON, Canada; [Buxton, Rachel T.] Carleton Univ, Inst Environm &amp; Interdisciplinary Sci, Ottawa, ON, Canada</t>
  </si>
  <si>
    <t>Idaho; Boise State University; UK Research &amp; Innovation (UKRI); Natural Environment Research Council (NERC); NERC British Antarctic Survey; Carleton University; Carleton University</t>
  </si>
  <si>
    <t>Linares, CG (corresponding author), Boise State Univ, Dept Biol Sci, Boise, ID 83725 USA.</t>
  </si>
  <si>
    <t>cglinares@hotmail.com</t>
  </si>
  <si>
    <t>Garcia Linares, Carlos/0000-0001-9044-944X; Buxton, Rachel/0000-0002-2772-8435</t>
  </si>
  <si>
    <t>Natural Environment Research Council; British Ecological Society [SR18/1440]</t>
  </si>
  <si>
    <t>Natural Environment Research Council(UK Research &amp; Innovation (UKRI)Natural Environment Research Council (NERC)); British Ecological Society</t>
  </si>
  <si>
    <t>We thank T. Newman for placing and maintaining acoustic recorders, performing playback experiments, and counting White-chinned Petrel calls in the field. We also thank C. Warren at Wildlife Acoustics for technical support while building recognition algorithms. This work represents a contribution to the Ecosystems component of the British Antarctic Survey Polar Science for Planet Earth Programme, funded by the Natural Environment Research Council. It was generously supported by a grant for equipment from the British Ecological Society (Grant # SR18/1440).</t>
  </si>
  <si>
    <t>10.1080/01584197.2021.2018337</t>
  </si>
  <si>
    <t>0W9GX</t>
  </si>
  <si>
    <t>WOS:000765635500001</t>
  </si>
  <si>
    <t>Moore, BR</t>
  </si>
  <si>
    <t>Moore, Bradley R.</t>
  </si>
  <si>
    <t>Age-based life history of Pacific longnose parrotfish Hipposcarus longiceps from New Caledonia</t>
  </si>
  <si>
    <t>fisheries management; growth; mortality; New Caledonia; parrotfish; reproduction</t>
  </si>
  <si>
    <t>DEMOGRAPHIC VARIATION; METABOLIC THEORY; SEX-CHANGE; REEF; FISHES; GROWTH; HERMAPHRODITISM; MICRONESIA; LONGEVITY; POHNPEI</t>
  </si>
  <si>
    <t>The Pacific longnose parrotfish, Hipposcarus longiceps, is a medium- to large-bodied scarine labrid that is among the most commonly harvested species in mixed reef fisheries across the Indo-Pacific. Despite its ecological and fisheries importance, assessments of stock status and development of appropriate management strategies for the species have been limited by an absence of biological information. To date, the only detailed studies of the biology of H. longiceps have occurred in tropical regions. This study examined the biology of H. longiceps in southern New Caledonia, towards the southernmost extent of the species' distribution. In addition, resulting estimates of longevity and asymptotic length were compared against those derived for the species elsewhere in the Pacific, and regional patterns in these parameters were explored for correlation with sea surface temperature (SST). A total of 212 H. longiceps were collected from commercial fishers or fish markets between September 2015 and March 2017. Sampled individuals ranged from 28.2 cm fork length (L-F) to 57.3 cm L-F, and from 424 g to 3773 g. Examination of sectioned otoliths showed a clear pattern in increment formation, with opaque zones forming annually in most individuals between July and August (i.e., austral winter). Estimated longevities were similar between sexes, at similar to 18 years for females and similar to 19 years for males. These estimates extend the reported longevity of H. longiceps by at least 5 years. Despite this species being a diandric protogynous hermaphrodite, sex ratios were only slightly female biased, with 1 female:0.6 males. Primary males (i.e., those individuals that are male at first sexual maturity) constituted 30% of all sampled individuals and 79% of all males. A clearly defined, yet protracted, spawning season was evident, with peak spawning occurring from December-February, extending from November to April in some individuals. The estimated median length (L-50) and age (A(50)) at female maturity were 38.9 cm L(F )and 5.7 years, respectively, while the estimated length at which females changed sex to secondary males was 52.5 cm L-F. Reported longevity and asymptotic length were found to exhibit considerable regional variation, and both were negatively associated with SST. The results highlight the importance of geographically disparate studies into the species' biology, inform future assessments for the species, provide key baseline information for comparative work and improve understanding of spatial patterns of the life history of parrotfish species.</t>
  </si>
  <si>
    <t>[Moore, Bradley R.] Pacific Community SPC, Coastal Fisheries Programme, Noumea, New Caledonia; [Moore, Bradley R.] Univ Tasmania, Inst Marine &amp; Antarctic Studies, Hobart, Tas, Australia; [Moore, Bradley R.] Natl Inst Water &amp; Atmospher Res, Nelson, New Zealand</t>
  </si>
  <si>
    <t>University of Tasmania; National Institute of Water &amp; Atmospheric Research (NIWA) - New Zealand</t>
  </si>
  <si>
    <t>Moore, BR (corresponding author), Natl Inst Water &amp; Atmospher Res, Nelson, New Zealand.</t>
  </si>
  <si>
    <t>Moore, Bradley/0000-0001-8645-6778</t>
  </si>
  <si>
    <t>Department of Foreign Affairs and Trade, Australian Government; National Institute of Water and Atmospheric Research, New Zealand</t>
  </si>
  <si>
    <t>10.1111/jfb.15004</t>
  </si>
  <si>
    <t>0U6UV</t>
  </si>
  <si>
    <t>WOS:000765157600001</t>
  </si>
  <si>
    <t>Kuzin, AE; Trukhin, AM</t>
  </si>
  <si>
    <t>Kuzin, Alexey E.; Trukhin, Alexey M.</t>
  </si>
  <si>
    <t>Entanglement of Steller sea lions (Eumetopias jubatus) in man-made marine debris on Tyuleniy Island, Sea of Okhotsk</t>
  </si>
  <si>
    <t>Steller sea lion; Pollution; Marine debris; Entanglement; Tyuleniy Island; Sea of Okhotsk</t>
  </si>
  <si>
    <t>ANTARCTIC FUR SEALS; BIRD ISLAND; GEAR; CALIFORNIA; MAMMALS; EAST</t>
  </si>
  <si>
    <t>The present report provides data on entanglement of Steller sea lions (SSL) in marine debris on Tyuleniy Island, Sea of Okhotsk. The frequency of entanglement depending on the material, sex, and age of animals was estimated. A total of 133 SSL were recorded as having debris on their bodies, or an average of 22.2 individuals per year. The relative rate of entanglement over the observation years ranged from 1.48 to 1.97% of their total number. The entangled individuals were both males and females of all ages, but young males constituted the largest proportion among them (5.2%). The entangled SSL most frequently (43.2%) had neck collars (the material is not defined) and, less frequently, packaging bands (23.4%), nets (17.7%), and other debris. Most of marine litter found on SSL is associated with commercial fishing activities. On Tyuleniy Island, the rate of SSL entanglement is higher than in the eastern part of the species' range.</t>
  </si>
  <si>
    <t>[Kuzin, Alexey E.] All Russian Inst Fisheries &amp; Oceanog VNIRO, Pacific Branch, 4 Shevchenko Str, Vladivostok 690090, Russia; [Trukhin, Alexey M.] Russian Acad Sci, VI Ilichev Pacific Oceanol Inst POI, Far Eastern Branch, 41 Baltiyskaya Str, Vladivostok 690043, Russia</t>
  </si>
  <si>
    <t>Russian Academy of Sciences; Ilichev Pacific Oceanological Institute</t>
  </si>
  <si>
    <t>Trukhin, AM (corresponding author), Russian Acad Sci, VI Ilichev Pacific Oceanol Inst POI, Far Eastern Branch, 41 Baltiyskaya Str, Vladivostok 690043, Russia.</t>
  </si>
  <si>
    <t>Marian1312@mail.ru</t>
  </si>
  <si>
    <t>Kuzin, Alexey/GPK-7309-2022</t>
  </si>
  <si>
    <t>10.1016/j.marpolbul.2022.113521</t>
  </si>
  <si>
    <t>2P7SS</t>
  </si>
  <si>
    <t>WOS:000819936400009</t>
  </si>
  <si>
    <t>Charbonnel, E; Daguin-Thiebaut, C; Caradec, L; Moittie, E; Gilg, O; Gavrilo, MV; Strom, H; Mallory, ML; Morrison, RIG; Gilchrist, HG; Leblois, R; Roux, C; Yearsley, JM; Yannic, G; Broquet, T</t>
  </si>
  <si>
    <t>Charbonnel, Emeline; Daguin-Thiebaut, Claire; Caradec, Lucille; Moittie, Eleonore; Gilg, Olivier; Gavrilo, Maria, V; Strom, Hallvard; Mallory, Mark L.; Morrison, R. I. Guy; Gilchrist, H. Grant; Leblois, Raphael; Roux, Camille; Yearsley, Jonathan M.; Yannic, Glenn; Broquet, Thomas</t>
  </si>
  <si>
    <t>Searching for genetic evidence of demographic decline in an arctic seabird: beware of overlapping generations</t>
  </si>
  <si>
    <t>HEREDITY</t>
  </si>
  <si>
    <t>EFFECTIVE POPULATION-SIZE; GULL PAGOPHILA-EBURNEA; CLIMATE-CHANGE; LINKAGE DISEQUILIBRIUM; RANGE SHIFTS; IVORY GULLS; RE-IMPLEMENTATION; N-E; CONSEQUENCES; EVOLUTIONARY</t>
  </si>
  <si>
    <t>Genetic data are useful for detecting sudden population declines in species that are difficult to study in the field. Yet this indirect approach has its own drawbacks, including population structure, mutation patterns, and generation overlap. The ivory gull (Pagophila eburnea), a long-lived Arctic seabird, is currently suffering from rapid alteration of its primary habitat (i.e., sea ice), and dramatic climatic events affecting reproduction and recruitment. However, ivory gulls live in remote areas, and it is difficult to assess the population trend of the species across its distribution. Here we present complementary microsatellite- and SNP-based genetic analyses to test a recent bottleneck genetic signal in ivory gulls over a large portion of their distribution. With attention to the potential effects of population structure, mutation patterns, and sample size, we found no significant signatures of population decline worldwide. At a finer scale, we found a significant bottleneck signal at one location in Canada. These results were compared with predictions from simulations showing how generation time and generation overlap can delay and reduce the bottleneck microsatellite heterozygosity excess signal. The consistency of the results obtained with independent methods strongly indicates that the species shows no genetic evidence of an overall decline in population size. However, drawing conclusions related to the species' population trends will require a better understanding of the effect of age structure in long-lived species. In addition, estimates of the effective global population size of ivory gulls were surprisingly low (similar to 1000 ind.), suggesting that the evolutionary potential of the species is not assured.</t>
  </si>
  <si>
    <t>[Charbonnel, Emeline; Yannic, Glenn] Univ Grenoble Alpes, Univ Savoie Mt Blanc, CNRS, LECA, F-38000 Grenoble, France; [Charbonnel, Emeline; Gilg, Olivier; Yannic, Glenn] Grp Rech Ecol Arctique GREA, F-21440 Francheville, France; [Daguin-Thiebaut, Claire; Caradec, Lucille; Moittie, Eleonore; Broquet, Thomas] Sorbonne Univ, CNRS, UMR 7144, Stn Biol Roscoff, Pl Georges Teissier, F-29680 Roscoff, France; [Gilg, Olivier] Univ Bourgogne, Lab Biogeosci, UMR CNRS 6282, Equipe Ecol Evolut, Blvd Gabriel, F-21000 Dijon, France; [Gavrilo, Maria, V] Arctic &amp; Antarctic Res Inst AARI, St Petersburg 198397, Russia; [Strom, Hallvard] Norwegian Polar Res Inst, Fram Ctr, N-9296 Tromso, Norway; [Mallory, Mark L.] Acadia Univ, Dept Biol, 33 Westwood Ave, Wolfville, NS B4P 2R6, Canada; [Morrison, R. I. Guy; Gilchrist, H. Grant] Natl Wildlife Res Ctr, Environm Canada, Ottawa, ON K1A 0H3, Canada; [Gilchrist, H. Grant] Carleton Univ, Dept Biol, Ottawa, ON K1S 5B6, Canada; [Leblois, Raphael] Univ Montpellier, Montpellier SupAgro, Inst Agro, CBGP,INRAE,CIRAD,IRD, F-34980 Montferrier Sur Lez, France; [Roux, Camille] Univ Lille, CNRS, UMR Evo Ecopaleo 8198, F-59000 Lille, France; [Yearsley, Jonathan M.] Univ Coll Dublin, Sch Biol &amp; Environm Sci, Dublin, Ireland</t>
  </si>
  <si>
    <t>Universite Savoie Mont Blanc; Communaute Universite Grenoble Alpes; Universite Grenoble Alpes (UGA); Centre National de la Recherche Scientifique (CNRS); Centre National de la Recherche Scientifique (CNRS); CNRS - Institute of Ecology &amp; Environment (INEE); Sorbonne Universite; Centre National de la Recherche Scientifique (CNRS); CNRS - Institute of Ecology &amp; Environment (INEE); Universite de Bourgogne; Arctic &amp; Antarctic Research Institute; Norwegian Polar Institute; Acadia University; Environment &amp; Climate Change Canada; Canadian Wildlife Service; National Wildlife Research Centre - Canada; Carleton University; CIRAD; Institut Agro; Montpellier SupAgro; Institut de Recherche pour le Developpement (IRD); INRAE; Universite de Montpellier; Universite de Lille; Centre National de la Recherche Scientifique (CNRS); University College Dublin</t>
  </si>
  <si>
    <t>Yannic, G (corresponding author), Univ Grenoble Alpes, Univ Savoie Mt Blanc, CNRS, LECA, F-38000 Grenoble, France.;Yannic, G (corresponding author), Grp Rech Ecol Arctique GREA, F-21440 Francheville, France.</t>
  </si>
  <si>
    <t>glenn.yannic@univ-smb.fr</t>
  </si>
  <si>
    <t>YANNIC, Glenn/HDO-0551-2022; Daguin-Thiébaut, Claire/D-7124-2013; GILG, Olivier/C-2588-2008; Gavrilo, Maria V/R-7091-2016; leblois, raphael/HNQ-4790-2023; Yearsley, Jon/H-5301-2011; Mallory, Mark/A-1952-2017</t>
  </si>
  <si>
    <t>YANNIC, Glenn/0000-0002-6477-2312; Daguin-Thiébaut, Claire/0000-0003-4665-6411; Gavrilo, Maria V/0000-0002-3500-9617; GILG, Olivier/0000-0002-9083-4492; Yearsley, Jon/0000-0003-1838-0454; roux, camille/0000-0001-9497-1446; Charbonnel, Emeline/0000-0002-8561-7610; Mallory, Mark/0000-0003-2744-3437</t>
  </si>
  <si>
    <t>foundation Ellis Elliot (Switzerland); Societe vaudoise des Sciences naturelles (Switzerland); Nos Oiseaux (Switzerland); foundation Agassiz (Switzerland) grant; Nicolas Perrin's research group, Department of Ecology and Evolution at University of Lausanne, Switzerland; LabEx CeMEB [ANR-10-LABX-04-01]; Agence Nationale de la Recherche [GENOSPACE ANR-16-CE02-0008, INTROSPEC ANR-19CE02-0011]; Department of Environment and Climate Change Canada; Groupe de Recherche in Ecologie Arctique (GREA); French Polar Institute-IPEV (Program 'Ivory 1210'); Norwegian Polar Institute; Norwegian seabird monitoring program SEAPOP [192141]; Norwegian Ministry of Environment, Arctic and Antarctic Research Institute and the Russian IPY 2007/08 program</t>
  </si>
  <si>
    <t>foundation Ellis Elliot (Switzerland); Societe vaudoise des Sciences naturelles (Switzerland); Nos Oiseaux (Switzerland); foundation Agassiz (Switzerland) grant; Nicolas Perrin's research group, Department of Ecology and Evolution at University of Lausanne, Switzerland; LabEx CeMEB; Agence Nationale de la Recherche(Agence Nationale de la Recherche (ANR)); Department of Environment and Climate Change Canada; Groupe de Recherche in Ecologie Arctique (GREA); French Polar Institute-IPEV (Program 'Ivory 1210'); Norwegian Polar Institute; Norwegian seabird monitoring program SEAPOP; Norwegian Ministry of Environment, Arctic and Antarctic Research Institute and the Russian IPY 2007/08 program</t>
  </si>
  <si>
    <t>We thank Adrian Aebischer, Christophe Dufresnes, Emmanuelle Pouive, Roberto Sermier, and Brigitte Sabard for lab and field assistance. We wish to thank the two reviewers and the subject editor for their constructive and challenging comments that improved the quality of the paper. This work was supported by grants from the foundation Ellis Elliot (Switzerland), Societe vaudoise des Sciences naturelles (Switzerland) and Nos Oiseaux (Switzerland) to GY, by a foundation Agassiz (Switzerland) grant to TB and by Nicolas Perrin's research group, Department of Ecology and Evolution at University of Lausanne, Switzerland. This work benefited fromaccess to the Biogenouest genomic platform at Station Biologique de Roscoff and we are grateful to the Roscoff Bioinformatics platform ABiMS (http://abims.sb-roscoff.fr), the national INRA MIGALE (http://migale.jouy.inra.fr) and GENOTOUL (Toulouse Midi-Pyrenees) bioinformatics HPC platforms, as well as the CBGP and the local Montpellier Bioinformatics Biodiversity (MBB, supported by the LabEx CeMEB ANR-10-LABX-04-01) HPC platform services for providing storage and computing resources. RL was supported by the Agence Nationale de la Recherche (projects GENOSPACE ANR-16-CE02-0008 and INTROSPEC ANR-19CE02-0011). The sampling in Canada was funded by the Department of Environment and Climate Change Canada. The sampling in Greenland was supported by the Groupe de Recherche in Ecologie Arctique (GREA) and funded by the French Polar Institute-IPEV (Program 'Ivory 1210'). The sampling in Svalbard was funded by the Norwegian Polar Institute and the Norwegian seabird monitoring program SEAPOP (www.seapop.no, grant number 192141). The sampling in Russia was part of the work plan of the Joint Norwegian-Russian Commission on Environmental Protection and funded by the Norwegian Ministry of Environment, Arctic and Antarctic Research Institute and the Russian IPY 2007/08 program.</t>
  </si>
  <si>
    <t>0018-067X</t>
  </si>
  <si>
    <t>1365-2540</t>
  </si>
  <si>
    <t>Heredity</t>
  </si>
  <si>
    <t>10.1038/s41437-022-00515-3</t>
  </si>
  <si>
    <t>1A5MZ</t>
  </si>
  <si>
    <t>Bronze, Green Submitted, Green Published</t>
  </si>
  <si>
    <t>WOS:000764437400001</t>
  </si>
  <si>
    <t>Bessell, TJ; Stuart-Smith, J; Barrett, NS; Lynch, TP; Edgar, GJ; Ling, S; Appleyard, SA; Gowlett-Holmes, K; Green, M; Hogg, CJ; Talbot, S; Valentine, J; Stuart-Smith, RD</t>
  </si>
  <si>
    <t>Bessell, Tyson J.; Stuart-Smith, Jemina; Barrett, Neville S.; Lynch, Tim P.; Edgar, Graham J.; Ling, Scott; Appleyard, Sharon A.; Gowlett-Holmes, Karen; Green, Mark; Hogg, Carolyn J.; Talbot, Simon; Valentine, Joe; Stuart-Smith, Rick D.</t>
  </si>
  <si>
    <t>Prioritising conservation actions for extremely data-poor species: A risk assessment for one of the world's rarest marine fishes</t>
  </si>
  <si>
    <t>BIOLOGICAL CONSERVATION</t>
  </si>
  <si>
    <t>Ecological risk assessment; Extinction risk; Red handfish; Climate change</t>
  </si>
  <si>
    <t>ECOLOGICAL RISK; CLIMATE-CHANGE; BIODIVERSITY; THREATS; POPULATION; MANAGEMENT; STRESSORS; SUCCESS</t>
  </si>
  <si>
    <t>Effective prioritisation of research and conservation action for threatened species requires understanding the relative importance of the various pressures they face. This can be difficult for rare, cryptic, and data-deficient species, particularly when drivers of population decline are complex and indirectly impact one another. We developed a risk assessment-based approach that accounts for cascading ecological changes and indirect impacts between human and environmental pressures for threatened species, for application when data-dense assessment approaches are not possible. We applied this framework to the Critically Endangered red handfish (Thymichthys politus), one of the rarest and most threatened fishes in the world, currently only known from two highly localised populations in Australia's south-east. Our approach identified the unique life history strategy of handfishes, coastal warming, indirect ecological pressures caused by recreational fishing, urban development, and poaching as the greatest current threats to the persistence of the species. Mitigation options identified to have the greatest immediate reduction in extinction risk include an ex situ captive population and release program to bolster numbers in the wild, and engagement with the commercial sea urchin fishery to help reduce impact within critical habitat. Our risk assessment process may provide a useful framework for allowing managers to make more informed and supported decisions for other species that are similarly data-poor, and when decisions would otherwise necessarily rely on best guesses that do not consider their broader ecological, environmental and anthropogenic contexts.</t>
  </si>
  <si>
    <t>[Bessell, Tyson J.; Stuart-Smith, Jemina; Barrett, Neville S.; Edgar, Graham J.; Ling, Scott; Talbot, Simon; Stuart-Smith, Rick D.] Univ Tasmania, Inst Marine &amp; Antarctic Studies, Hobart, Tas, Australia; [Stuart-Smith, Jemina; Lynch, Tim P.; Green, Mark] CSIRO, Oceans &amp; Atmosphere, Hobart, Tas, Australia; [Appleyard, Sharon A.] CSIRO, Australian Natl Fish Collect, Hobart, Tas, Australia; [Gowlett-Holmes, Karen] Eaglehawk Dive Ctr, Eaglehawk Nack, Tas, Australia; [Hogg, Carolyn J.] Univ Sydney, Sch Life &amp; Environm Sci, Sydney, NSW, Australia; [Valentine, Joe] Aquenal Pty Ltd, Kingston, Tas, Australia</t>
  </si>
  <si>
    <t>University of Tasmania; Commonwealth Scientific &amp; Industrial Research Organisation (CSIRO); Commonwealth Scientific &amp; Industrial Research Organisation (CSIRO); University of Sydney</t>
  </si>
  <si>
    <t>Bessell, TJ (corresponding author), Univ Tasmania, Inst Marine &amp; Antarctic Studies, Hobart, Tas, Australia.</t>
  </si>
  <si>
    <t>tyson.bessell@utas.edu.au</t>
  </si>
  <si>
    <t>Edgar, Graham/AAY-3797-2020; Hogg, Carolyn J/A-5435-2012; Stuart-Smith, Rick/I-5214-2019; Barrett, Neville/J-7593-2014</t>
  </si>
  <si>
    <t>Edgar, Graham/0000-0003-0833-9001; Stuart-Smith, Rick/0000-0002-8874-0083; Hogg, Carolyn/0000-0002-6328-398X; Barrett, Neville/0000-0002-6167-1356; Bessell, Tyson/0000-0003-4823-5653</t>
  </si>
  <si>
    <t>Sea World Research and Rescue Foundation Inc.; Mohamed bin Zayed Conservation Fund; Handfish Conservation Project; Marine Biodiversity Hub from the Australian Government's National Environmental Science Programme (NESP)</t>
  </si>
  <si>
    <t>We thank the National Handfish Recovery Team for their feedback and support during the development of this risk assessment. We also wish to acknowledge M. Jacques and P. Last for their contribution to the risk assessment process. This work was supported by a Sea World Research and Rescue Foundation Inc. grant, the Mohamed bin Zayed Conservation Fund, and individual donors via the Handfish Conservation Project. This paper was written as a component of TB's PhD program, which was supported by a scholarship provided by the Marine Biodiversity Hub, a collaborative partnership supported through funding from the Australian Government's National Environmental Science Programme (NESP).</t>
  </si>
  <si>
    <t>0006-3207</t>
  </si>
  <si>
    <t>1873-2917</t>
  </si>
  <si>
    <t>BIOL CONSERV</t>
  </si>
  <si>
    <t>Biol. Conserv.</t>
  </si>
  <si>
    <t>10.1016/j.biocon.2022.109501</t>
  </si>
  <si>
    <t>1B5PM</t>
  </si>
  <si>
    <t>WOS:000792488700003</t>
  </si>
  <si>
    <t>Henderson, GE; Grant, ML; Lavers, JL</t>
  </si>
  <si>
    <t>Henderson, Gabrielle E.; Grant, Megan L.; Lavers, Jennifer L.</t>
  </si>
  <si>
    <t>Comparing methods for monitoring nest debris using silver gulls as a case study</t>
  </si>
  <si>
    <t>Australia; ImageJ; Laridae; Marine pollution; Plastics; Seabirds</t>
  </si>
  <si>
    <t>BOOBY SULA-LEUCOGASTER; MARINE DEBRIS; PLASTIC DEBRIS; PREVALENCE; THREAT</t>
  </si>
  <si>
    <t>Global plastics production is increasing exponentially and contributing to significant pollution of the marine environment. Of particular concern is ingestion and entanglement risks for marine wildlife, including when items such as rope are incorporated into nest structures. These events are commonly documented using photographic and visual surveys, and each presents a number of challenges and benefits for species conservation and monitoring. Here we compare an invasive (i.e., removing debris from nests) and non-invasive (i.e., photographs) sampling method for quantifying nest debris using the silver gull (Chroicocephalus novahollandiae) as a case study. Overall, 17 debris items were detected in 9% of gull nests. While the use of photographs to monitor nest debris is increasingly popular, the invasive method detected one additional debris item not identified using photography. We therefore recommend caution for nest debris and other monitoring programs where identifying small or cryptic items may require a high level of skill.</t>
  </si>
  <si>
    <t>[Henderson, Gabrielle E.; Lavers, Jennifer L.] Univ Tasmania, Inst Marine &amp; Antarctic Studies, 20 Castray Esplanade, Battery Point, Tas 7004, Australia; [Grant, Megan L.] Univ Tasmania, Inst Marine &amp; Antarctic Studies, Sch Rd, Newnham, Tas 7248, Australia</t>
  </si>
  <si>
    <t>Lavers, JL (corresponding author), Univ Tasmania, Inst Marine &amp; Antarctic Studies, 20 Castray Esplanade, Battery Point, Tas 7004, Australia.</t>
  </si>
  <si>
    <t>Jennifer.Lavers@utas.edu.au</t>
  </si>
  <si>
    <t>Lavers, Jennifer/IWM-5417-2023; Lavers, Jennifer/O-4831-2017</t>
  </si>
  <si>
    <t>Lavers, Jennifer/0000-0001-7596-6588; , Gabrielle/0009-0004-3286-2817</t>
  </si>
  <si>
    <t>Detached Cultural Organization</t>
  </si>
  <si>
    <t>The authors acknowledge the traditional owners of lutruwita where this research was completed. We honour their spirit and knowledge as we strive to uphold their custodial obligation to care for land and sea country. We're grateful to Dr E. Woehler and A. Fidler for advice or assistance in the field, Adrift Lab team members for their guidance, Detached Cultural Organization for financial support, and 2 anonymous reviewers for their constructive feedback.</t>
  </si>
  <si>
    <t>10.1016/j.marpolbul.2022.113482</t>
  </si>
  <si>
    <t>WOS:000778939000003</t>
  </si>
  <si>
    <t>Ilicic, D; Woodhouse, J; Karsten, U; Zimmermann, J; Wichard, T; Quartino, ML; Campana, GL; Livenets, A; Van den Wyngaert, S; Grossart, HP</t>
  </si>
  <si>
    <t>Ilicic, Doris; Woodhouse, Jason; Karsten, Ulf; Zimmermann, Jonas; Wichard, Thomas; Quartino, Maria Liliana; Campana, Gabriela Laura; Livenets, Alexandra; Van den Wyngaert, Silke; Grossart, Hans-Peter</t>
  </si>
  <si>
    <t>Antarctic Glacial Meltwater Impacts the Diversity of Fungal Parasites Associated With Benthic Diatoms in Shallow Coastal Zones</t>
  </si>
  <si>
    <t>Antarctica; aquatic fungi; Chytridiomycota; phytoplankton host; salinity gradient; Illumina amplicon sequencing; Carlini Station</t>
  </si>
  <si>
    <t>EUKARYOTIC PATHOGENS CHYTRIDIOMYCOTA; CLIMATE-CHANGE; SEA-ICE; MARINE; MICROPHYTOBENTHOS; PHYTOPLANKTON; BIODIVERSITY; COMMUNITIES; CHYTRIDS; IDENTIFICATION</t>
  </si>
  <si>
    <t>Aquatic ecosystems are frequently overlooked as fungal habitats, although there is increasing evidence that their diversity and ecological importance are greater than previously considered. Aquatic fungi are critical and abundant components of nutrient cycling and food web dynamics, e.g., exerting top-down control on phytoplankton communities and forming symbioses with many marine microorganisms. However, their relevance for microphytobenthic communities is almost unexplored. In the light of global warming, polar regions face extreme changes in abiotic factors with a severe impact on biodiversity and ecosystem functioning. Therefore, this study aimed to describe, for the first time, fungal diversity in Antarctic benthic habitats along the salinity gradient and to determine the co-occurrence of fungal parasites with their algal hosts, which were dominated by benthic diatoms. Our results reveal that Ascomycota and Chytridiomycota are the most abundant fungal taxa in these habitats. We show that also in Antarctic waters, salinity has a major impact on shaping not just fungal but rather the whole eukaryotic community composition, with a diversity of aquatic fungi increasing as salinity decreases. Moreover, we determined correlations between putative fungal parasites and potential benthic diatom hosts, highlighting the need for further systematic analysis of fungal diversity along with studies on taxonomy and ecological roles of Chytridiomycota.</t>
  </si>
  <si>
    <t>[Ilicic, Doris; Woodhouse, Jason; Livenets, Alexandra; Grossart, Hans-Peter] Leibniz Inst Freshwater Ecol &amp; Inland Fisheries, Dept Expt Limnol, Neuglobsow, Germany; [Karsten, Ulf] Univ Rostock, Inst Biol Sci Appl Ecol &amp; Phycol, Rostock, Germany; [Zimmermann, Jonas] Free Univ Berlin, Bot Garden &amp; Bot Museum Berlin Dahlem, Berlin, Germany; [Wichard, Thomas] Friedrich Schiller Univ Jena, Inst Inorgan &amp; Analyt Chem, Jena, Germany; [Quartino, Maria Liliana; Campana, Gabriela Laura] Argentinean Antarctic Inst, Dept Coastal Biol, Buenos Aires, Argentina; [Campana, Gabriela Laura] Natl Univ Lujan, Dept Basic Sci, Lujan, Buenos Aires, Argentina; [Van den Wyngaert, Silke] Univ Turku, Dept Biol, Turku, Finland; [Grossart, Hans-Peter] Univ Potsdam, Inst Biochem &amp; Biol, Potsdam, Germany</t>
  </si>
  <si>
    <t>Leibniz Institut fur Gewasserokologie und Binnenfischerei (IGB); University of Rostock; Free University of Berlin; Friedrich Schiller University of Jena; Universidad Nacional de Lujan; University of Turku; University of Potsdam</t>
  </si>
  <si>
    <t>Grossart, HP (corresponding author), Leibniz Inst Freshwater Ecol &amp; Inland Fisheries, Dept Expt Limnol, Neuglobsow, Germany.;Grossart, HP (corresponding author), Univ Potsdam, Inst Biochem &amp; Biol, Potsdam, Germany.</t>
  </si>
  <si>
    <t>hgrossart@igb-berlin.de</t>
  </si>
  <si>
    <t>Van den Wyngaert, Silke/JRY-5942-2023; Wichard, Thomas/C-2794-2009</t>
  </si>
  <si>
    <t>Van den Wyngaert, Silke/0000-0001-9163-4858; Livenets, Alexandra/0000-0003-1534-4853; Ilicic, Doris/0000-0001-8618-6229; Woodhouse, Jason/0000-0003-1129-5396</t>
  </si>
  <si>
    <t>German Science Foundation (DFG) [SPP 1158, GR1540/33-1, KA899/39-1]; IAA-DNA [PIH18]; PADI Foundation [47918/2020]; MINCYT-BMBF Programme [AL/17/06-01DN18024]; Universidad Nacional de Lujan [Disp CDD-CB 296/18, 343/19, 69/21]; ANPCyT-DNA [PICTO 2010-0116, PICT 2017-2691]; Coastcarb [872690]; Deutsche Forschungsgemeinschaft (DFG, German Research Foundation) [491466077]; [DFG-SPP 1158]; [ZI 1628/2-1]</t>
  </si>
  <si>
    <t>German Science Foundation (DFG)(German Research Foundation (DFG)); IAA-DNA; PADI Foundation; MINCYT-BMBF Programme; Universidad Nacional de Lujan; ANPCyT-DNA; Coastcarb; Deutsche Forschungsgemeinschaft (DFG, German Research Foundation)(German Research Foundation (DFG)); ;</t>
  </si>
  <si>
    <t>The study was performed in the frame of the Priority Programme of the German Science Foundation (DFG) entitled Antarktisforschung mit vergleichenden Untersuchungen in arktischen Eisgebieten (SPP 1158) in the subproject Polar parasites (GR1540/33-1) given to H-PG and UK (KA899/39-1). The DFG-SPP 1158 subproject Benthic diatom diversity and biogeography ZI 1628/2-1 is given to JZ and UK (KA899/39-1). GLC was supported by grants from IAA-DNA (PIH18), PADI Foundation (47918/2020), MINCYT-BMBF Programme (AL/17/06-01DN18024), and Universidad Nacional de Lujan (Disp CDD-CB 296/18, 343/19, and 69/21). GLC and MLQ were supported by grants from ANPCyT-DNA (PICTO 2010-0116 and PICT 2017-2691). This study presents an outcome of Coastcarb (Funding ID 872690, H2020-MSCA-RISE-2019). Publication is funded by the Deutsche Forschungsgemeinschaft (DFG, German Research Foundation) -Project Number 491466077.</t>
  </si>
  <si>
    <t>MAR 4</t>
  </si>
  <si>
    <t>10.3389/fmicb.2022.805694</t>
  </si>
  <si>
    <t>0C8BI</t>
  </si>
  <si>
    <t>WOS:000775531700001</t>
  </si>
  <si>
    <t>Reid, PA; Massom, RA</t>
  </si>
  <si>
    <t>Reid, P. A.; Massom, R. A.</t>
  </si>
  <si>
    <t>Change and variability in Antarctic coastal exposure, 1979-2020</t>
  </si>
  <si>
    <t>SEA-ICE; SHELF</t>
  </si>
  <si>
    <t>Increased exposure of Antarctica's coastal environment to open ocean and waves due to loss of a protective sea-ice buffer has important ramifications for ice-shelf stability, coastal erosion, important ice-ocean-atmosphere interactions and shallow benthic ecosystems. Here, we introduce a climate and environmental metric based on the ongoing long-term satellite sea-ice concentration record, namely Coastal Exposure Length. This is a daily measure of change and variability in the length and incidence of Antarctic coastline lacking any protective sea-ice buffer offshore. For 1979-2020, similar to 50% of Antarctica's similar to 17,850-km coastline had no sea ice offshore each summer, with minimal exposure in winter. Regional summer/maximum contributions vary from 45% (Amundsen-Bellingshausen seas) to 58% (Indian Ocean and Ross Sea), with circumpolar annual exposure ranging from 38% (2019) to 63% (1993). The annual maximum length of Antarctic coastal exposure decreased by similar to 30 km (similar to 0.32%) per year for 1979-2020, composed of distinct regional and seasonal contributions.</t>
  </si>
  <si>
    <t>[Reid, P. A.] Australian Bur Meteorol, Hobart, Tas, Australia; [Reid, P. A.; Massom, R. A.] Univ Tasmania, Inst Marine &amp; Antarctic Studies, Australian Antarctic Program Partnership, Hobart, Tas, Australia; [Massom, R. A.] Australian Antarctic Div, Kingston, Tas, Australia; [Massom, R. A.] Univ Tasmania, Australian Ctr Excellence Antarctic Sci, Inst Marine &amp; Antarctic Studies, Australian Res Council, Hobart, Tas, Australia</t>
  </si>
  <si>
    <t>Bureau of Meteorology - Australia; University of Tasmania; Australian Antarctic Division; University of Tasmania</t>
  </si>
  <si>
    <t>Reid, PA (corresponding author), Australian Bur Meteorol, Hobart, Tas, Australia.;Reid, PA (corresponding author), Univ Tasmania, Inst Marine &amp; Antarctic Studies, Australian Antarctic Program Partnership, Hobart, Tas, Australia.</t>
  </si>
  <si>
    <t>phillip.reid@bom.gov.au</t>
  </si>
  <si>
    <t>Australian Bureau of Meteorology; Australian Antarctic Division; Australian Government's Australian Antarctic Partnership Programme; Australian Centre for Excellence in Antarctic Science; AAS Projects [4116, 4528]</t>
  </si>
  <si>
    <t>Australian Bureau of Meteorology; Australian Antarctic Division; Australian Government's Australian Antarctic Partnership Programme; Australian Centre for Excellence in Antarctic Science; AAS Projects</t>
  </si>
  <si>
    <t>P.R. was supported by the Australian Bureau of Meteorology, and R.M. by the Australian Antarctic Division. Both authors were also supported by the Australian Government's Australian Antarctic Partnership Programme, and this study contributes to AAS Projects 4116 and 4528 and the Australian Centre for Excellence in Antarctic Science.</t>
  </si>
  <si>
    <t>10.1038/s41467-022-28676-z</t>
  </si>
  <si>
    <t>ZN2UK</t>
  </si>
  <si>
    <t>WOS:000764895600020</t>
  </si>
  <si>
    <t>Balaguer, J; Koch, F; Hassler, C; Trimborn, S</t>
  </si>
  <si>
    <t>Balaguer, Jenna; Koch, Florian; Hassler, Christel; Trimborn, Scarlett</t>
  </si>
  <si>
    <t>Iron and manganese co-limit the growth of two phytoplankton groups dominant at two locations of the Drake Passage</t>
  </si>
  <si>
    <t>COMMUNICATIONS BIOLOGY</t>
  </si>
  <si>
    <t>SOUTHERN-OCEAN PHYTOPLANKTON; ANTARCTIC PENINSULA; ENRICHMENT EXPERIMENTS; SUPEROXIDE DISMUTASES; WEDDELL SEA; FE; WATERS; FRAGILARIOPSIS; COMMUNITIES; ASSEMBLAGES</t>
  </si>
  <si>
    <t>While it has been recently demonstrated that both iron (Fe) and manganese (Mn) control Southern Ocean (SO) plankton biomass, how in particular Mn governs phytoplankton species composition remains yet unclear. This study, for the first time, highlights the importance of Mn next to Fe for growth of two key SO phytoplankton groups at two locations in the Drake Passage (West and East). Even though the bulk parameter chlorophyll a indicated Fe availability as main driver of both phytoplankton assemblages, the flow cytometric and microscopic analysis revealed FeMn co-limitation of a key phytoplankton group at each location: at West the dominant diatom Fragilariopsis and one subgroup of picoeukaryotes, which numerically dominated the East community. Hence, the limitation by both Fe and Mn and their divergent requirements among phytoplankton species and groups can be a key factor for shaping SO phytoplankton community structure. Iron and manganese play an important role in phytoplankton biomass control, but the exact effect of these elements on species composition has remained unknown. Conducting phytoplankton incubation experiments at two Drake Passage sites, we demonstrate how iron and manganese regulate phytoplankton community structure.</t>
  </si>
  <si>
    <t>[Balaguer, Jenna; Trimborn, Scarlett] Univ Bremen, Marine Bot, D-28359 Bremen, Germany; [Balaguer, Jenna; Koch, Florian; Trimborn, Scarlett] Alfred Wagener Inst, Helmholtz Ctr Polar &amp; Marine Res, Ecol Chem, D-25570 Bremerhaven, Germany; [Koch, Florian] Univ Appl Sci Bremerhaven, D-27568 Bremerhaven, Germany; [Hassler, Christel] Ecole Polytech Fed Lausanne, Swiss Polar Inst, Lausanne, Switzerland; [Hassler, Christel] Univ Geneva, Dept FA Forel Environm &amp; Aquat Sci, Geneva, Switzerland</t>
  </si>
  <si>
    <t>University of Bremen; Helmholtz Association; Alfred Wegener Institute, Helmholtz Centre for Polar &amp; Marine Research; Swiss Federal Institutes of Technology Domain; Ecole Polytechnique Federale de Lausanne; University of Geneva</t>
  </si>
  <si>
    <t>Balaguer, J (corresponding author), Univ Bremen, Marine Bot, D-28359 Bremen, Germany.;Balaguer, J (corresponding author), Alfred Wagener Inst, Helmholtz Ctr Polar &amp; Marine Res, Ecol Chem, D-25570 Bremerhaven, Germany.</t>
  </si>
  <si>
    <t>jenna.balaguer@awi.de</t>
  </si>
  <si>
    <t>Balaguer, Jenna/0000-0001-9330-2275; Trimborn, Scarlett/0000-0003-1434-9927</t>
  </si>
  <si>
    <t>Deutsche Forschungsgemeinschaft (DFG) [TR 899/4-1]; Deutsche Forschungsgemeinschaft [SPP1158, KO5563/1-1]</t>
  </si>
  <si>
    <t>Deutsche Forschungsgemeinschaft (DFG)(German Research Foundation (DFG)); Deutsche Forschungsgemeinschaft(German Research Foundation (DFG))</t>
  </si>
  <si>
    <t>J.B. was funded by the Deutsche Forschungsgemeinschaft (DFG) in the framework of the priority programme'Antarctic Research with comparative investigations in Arctic ice areas', project TR 899/4-1. F.K. was also supported by the Deutsche Forschungsgemeinschaft (SPP1158, KO5563/1-1'ViTMeD'). Finally, we would like to thank the captain and crew of RV'Polarstern' during PS97.</t>
  </si>
  <si>
    <t>2399-3642</t>
  </si>
  <si>
    <t>COMMUN BIOL</t>
  </si>
  <si>
    <t>Commun. Biol.</t>
  </si>
  <si>
    <t>10.1038/s42003-022-03148-8</t>
  </si>
  <si>
    <t>Biology; Multidisciplinary Sciences</t>
  </si>
  <si>
    <t>Life Sciences &amp; Biomedicine - Other Topics; Science &amp; Technology - Other Topics</t>
  </si>
  <si>
    <t>ZN0WL</t>
  </si>
  <si>
    <t>WOS:000764765400004</t>
  </si>
  <si>
    <t>Dei Cas, M; Ottolenghi, S; Morano, C; Rinaldo, R; Roda, G; Chiumello, D; Centanni, S; Samaja, M; Paroni, R</t>
  </si>
  <si>
    <t>Dei Cas, Michele; Ottolenghi, Sara; Morano, Camillo; Rinaldo, Rocco; Roda, Gabriella; Chiumello, Davide; Centanni, Stefano; Samaja, Michele; Paroni, Rita</t>
  </si>
  <si>
    <t>Link between serum lipid signature and prognostic factors in COVID-19 patients (vol 11, 21633, 2021)</t>
  </si>
  <si>
    <t>rita.paroni@unimi.it</t>
  </si>
  <si>
    <t>Ottolenghi, Sara/AAC-6146-2020; Rinaldo, Rocco Francesco/HIR-5424-2022; Samaja, Michele/N-3499-2013; chiumello, davide/JDW-4119-2023; Dei Cas, Michele/AAO-2132-2020; PARONI, RITA/C-2955-2012</t>
  </si>
  <si>
    <t>Ottolenghi, Sara/0000-0003-2988-0593; Rinaldo, Rocco Francesco/0000-0003-3999-5298; Samaja, Michele/0000-0002-0705-340X; Dei Cas, Michele/0000-0001-7359-8558; PARONI, RITA/0000-0002-3186-8860</t>
  </si>
  <si>
    <t>Dipartimento di Scienze della Salute, Universita degli Studi di Milano; Ministero dell'Istruzione, dell'Universita e della Ricerca [1314 PNRA18_00071F]</t>
  </si>
  <si>
    <t>Dipartimento di Scienze della Salute, Universita degli Studi di Milano; Ministero dell'Istruzione, dell'Universita e della Ricerca(Ministry of Education, Universities and Research (MIUR))</t>
  </si>
  <si>
    <t>This research was funded by Dipartimento di Scienze della Salute, Universita degli Studi di Milano (Piano di Sostegno alla Ricerca LINEA 2: Dotazione annuale per attivita istituzionali with a project entitled Iron handling in patients exposed to acute and chronic hypoxia-FeOx) and Ministero dell'Istruzione, dell'Universita e della Ricerca (Programma Nazionale di Ricerca in Antartide. Bando PNRA 25 maggio 2018, n. 1314 PNRA18_00071F with a project entitled Concorde Impact of the Antarctic environments on human homeostasis, psychology, physiology and immunity).</t>
  </si>
  <si>
    <t>MAR 3</t>
  </si>
  <si>
    <t>10.1038/s41598-022-07501-z</t>
  </si>
  <si>
    <t>3R1ZI</t>
  </si>
  <si>
    <t>WOS:000838718500005</t>
  </si>
  <si>
    <t>Casetta, F; Rizzo, AL; Faccini, B; Ntaflos, T; Abart, R; Lanzafame, G; Faccincani, L; Mancini, L; Giacomoni, PP; Coltorti, M</t>
  </si>
  <si>
    <t>Casetta, Federico; Rizzo, Andrea L.; Faccini, Barbara; Ntaflos, Theodoros; Abart, Rainer; Lanzafame, Gabriele; Faccincani, Luca; Mancini, Lucia; Giacomoni, Pier Paolo; Coltorti, Massimo</t>
  </si>
  <si>
    <t>CO2 storage in the Antarctica Sub-Continental Lithospheric Mantle as revealed by intra- and inter-granular fluids</t>
  </si>
  <si>
    <t>LITHOS</t>
  </si>
  <si>
    <t>CO2 storage; Sub-Continental Lithospheric Mantle; Alkaline metasomatism; Fluid inclusions; Synchrotron X-ray microtomography; Inter-granular fluids</t>
  </si>
  <si>
    <t>NORTHERN VICTORIA LAND; DEEP CARBON; NOBLE-GASES; OXIDATION-STATE; CANARY-ISLANDS; ROSS SEA; XENOLITHS; PERIDOTITE; SPINEL; CONSTRAINTS</t>
  </si>
  <si>
    <t>The investigation of the role played by CO2 circulating within the mantle during partial melting and meta-somatic/refertilization processes, together with a re-consideration of its storage capability and re-cycling in the lithospheric mantle, is crucial to unravel the Earth's main geodynamic processes. In this study, the combination of petrology, CO2 content trapped in bulk rock-and mineral-hosted fluid inclusions (FI), and 3D textural and volumetric characterization of intra-and inter-granular microstructures was used to investigate the extent and modality of CO2 storage in depleted and fertile (or refertilized) Sub-Continental Lithospheric Mantle (SCLM) beneath northern Victoria Land (NVL, Antarctica). Prior to xenoliths entrainment by the host basalt, the Ant-arctic SCLM may have stored 0.2 vol% melt and 1.1 vol% fluids, mostly as FI trails inside mineral phases but also as inter-granular fluids. The amount of CO2 stored in FI varies from 0.1 mu g((CO2))/g((sample)) in olivine from the anhydrous mantle xenoliths at Greene Point and Handler Ridge, up to 187.3 mu g/g in orthopyroxene from the highly metasomatized amphibole-bearing lherzolites at Baker Rocks, while the corresponding bulk CO2 contents range from 0.3 to 57.2 mu g/g. Irrespective of the lithology, CO2 partitioning is favoured in orthopyroxene and clinopyroxene-hosted FI (olivine: orthopyroxene = 0.10 +/- 0.06 to 0.26 +/- 0.09; olivine: clinopyroxene = 0.10 +/- 0.05 to 0.27 +/- 0.14). The H2O/(H2O + CO2) molar ratios obtained by comparing the CO2 contents of FI to the H2O amount retained in pyroxene lattices vary between 0.72 +/- 0.17 and 0.97 +/- 0.03, which is well comparable with the values measured in olivine-hosted melt inclusions from Antarctic primary lavas and assumed as representative of the partition of volatiles at the local mantle conditions. From the relationships between mineral chemistry, thermo-, oxy-barometric results and CO2 contents in mantle xenoliths, we speculate that relicts of CO2-depleted mantle are present at Greene Point, representing memory of a CO2-poor tholeiitic refertilization related to the development of the Jurassic Ferrar large magmatic event. On the other hand, a massive mobilization of CO2 took place before the (melt-related) formation of amphibole veins during the alkaline metasomatic event associated with the Cenozoic rift-related magmatism, in response to the storage and recycling of CO2-bearing materials into the Antarctica mantle likely induced by the prolonged Ross subduction.</t>
  </si>
  <si>
    <t>[Casetta, Federico; Ntaflos, Theodoros; Abart, Rainer] Univ Vienna, Dept Lithospher Res, Althan Str 14, A-1090 Vienna, Austria; [Rizzo, Andrea L.; Coltorti, Massimo] Ist Nazl Geofis &amp; Vulcanol, Sez Palermo, Via Ugo Malfa 153, I-90146 Palermo, Italy; [Rizzo, Andrea L.; Faccini, Barbara; Faccincani, Luca; Giacomoni, Pier Paolo; Coltorti, Massimo] Univ Ferrara, Dept Phys &amp; Earth Sci, Via Saragat 1, I-44121 Ferrara, Italy; [Rizzo, Andrea L.] Ist Nazl Geofis &amp; Vulcanol, Sez Milano, Via Alfonso Corti 12, I-20133 Milan, Italy; [Lanzafame, Gabriele] Univ Catania, Dept Biol Geol &amp; Environm Sci, Catania, Italy; [Mancini, Lucia] Elettra Sincrotrone Trieste SCp A, SS 14-km 153,5 Area Sci Pk, I-34149 Trieste, Italy; [Mancini, Lucia] LINXS Lund Inst Adv Neutron &amp; X ray Sci, Scheelevagen 19, S-22370 Lund, Sweden</t>
  </si>
  <si>
    <t>University of Vienna; Istituto Nazionale Geofisica e Vulcanologia (INGV); University of Ferrara; Istituto Nazionale Geofisica e Vulcanologia (INGV); University of Catania</t>
  </si>
  <si>
    <t>Casetta, F (corresponding author), Univ Vienna, Dept Lithospher Res, Althan Str 14, A-1090 Vienna, Austria.</t>
  </si>
  <si>
    <t>federico.casetta@univie.ac.at</t>
  </si>
  <si>
    <t>Rizzo, Amalia/JOK-2489-2023; Casetta, Federico/AAB-2175-2021; Rizzo, Andrea Luca/KCY-5635-2024; Mancini, Lucia/HJH-3207-2023; Mancini, Lucia/JBJ-7422-2023</t>
  </si>
  <si>
    <t>Rizzo, Amalia/0000-0002-0917-1047; Casetta, Federico/0000-0002-2935-7420; Mancini, Lucia/0000-0003-2416-3464; Mancini, Lucia/0000-0003-2416-3464; Rizzo, Andrea Luca/0000-0003-2225-3781</t>
  </si>
  <si>
    <t>Italian National Research Program Grants (PRIN) [20178LPCPW, 2017LMNLAW]; Elettra Synchrotron Radiation Facility (Trieste, Italy) [20160125]</t>
  </si>
  <si>
    <t>Italian National Research Program Grants (PRIN); Elettra Synchrotron Radiation Facility (Trieste, Italy)</t>
  </si>
  <si>
    <t>This work was supported by the funding provided by Elettra Synchrotron Radiation Facility (Trieste, Italy) to [MC] for the project 20160125 Volumetric estimation of intergranular melts and textural reconstruction of mantle xenoliths at the SYRMEP beamline, as well as by the Italian National Research Program Grants (PRIN) 2017 Projects 20178LPCPW to [MC] and 2017LMNLAW to [ALR] .</t>
  </si>
  <si>
    <t>0024-4937</t>
  </si>
  <si>
    <t>1872-6143</t>
  </si>
  <si>
    <t>Lithos</t>
  </si>
  <si>
    <t>10.1016/j.lithos.2022.106643</t>
  </si>
  <si>
    <t>1L4EY</t>
  </si>
  <si>
    <t>WOS:000799244600002</t>
  </si>
  <si>
    <t>Xing, L; Chen, Y; Tanaka, KR; Barrier, N; Ren, YP</t>
  </si>
  <si>
    <t>Xing, Lei; Chen, Yong; Tanaka, Kisei R.; Barrier, Nicolas; Ren, Yiping</t>
  </si>
  <si>
    <t>Evaluating the Hatchery Program of a Highly Exploited Shrimp Stock (Fenneropenaeus chinensis) in a Temperate Marine Ecosystem</t>
  </si>
  <si>
    <t>OSMOSE-JZB model; Fenneropenaeus chinensis release; economic profits; ecological impacts; Jiaozhou Bay</t>
  </si>
  <si>
    <t>INDIVIDUAL-BASED MODEL; FISHERIES ENHANCEMENT; SHELLFISH AQUACULTURE; MANAGEMENT-OBJECTIVES; RESPONSIBLE APPROACH; CARRYING-CAPACITY; JIAOZHOU BAY; DYNAMICS; RELEASE; SURVIVAL</t>
  </si>
  <si>
    <t>Hatchery programs are commonly used to enhance fishery stocks, while the efforts to minimize potential negative ecological impacts have grown in recent years. In China, Fenneropenaeus chinensis is a fast-growing, short-lived shrimp species with a high commercial value. F. chinensis fishery is heavily dependent on the hatchery program. We evaluated the trade-off between economic profits and ecological impacts of F. chinensis hatchery program in the Jiaozhou Bay of China. The total length of released individuals was 1.4 cm. The results showed that artificially released F. chinensis individuals experienced high predation pressure during the first 2 weeks. The economic profit peaked when 198 million individuals were released. The modeled hatchery program yielded a lower proportion of individuals with the increasing amount of F. chinensis release. The temporally uniform hatchery release was more efficient than other hatchery release scenarios (e.g., increasing the released amount year by year) in a long-term hatchery program. F. chinensis had the negative impacts on two large predatory fishes. Large fishes recovered at a slower rate than small fishes after the F. chinensis release stopped. Reducing fishing pressure could offset negative impacts of F. chinensis release on large fishes. The study indicates that the effectiveness of F. chinensis release cannot be enhanced by simply increasing the released amount. A long-term F. chinensis hatchery program with a large released amount may present additional challenges for managing natural resources in an ecosystem context.</t>
  </si>
  <si>
    <t>[Xing, Lei] Shanghai Ocean Univ, Coll Marine Sci, Shanghai, Peoples R China; [Chen, Yong] Univ Maine, Sch Marine Sci, Orono, ME USA; [Tanaka, Kisei R.] NOAA, Pacific Isl Fisheries Sci Ctr, Honolulu, HI USA; [Barrier, Nicolas] Univ Montpellier, CNRS, MARBEC, IRD, Sete, France; [Ren, Yiping] Ocean Univ China, Coll Fisheries, Qingdao, Peoples R China</t>
  </si>
  <si>
    <t>Shanghai Ocean University; University of Maine System; University of Maine Orono; National Oceanic Atmospheric Admin (NOAA) - USA; Ifremer; Centre National de la Recherche Scientifique (CNRS); Institut de Recherche pour le Developpement (IRD); Universite de Montpellier; Ocean University of China</t>
  </si>
  <si>
    <t>Ren, YP (corresponding author), Ocean Univ China, Coll Fisheries, Qingdao, Peoples R China.</t>
  </si>
  <si>
    <t>renyip@ouc.edu.cn</t>
  </si>
  <si>
    <t>Xing, Lei/JCO-1734-2023; Barrier, Nicolas/JME-3194-2023</t>
  </si>
  <si>
    <t>Barrier, Nicolas/0000-0002-1693-4719; Xing, Lei/0000-0003-2363-8966</t>
  </si>
  <si>
    <t>National Key R&amp;D Program of China [2018YFD0900904, 2018YFD0900906]; Impact and Response of Antarctic Seas to Climate Change [IRASCC2020-2022]</t>
  </si>
  <si>
    <t>National Key R&amp;D Program of China; Impact and Response of Antarctic Seas to Climate Change</t>
  </si>
  <si>
    <t>This work was funded by the National Key R&amp;D Program of China (2018YFD0900904 and 2018YFD0900906) and the Impact and Response of Antarctic Seas to Climate Change (IRASCC2020-2022).</t>
  </si>
  <si>
    <t>10.3389/fmars.2022.789805</t>
  </si>
  <si>
    <t>ZZ4CT</t>
  </si>
  <si>
    <t>WOS:000773219800001</t>
  </si>
  <si>
    <t>Yang, HW; Kim, TW; Dutrieux, P; Wåhlin, AK; Jenkins, A; Ha, HK; Kim, CS; Cho, KH; Park, T; Lee, SH; Cho, YK</t>
  </si>
  <si>
    <t>Yang, H. W.; Kim, T-W; Dutrieux, Pierre; Wahlin, A. K.; Jenkins, Adrian; Ha, H. K.; Kim, C. S.; Cho, K-H; Park, T.; Lee, S. H.; Cho, Y-K</t>
  </si>
  <si>
    <t>Seasonal variability of ocean circulation near the Dotson Ice Shelf, Antarctica</t>
  </si>
  <si>
    <t>CIRCUMPOLAR DEEP-WATER; AMUNDSEN SEA EMBAYMENT; PINE ISLAND GLACIER; WEST ANTARCTICA; INFLOW; TRANSPORT; FRONT; HEAT; MELTWATER; DYNAMICS</t>
  </si>
  <si>
    <t>Recent rapid thinning of West Antarctic ice shelves are believed to be caused by intrusions of warm deep water that induce basal melting and seaward meltwater export. This study uses data from three bottom-mounted mooring arrays to show seasonal variability and local forcing for the currents moving into and out of the Dotson ice shelf cavity. A southward flow of warm, salty water had maximum current velocities along the eastern channel slope, while northward outflows of freshened ice shelf meltwater spread at intermediate depth above the western slope. The inflow correlated with the local ocean surface stress curl. At the western slope, meltwater outflows followed the warm influx along the eastern slope with a similar to 2-3 month delay. Ocean circulation near Dotson Ice Shelf, affected by sea ice distribution and wind, appears to significantly control the inflow of warm water and subsequent ice shelf melting on seasonal time-scales.</t>
  </si>
  <si>
    <t>[Yang, H. W.; Kim, T-W; Cho, K-H; Park, T.; Lee, S. H.] Korea Polar Res Inst, Incheon 21990, South Korea; [Yang, H. W.; Cho, Y-K] Seoul Natl Univ, Res Inst Oceanog, Sch Earth &amp; Environm Sci, Seoul 08826, South Korea; [Dutrieux, Pierre] NERC, British Antarctic Survey, Cambridge CB3 0ET, England; [Dutrieux, Pierre] Columbia Univ, Lamont Doherty Earth Observ, Palisades, NY 10964 USA; [Wahlin, A. K.] Univ Gothenburg, Dept Marine Sci, Gothenburg, Sweden; [Jenkins, Adrian] Northumbria Univ, Dept Geog &amp; Environm Sci, Newcastle Upon Tyne NE1 8QH, Tyne &amp; Wear, England; [Ha, H. K.] Inha Univ, Dept Ocean Sci, Incheon 22212, South Korea; [Kim, C. S.] Natl Inst Fisheries Sci, Busan 46083, South Korea</t>
  </si>
  <si>
    <t>Korea Polar Research Institute (KOPRI); Seoul National University (SNU); UK Research &amp; Innovation (UKRI); Natural Environment Research Council (NERC); NERC British Antarctic Survey; Columbia University; University of Gothenburg; Northumbria University; Inha University; National Institute of Fisheries Science</t>
  </si>
  <si>
    <t>Kim, TW (corresponding author), Korea Polar Res Inst, Incheon 21990, South Korea.</t>
  </si>
  <si>
    <t>twkim@kopri.re.kr</t>
  </si>
  <si>
    <t>Cho, Yang-Ki/AAU-2549-2020; Jenkins, Adrian/IUN-2406-2023; Ha, Ho Kyung/HCH-4138-2022; Dutrieux, Pierre/GVS-2890-2022; Kim, Tae-Wan/JGM-9981-2023; Wahlin, Anna/U-3790-2017</t>
  </si>
  <si>
    <t>Cho, Yang-Ki/0000-0003-0026-0550; Dutrieux, Pierre/0000-0002-8066-934X; Kim, Tae-Wan/0000-0001-5257-7256; Cho, Kyoung-Ho/0000-0001-5527-5851; Wahlin, Anna/0000-0003-1799-6476; Ha, Ho Kyung/0000-0002-8274-9247; Jenkins, Adrian/0000-0002-9117-0616; YANG, Heewon/0000-0003-0999-1464</t>
  </si>
  <si>
    <t>Korea Polar Research Institute (KOPRI) [PE21110]; NERC [NE/T012803/1] Funding Source: UKRI</t>
  </si>
  <si>
    <t>Korea Polar Research Institute (KOPRI)(Korea Polar Research Institute of Marine Research Placement (KOPRI)); NERC(UK Research &amp; Innovation (UKRI)Natural Environment Research Council (NERC))</t>
  </si>
  <si>
    <t>The authors thank the officers, crew and scientists of the R/V Araon. Hee Won Yang and Tae-Wan Kim were supported by the Korea Polar Research Institute (KOPRI) (PE21110).</t>
  </si>
  <si>
    <t>10.1038/s41467-022-28751-5</t>
  </si>
  <si>
    <t>ZM3JM</t>
  </si>
  <si>
    <t>gold, Green Submitted, Green Published, Green Accepted</t>
  </si>
  <si>
    <t>WOS:000764258100016</t>
  </si>
  <si>
    <t>Li, RX; Cheng, Y; Cui, HT; Xia, ML; Yuan, XH; Li, Z; Luo, SL; Qiao, G</t>
  </si>
  <si>
    <t>Li, Rongxing; Cheng, Yuan; Cui, Haotian; Xia, Menglian; Yuan, Xiaohan; Li, Zhen; Luo, Shulei; Qiao, Gang</t>
  </si>
  <si>
    <t>Overestimation and adjustment of Antarctic ice flow velocity fields reconstructed from historical satellite imagery</t>
  </si>
  <si>
    <t>EAST ANTARCTICA; MASS-BALANCE; GLACIER; DYNAMICS; CALIBRATION; DISCHARGE; SPEED; AREA</t>
  </si>
  <si>
    <t>Antarctic ice velocity maps describe the ice flow dynamics of the ice sheet and are one of the primary components used to estimate the Antarctic mass balance and contribution to global sea level changes. In comparison to velocity maps derived from recent satellite images of monthly to weekly time spans, historical maps, from before the 1990s, generally cover longer time spans, e.g., over 10 years, due to the scarce spatial and temporal coverage of earlier satellite image data. We found velocity overestimations (OEs) in such long-span maps that can be mainly attributed to velocity gradients and time span of the images used. In general, they are less significant in slow-flowing grounded regions with low spatial accelerations. Instead, they take effect in places of high ice dynamics, for example, near grounding lines and often in ice shelf fronts. Velocities in these areas are important for estimating ice sheet mass balance and analyzing ice shelf instability. We propose an innovative Lagrangian velocity-based method for OE correction without the use of field observations or additional image data. The method is validated by using a set of ground truth velocity maps for the Totten Glacier and Pine Island Glacier which are produced from high-quality Landsat 8 images from 2013 to 2020. Subsequently, the validated method is applied to a historical velocity map of the David Glacier region from images from 1972-1989 acquired during Landsat 1, 4, and 5 satellite missions. It is demonstrated that velocity overestimations of up to 39 m a(-1) for David Glacier and 195 m a(-1) for Pine Island Glacier can be effectively corrected. Furthermore, temporal acceleration information, e.g., on basal melting and calving activities, is preserved in the corrected velocity maps and can be used for long-term ice flow dynamics analysis. Our ex periment results in the Pine Island Glacier (PIG) show that OEs of a 15-year span can reach up to 1300 m a(-1) along the grounding line and cause an overestimated grounding line (GL) flux of 11.5 Gt a(-1) if not corrected. The magnitudes of the OEs contained in both velocity and mass balance estimates are significant. When used alongside recent velocity maps of 1990s-2010s, they may lead to underestimated long-term changes for assessment and forecast modeling of the global climate change impact on the Antarctic ice sheet. Therefore, the OEs in the long-span historical maps must be seriously examined and corrected. We recommend that overestimations of more than the velocity mapping uncertainty (1 sigma) be corrected. This velocity overestimation correction method can be applied to the production of regional and icesheet-wide historical velocity maps from long-term satellite images.</t>
  </si>
  <si>
    <t>[Li, Rongxing; Cheng, Yuan; Cui, Haotian; Xia, Menglian; Yuan, Xiaohan; Li, Zhen; Luo, Shulei; Qiao, Gang] Tongji Univ, Ctr Spatial Informat Sci &amp; Sustainable Dev Applic, Shanghai, Peoples R China; [Li, Rongxing; Cheng, Yuan; Cui, Haotian; Xia, Menglian; Yuan, Xiaohan; Li, Zhen; Luo, Shulei; Qiao, Gang] Tongji Univ, Coll Surveying &amp; Geoinformat, Shanghai, Peoples R China</t>
  </si>
  <si>
    <t>Tongji University; Tongji University</t>
  </si>
  <si>
    <t>Li, RX; Cheng, Y (corresponding author), Tongji Univ, Ctr Spatial Informat Sci &amp; Sustainable Dev Applic, Shanghai, Peoples R China.;Li, RX; Cheng, Y (corresponding author), Tongji Univ, Coll Surveying &amp; Geoinformat, Shanghai, Peoples R China.</t>
  </si>
  <si>
    <t>ronli_282@hotmail.com; chengyuan_1994@tongji.edu.cn</t>
  </si>
  <si>
    <t>Qiao, Gang/AAU-5717-2020</t>
  </si>
  <si>
    <t>Cheng, Yuan/0000-0003-1336-0331; Li, Rongxing/0000-0001-9837-5115</t>
  </si>
  <si>
    <t>National Natural Science Foundation of China [41730102]; National Key Research and Development Program of China [2017YFA0603100]; Chinese Arctic and Antarctic Administration [CXPT2020017]; Fundamental Research Funds for the Central Universities</t>
  </si>
  <si>
    <t>National Natural Science Foundation of China(National Natural Science Foundation of China (NSFC)); National Key Research and Development Program of China; Chinese Arctic and Antarctic Administration; Fundamental Research Funds for the Central Universities(Fundamental Research Funds for the Central Universities)</t>
  </si>
  <si>
    <t>This research has been supported by the National Natural Science Foundation of China (grant no. 41730102), the National Key Research and Development Program of China (grant no. 2017YFA0603100), the Chinese Arctic and Antarctic Administration (grant no. CXPT2020017), and the Fundamental Research Funds for the Central Universities.</t>
  </si>
  <si>
    <t>10.5194/tc-16-737-2022</t>
  </si>
  <si>
    <t>ZO2QF</t>
  </si>
  <si>
    <t>WOS:000765574300001</t>
  </si>
  <si>
    <t>Wang, S; Ding, MH; Liu, G; Wei, T; Zhang, WQ; Chen, W; Dou, TF; Xiao, CD</t>
  </si>
  <si>
    <t>Wang, Sai; Ding, Minghu; Liu, Ge; Wei, Ting; Zhang, Wenqian; Chen, Wen; Dou, Tingfeng; Xiao, Cunde</t>
  </si>
  <si>
    <t>On the drivers of temperature extremes on the Antarctic Peninsula during austral summer</t>
  </si>
  <si>
    <t>Temperature extremes; Antarctic Peninsula; Temperature advection; Rossby wave train</t>
  </si>
  <si>
    <t>ROSSBY-WAVE PROPAGATION; STRONG COLD EVENTS; AIR-TEMPERATURE; ICE SHELVES; CLIMATE; VARIABILITY; EDDIES; CONSISTENT; DYNAMICS; PATTERNS</t>
  </si>
  <si>
    <t>This study investigates the role of atmospheric circulation on intraseasonal and synoptic time scales in driving the temperature extremes over the Antarctic Peninsula (AP) during austral summer. It is found that the advection term induced by intraseasonal oscillations (ISOs) makes the largest contribution to the formation and development of temperature extremes. The synoptic variation-induced advection term affects the temperature anomalies around the peak time. The upstream ISO Rossby wave packet propagating along the jet stream south of Australia precedes the extreme temperature events. The ISO wave packet propagates eastward and eventually affects downstream circulation and relevant temperature anomalies over the AP. The perturbations triggered by the ISO wave packet can also gain energy from the mean flow through the potential energy conversion, contributing to the development and maintenance of ISO Rossby wave. The eastward propagation of the synoptic-scale Rossby wave is faster than that of the intraseasonal one. As such, the anomalous synoptic circulations rapidly change and facilitate the development of extreme temperature events. The synoptic Rossby wave activity before the warm events is much stronger than that before cold, which can be partly attributed to the background of more active baroclinicity before the warm events.</t>
  </si>
  <si>
    <t>[Wang, Sai; Ding, Minghu; Liu, Ge; Wei, Ting; Zhang, Wenqian] Chinese Acad Meteorol Sci, State Key Lab Severe Weather, Beijing 100081, Peoples R China; [Wang, Sai; Ding, Minghu; Liu, Ge; Wei, Ting; Zhang, Wenqian] Chinese Acad Meteorol Sci, Inst Tibetan Plateau &amp; Polar Meteorol, Beijing 100081, Peoples R China; [Ding, Minghu; Xiao, Cunde] Chinese Acad Sci, Northwest Inst Ecoenvironm &amp; Resources, State Key Lab Cryospher Sci, Lanzhou 730000, Peoples R China; [Chen, Wen] Univ Chinese Acad Sci, Ctr Monsoon Syst Res, Inst Atmospher Phys, Beijing 100049, Peoples R China; [Dou, Tingfeng] Univ Chinese Acad Sci, Coll Resources &amp; Environm, Beijing 100049, Peoples R China; [Xiao, Cunde] Beijing Normal Univ, State Key Lab Earth Surface &amp; Resource Ecol, Beijing 100875, Peoples R China</t>
  </si>
  <si>
    <t>China Meteorological Administration; Chinese Academy of Meteorological Sciences (CAMS); China Meteorological Administration; Chinese Academy of Meteorological Sciences (CAMS); Chinese Academy of Sciences; Chinese Academy of Sciences; University of Chinese Academy of Sciences, CAS; Chinese Academy of Sciences; University of Chinese Academy of Sciences, CAS; Beijing Normal University</t>
  </si>
  <si>
    <t>Ding, MH (corresponding author), Chinese Acad Meteorol Sci, State Key Lab Severe Weather, Beijing 100081, Peoples R China.;Ding, MH (corresponding author), Chinese Acad Meteorol Sci, Inst Tibetan Plateau &amp; Polar Meteorol, Beijing 100081, Peoples R China.;Ding, MH (corresponding author), Chinese Acad Sci, Northwest Inst Ecoenvironm &amp; Resources, State Key Lab Cryospher Sci, Lanzhou 730000, Peoples R China.</t>
  </si>
  <si>
    <t>Ding, Minghu/AFU-3600-2022; Chen, Wen/G-6058-2011</t>
  </si>
  <si>
    <t>Ding, Minghu/0000-0002-1142-6598; Chen, Wen/0000-0001-9327-9079; Wang, Sai/0000-0002-4648-0439</t>
  </si>
  <si>
    <t>National Science Foundation of China [41771064]; CN National Research and Development Projects [2019YFC1509100]; Basic Research Fund of the Chinese Academy of Meteorological Sciences [2019Z008, 2021Z007, 2021Y021]</t>
  </si>
  <si>
    <t>National Science Foundation of China(National Natural Science Foundation of China (NSFC)); CN National Research and Development Projects; Basic Research Fund of the Chinese Academy of Meteorological Sciences</t>
  </si>
  <si>
    <t>This article was funded by National Science Foundation of China (Grant no. 41771064), CN National Research and Development Projects (Grant no. 2019YFC1509100), Basic Research Fund of the Chinese Academy of Meteorological Sciences (Grant nos. 2019Z008, 2021Z007 and 2021Y021).</t>
  </si>
  <si>
    <t>10.1007/s00382-022-06209-0</t>
  </si>
  <si>
    <t>WOS:000763842700002</t>
  </si>
  <si>
    <t>Ambasankar, K; Dayal, JS; Vasagam, KPK; Sivaramakrishnan, T; Sandeep, KP; Panigrahi, A; Raja, RA; Burri, L; Vijayan, KK</t>
  </si>
  <si>
    <t>Ambasankar, K.; Dayal, J. Syama; Vasagam, K. P. Kumaraguru; Sivaramakrishnan, T.; Sandeep, K. P.; Panigrahi, A.; Raja, R. Ananda; Burri, Lena; Vijayan, K. K.</t>
  </si>
  <si>
    <t>Growth, fatty acid composition, immune-related gene expression, histology and haematology indices of Penaeus vannamei fed graded levels of Antarctic krill meal at two different fishmeal concentrations</t>
  </si>
  <si>
    <t>Fatty acid; Fishmeal; Growth; Immune-related genes; Krill meal; Penaeus vannamei</t>
  </si>
  <si>
    <t>PACIFIC WHITE SHRIMP; EUPHAUSIA-SUPERBA MEAL; TROUT ONCORHYNCHUS-MYKISS; LITOPENAEUS-VANNAMEI; PARTIAL REPLACEMENT; NUTRITIONAL-VALUE; ATLANTIC SALMON; PRACTICAL DIETS; PROTEIN; PERFORMANCE</t>
  </si>
  <si>
    <t>An eight-week feeding trial was conducted to investigate the effect of dietary krill meal inclusion in diets with moderate (12%) and low (6%) fishmeal concentrations for Penaeus vannamei. Inasmuch, eight iso-nitrogenous and isolipidic diets were formulated to contain 36% crude protein and 5.5% crude lipid. In the moderate fishmeal diets, krill meal was included at 0, 2, 4 and 6% (called FK12:0, FK12:2, FK12:4 and FK12:6, respectively), likewise in the low-fishmeal diets, krill meal was included at the same concentrations of 0-6% (called FK6:0, FK6:2, FK6:4 and FK6:6, respectively). Shrimp with a starting body weight of 0.55 +/- 0.02 g were stocked at 22 animals per tank of 350 l capacity and fed three times daily. Results revealed that dietary krill meal and fish meal inclusion levels significantly increased growth performance (P &lt; 0.05)and there was no significant effect on interaction between fishmeal and krill meal levels. Shrimp fed 6% krill meal diet had the highest final body weight of 11.61 g, weight gain of 11.05 g, weight gain % of 1969.38%, specific growth rate of 5.41%/d and yield of 229.42 g/tank. The weight gain % and SGR showed non significant difference between 4 and 6% krill meal containing groups. Dietary change did not affect feed conversion ratio, protein efficiency ratio and apparent protein utilization(P &gt; 0.05). Survival was significantly increased in the groups containing 6 and 4% krill meal diets compared to 0% krill meal diet (P &lt; 0.05). Inclusion levels of krill meal showed non-significant differences in post-fed body composition except for crude lipid and crude fibre content. Fishmeal inclusion levels showed significant (P &lt; 0.05) variation in C14:0, C16:0, C18:0, C16:1,C18:1n-9, C18:2n-6, C22:6n-3, n-3/n-6 ratio, whereas krill meal inclusion levels showed significant variation in the all n-3 fatty acids only. Immune-related gene expression was significantly (P &lt; 0.05) upregulated in the shrimp fed high fishmeal diets (12%) for all the analyzed genes ProPhenoloxidase (ProPO), ProPhenoloxidase activating enzyme (PPAE), Serine Protease (SP), beta-1, 3-glucan-binding protein (BGBP), Superoxide dismutase (SOD), and Hemocyanin (HC). The dietary change led to a significant difference in both histology and haematology parameters (P &lt; 0.05). The results inferred that krill meal could be used as a potential functional feed ingredient in Penaeus vannamei.The present study suggested beneficial effects of krill meal in shrimp diets. The levels of fishmeal inclusion (12 and 6%) also showed significant (P &lt; 0.05) variations in various growth performance parameters. It is plausible that an inclusion level of 4% is the minimum for a measurable difference in growth performance.</t>
  </si>
  <si>
    <t>[Ambasankar, K.; Dayal, J. Syama; Vasagam, K. P. Kumaraguru; Sivaramakrishnan, T.; Sandeep, K. P.; Panigrahi, A.; Raja, R. Ananda; Vijayan, K. K.] ICAR Cent Inst Brackishwater Aquaculture, 75 Santhome High Rd, Chennai 600028, Tamil Nadu, India; [Burri, Lena] Aker Biomarine Antarctic ASA, Oksenoyveien 10, N-1366 Lysaker, Norway</t>
  </si>
  <si>
    <t>Indian Council of Agricultural Research (ICAR); ICAR - Central Institute Brackishwater Aquaculture</t>
  </si>
  <si>
    <t>Ambasankar, K (corresponding author), ICAR Cent Inst Brackishwater Aquaculture, 75 Santhome High Rd, Chennai 600028, Tamil Nadu, India.</t>
  </si>
  <si>
    <t>k.ambasankar@icar.gov.in</t>
  </si>
  <si>
    <t>DAYAL, SYAMA/HKF-1551-2023</t>
  </si>
  <si>
    <t>Indian Council of Agricultural Research (ICAR)</t>
  </si>
  <si>
    <t>Indian Council of Agricultural Research (ICAR)(Indian Council of Agricultural Research (ICAR))</t>
  </si>
  <si>
    <t>Acknowledgment The authors are grateful to Indian Council of Agricultural Research (ICAR) for the funding and express their sincere thanks to the Director, Central Institute of Brackishwater Aquaculture for his encouragement in carrying out this work and for providing necessary facilities.The help rendered by Mr. Delli Rao and Mr. Kishor Kumar and other feed mill staff of ICAR-CIBA in preparation experimental feeds and conduct of the feeding experiment are duly acknowledged.</t>
  </si>
  <si>
    <t>10.1016/j.aquaculture.2022.738069</t>
  </si>
  <si>
    <t>0P3QH</t>
  </si>
  <si>
    <t>WOS:000784134700008</t>
  </si>
  <si>
    <t>Titterton, H; Haward, M</t>
  </si>
  <si>
    <t>Titterton, Haydn; Haward, Marcus</t>
  </si>
  <si>
    <t>The Kerguelen Plateau: Interactions between the Law of the Sea and the Antarctic Treaty</t>
  </si>
  <si>
    <t>Law of the Sea; Antarctic Treaty; Kerguelen Plateau; Australia; Extended Continental Shelf; Commission on the Limits of the Continental Shelf</t>
  </si>
  <si>
    <t>PROTECTING MARINE BIODIVERSITY; CONTINENTAL-SHELF; AUSTRALIA</t>
  </si>
  <si>
    <t>Australia has benefited immensely from the maritime zone provisions of the 1982 United Nations Convention on the Law of the Sea (LOSC), particularly the provisions for the Extended Continental Shelf under Article 76. Australia's comprehensive submission of continental shelf data to the Commission on the Limits of the Conti-nental Shelf in 2004 included data occurring inside the Antarctic Treaty Area for three separate Australian territories; the Australian Antarctic Territory, Heard Island and McDonald Islands, and Macquarie Island. This raises questions surrounding the interactions between the LOSC and the Antarctic Treaty in the Southern Ocean. The paper focuses on the Kerguelen Plateau continental shelf deliniation, offering a timely analysis of Australia's strategic interests here, as Australia seeks to prepare a new or revised Extended Continental Shelf data sub -mission for Williams Ridge. Australia has sought to strike a strategic balance between supporting its territorial interests and derived benefits under LOSC in the Southern Ocean, whilst maintaining and further enhancing some of the key values and norms of the Antarctic Treaty System (ATS). The Kergulen Plateau case represents a strategic pursuit of territorial interests, carefully balanced with a determination to strengthen Australia's in-fluence within the ATS and enhance the reach of its provisions, particularly in regard to environmental pro-tection and the mining prohibition under the Madrid Protocol.</t>
  </si>
  <si>
    <t>[Titterton, Haydn; Haward, Marcus] Univ Tasmania, Inst Marine &amp; Antarctic Studies, Private Bag 129, Hobart, Tas 7001, Australia</t>
  </si>
  <si>
    <t>Titterton, H (corresponding author), Univ Tasmania, Inst Marine &amp; Antarctic Studies, Private Bag 129, Hobart, Tas 7001, Australia.</t>
  </si>
  <si>
    <t>Haydn.Titterton@utas.edu.au</t>
  </si>
  <si>
    <t>10.1016/j.marpol.2022.104993</t>
  </si>
  <si>
    <t>0I3QY</t>
  </si>
  <si>
    <t>WOS:000779339000014</t>
  </si>
  <si>
    <t>Turco, F; Ladroit, Y; Watson, SJ; Seabrook, S; Law, CS; Crutchley, GJ; Mountjoy, J; Pecher, IA; Hillman, JIT; Woelz, S; Gorman, AR</t>
  </si>
  <si>
    <t>Turco, Francesco; Ladroit, Yoann; Watson, Sally J.; Seabrook, Sarah; Law, Cliff S.; Crutchley, Gareth J.; Mountjoy, Joshu; Pecher, Ingo A.; Hillman, Jess I. T.; Woelz, Susi; Gorman, Andrew R.</t>
  </si>
  <si>
    <t>Estimates of Methane Release From Gas Seeps at the Southern Hikurangi Margin, New Zealand</t>
  </si>
  <si>
    <t>gas seeps; methane flux; Hikurangi Margin; hydroacoustics; water column imaging</t>
  </si>
  <si>
    <t>COAL OIL POINT; WATER COLUMN; COLD-SEEP; FLUID-FLOW; HYDRATE FORMATION; SUBDUCTION ZONE; SHALLOW GAS; SEA-FLOOR; EMISSIONS; OCEAN</t>
  </si>
  <si>
    <t>The highest concentration of cold seep sites worldwide has been observed along convergent margins, where fluid migration through sedimentary sequences is enhanced by tectonic deformation and dewatering of marine sediments. In these regions, gas seeps support thriving chemosynthetic ecosystems increasing productivity and biodiversity along the margin. In this paper, we combine seismic reflection, multibeam and split-beam hydroacoustic data to identify, map and characterize five known sites of active gas seepage. The study area, on the southern Hikurangi Margin off the North Island of Aotearoa/New Zealand, is a well-established gas hydrate province and has widespread evidence for methane seepage. The combination of seismic and hydroacoustic data enable us to investigate the geological structures underlying the seep sites, the origin of the gas in the subsurface and the associated distribution of gas flares emanating from the seabed. Using multi-frequency split-beam echosounder (EK60) data we constrain the volume of gas released at the targeted seep sites that lie between 1,110 and 2,060 m deep. We estimate the total deep-water seeps in the study area emission between 8.66 and 27.21 x 10(6) kg of methane gas per year. Moreover, we extrpolate methane fluxes for the whole Hikurangi Margin based on an existing gas seep database, that range between 2.77 x 10(8) and 9.32 x 10(8) kg of methane released each year. These estimates can result in a potential decrease of regional pH of 0.015-0.166 relative to the background value of 7.962. This study provides the most quantitative assessment to date of total methane release on the Hikurangi Margin. The results have implications for understanding what drives variation in seafloor biological communities and ocean biogeochemistry in subduction margin cold seep sites.</t>
  </si>
  <si>
    <t>[Turco, Francesco; Gorman, Andrew R.] Univ Otago, Dept Geol, Dunedin, New Zealand; [Turco, Francesco; Ladroit, Yoann; Watson, Sally J.; Seabrook, Sarah; Law, Cliff S.; Mountjoy, Joshu; Woelz, Susi] Natl Inst Water &amp; Atmospher Res NIWA, Wellington, New Zealand; [Ladroit, Yoann] ENSTA, Bretagne Rue Francois Verny, Brest, France; [Ladroit, Yoann] Univ Tasmania, Inst Marine &amp; Antarctic Studies, Battery Point, Tas, Australia; [Law, Cliff S.] Univ Otago, Dept Marine Sci, Dunedin, New Zealand; [Crutchley, Gareth J.] GEOMAR Helmholtz Ctr Ocean Res Kiel, Kiel, Germany; [Pecher, Ingo A.] Univ of Auckland, Sch Environm, Auckland, New Zealand; [Hillman, Jess I. T.] GNS Sci, Avalon, New Zealand</t>
  </si>
  <si>
    <t>University of Otago; National Institute of Water &amp; Atmospheric Research (NIWA) - New Zealand; University of Tasmania; University of Otago; Helmholtz Association; GEOMAR Helmholtz Center for Ocean Research Kiel; GNS Science - New Zealand</t>
  </si>
  <si>
    <t>Turco, F (corresponding author), Univ Otago, Dept Geol, Dunedin, New Zealand.;Turco, F; Watson, SJ (corresponding author), Natl Inst Water &amp; Atmospher Res NIWA, Wellington, New Zealand.</t>
  </si>
  <si>
    <t>francesco.turco@niwa.co.nz; Sally.Watson@niwa.co.nz</t>
  </si>
  <si>
    <t>Gorman, Andrew R/B-9674-2008; Pecher, Ingo/D-9379-2012</t>
  </si>
  <si>
    <t>Pecher, Ingo/0000-0001-7397-5069; ladroit, Yoann/0000-0002-5723-9501; Law, Cliff/0000-0002-7669-2475</t>
  </si>
  <si>
    <t>New Zealands Ministry for Business, Innovation and Employment [C05X1708]; Smart Idea project Broadband acoustic characterization of free gases in the ocean water [C01X1915]; New Zealand Ministry of Business, Innovation &amp; Employment (MBIE) [C01X1915, C05X1708] Funding Source: New Zealand Ministry of Business, Innovation &amp; Employment (MBIE)</t>
  </si>
  <si>
    <t>New Zealands Ministry for Business, Innovation and Employment(New Zealand Ministry of Business, Innovation and Employment (MBIE)); Smart Idea project Broadband acoustic characterization of free gases in the ocean water; New Zealand Ministry of Business, Innovation &amp; Employment (MBIE)(New Zealand Ministry of Business, Innovation and Employment (MBIE))</t>
  </si>
  <si>
    <t>Part of this work has been carried out within the HYDEE research programme, funded by the New Zealands Ministry for Business, Innovation and Employment, contract no. C05X1708, and is included a Ph.D. thesis from the University of Otago (Turco, 2021). Part of the funding came from the Smart Idea project Broadband acoustic characterization of free gases in the ocean water, contract nr. C01X1915.</t>
  </si>
  <si>
    <t>MAR 2</t>
  </si>
  <si>
    <t>10.3389/feart.2022.834047</t>
  </si>
  <si>
    <t>ZZ1NH</t>
  </si>
  <si>
    <t>WOS:000773042200001</t>
  </si>
  <si>
    <t>Hwang, K; Choe, H; Kim, KM</t>
  </si>
  <si>
    <t>Hwang, Kyuin; Choe, Hanna; Kim, Kyung Mo</t>
  </si>
  <si>
    <t>Complete genome of Nocardioides aquaticus KCTC 9944T isolated from meromictic and hypersaline Ekho Lake, Antarctica</t>
  </si>
  <si>
    <t>MARINE GENOMICS</t>
  </si>
  <si>
    <t>Adaptation; Gradient; Salinity; Temperature; Tolerance</t>
  </si>
  <si>
    <t>VESTFOLD HILLS; TOOL</t>
  </si>
  <si>
    <t>Nocardioides aquaticus KCTC 9944(T) is an aerobic, non-motile, Gram-positive, psychrotolerant, non-spore-forming bacterium isolated from the surface water of Ekho Lake in the Vestfold Hills, East Antarctica. This meromictic lake separated from Antarctic seawater thousands of years ago exhibits steep gradients of salinity and temperature in the upper layer of the water column. The cells of N. aquaticus thriving in Ekho Lake are able to grow in wide ranges of temperature (3 to 43.5 degrees C) and salinity (0 to 15% NaCl). Here, we sequenced the complete genome of N. aquaticus KCTC 9944(T), aiming to better understand the adaptation of this bacterium to the strong environmental gradients at the molecular level. The genome consists of 4,580,814 bp (G + C content of 73.2%) with a single chromosome, 4432 protein-coding genes, 51 tRNAs and 2 rRNA operons. The genome possesses genes for the Entner-Doudoroff pathway, photoheterotrophy, the conversion of acetate to acetyl-CoA, gluconeogenesis, and energy storage that are all advantageous to oligotrophic bacteria. The presence of genes involved in osmotic balance, fatty acid desaturation, cold and heat shock responses, and the oxygen affinities of respiratory oxidases are likely associated with high tolerance to strong gradients of salinity, temperature and oxygen concentration.</t>
  </si>
  <si>
    <t>[Hwang, Kyuin; Kim, Kyung Mo] Korea Polar Res Inst, Div Polar Life Sci, Yeonsu, 26 Songdomirae Ro, Incheon 21990, South Korea; [Choe, Hanna] Korea Res Inst Biosci &amp; Biotechnol, Biol Resource Ctr, 181 Ipsin Gil, Jeongeup 56212, South Korea</t>
  </si>
  <si>
    <t>Korea Polar Research Institute (KOPRI); Korea Research Institute of Bioscience &amp; Biotechnology (KRIBB)</t>
  </si>
  <si>
    <t>Kim, KM (corresponding author), Korea Polar Res Inst, Div Polar Life Sci, Yeonsu, 26 Songdomirae Ro, Incheon 21990, South Korea.</t>
  </si>
  <si>
    <t>kmkim@kopri.re.kr</t>
  </si>
  <si>
    <t>Kim, Kyung Mo/0000-0001-5125-5079</t>
  </si>
  <si>
    <t>Korea Polar Research Institute [PE21130]</t>
  </si>
  <si>
    <t>This work was supported by Korea Polar Research Institute (grant number PE21130) .</t>
  </si>
  <si>
    <t>1874-7787</t>
  </si>
  <si>
    <t>1876-7478</t>
  </si>
  <si>
    <t>MAR GENOM</t>
  </si>
  <si>
    <t>Mar. Genom.</t>
  </si>
  <si>
    <t>10.1016/j.margen.2021.100889</t>
  </si>
  <si>
    <t>Genetics &amp; Heredity; Marine &amp; Freshwater Biology</t>
  </si>
  <si>
    <t>ZP7YB</t>
  </si>
  <si>
    <t>WOS:000766634600009</t>
  </si>
  <si>
    <t>McClymont, EL; Bentley, MJ; Hodgson, DA; Spencer-Jones, CL; Wardley, T; West, MD; Croudace, IW; Berg, S; Gröcke, DR; Kuhn, G; Jamieson, SSR; Sime, L; Phillips, RA</t>
  </si>
  <si>
    <t>McClymont, Erin L.; Bentley, Michael J.; Hodgson, Dominic A.; Spencer-Jones, Charlotte L.; Wardley, Thomas; West, Martin D.; Croudace, Ian W.; Berg, Sonja; Grocke, Darren R.; Kuhn, Gerhard; Jamieson, Stewart S. R.; Sime, Louise; Phillips, Richard A.</t>
  </si>
  <si>
    <t>Summer sea-ice variability on the Antarctic margin during the last glacial period reconstructed from snow petrel (Pagodroma nivea) stomach-oil deposits</t>
  </si>
  <si>
    <t>KRILL EUPHAUSIA-SUPERBA; PARTICULATE ORGANIC-MATTER; SOUTHERN-OCEAN; WEDDELL SEA; THALASSOICA-ANTARCTICA; SURFACE TEMPERATURE; CLIMATE VARIABILITY; CONTINENTAL-MARGIN; MYCTOPHID FISHES; STABLE-ISOTOPES</t>
  </si>
  <si>
    <t>Antarctic sea ice is a critical component of the climate system affecting a range of physical and biogeochemical feedbacks and supporting unique ecosystems. During the last glacial stage, Antarctic sea ice was more extensive than today, but uncertainties in geological (marine sediments), glaciological (ice core), and climate model reconstructions of past sea-ice extent continue to limit our understanding of its role in the Earth system. Here, we present a novel archive of past sea-ice environments from regurgitated stomach oils of snow petrels (Pagodroma nivea) preserved at nesting sites in Dronning Maud Land, Antarctica. We show that by combining information from fatty acid distributions and their stable carbon isotope ratios with measurements of bulk carbon and nitrogen stable isotopes and trace metal data, it is possible to reconstruct changing snow petrel diet within Marine Isotope Stage 2 (ca. 24.3-30.3 cal kyr BP). We show that, as today, a mixed diet of krill and fish characterizes much of the record. However, between 27.4 and 28.7 cal kyr BP signals of krill almost disappear. By linking dietary signals in the stomach-oil deposits to modern feeding habits and foraging ranges, we infer the use by snow petrels of open-water habitats (polynyas) in the sea ice during our interval of study. The periods when consumption of krill was reduced are interpreted to correspond to the opening of polynyas over the continental shelf, which became the preferred foraging habitat. Our results show that extensive, thick, and multiyear sea ice was not always present close to the continent during the last glacial stage and highlight the potential of stomach-oil deposits as a palaeoenvironmental archive of Southern Ocean conditions.</t>
  </si>
  <si>
    <t>[McClymont, Erin L.; Bentley, Michael J.; Hodgson, Dominic A.; Spencer-Jones, Charlotte L.; Wardley, Thomas; West, Martin D.; Jamieson, Stewart S. R.] Univ Durham, Dept Geog, Durham DH1 3LE, England; [Hodgson, Dominic A.; Sime, Louise; Phillips, Richard A.] NERC, British Antarctic Survey, Cambridge CB3 0ET, England; [Croudace, Ian W.] Univ Southampton, Natl Oceanog Ctr, Ocean &amp; Earth Sci, Southampton SO14 3ZH, Hants, England; [Berg, Sonja] Univ Cologne, Inst Geol &amp; Mineral, D-50674 Cologne, Germany; [Grocke, Darren R.] Univ Durham, Dept Earth Sci, Durham DH1 3LE, England; [Kuhn, Gerhard] Alfred Wegener Inst, Helmholtz Zentrum Polar &amp; Meeresforsch, D-27568 Bremerhaven, Germany</t>
  </si>
  <si>
    <t>Durham University; UK Research &amp; Innovation (UKRI); Natural Environment Research Council (NERC); NERC British Antarctic Survey; NERC National Oceanography Centre; University of Southampton; University of Cologne; Durham University; Helmholtz Association; Alfred Wegener Institute, Helmholtz Centre for Polar &amp; Marine Research</t>
  </si>
  <si>
    <t>McClymont, EL (corresponding author), Univ Durham, Dept Geog, Durham DH1 3LE, England.</t>
  </si>
  <si>
    <t>erin.mcclymont@durham.ac.uk</t>
  </si>
  <si>
    <t>McClymont, Erin/AAX-3657-2020; Berg, Sonja/AAW-3817-2021; Bentley, Michael/F-7386-2011; Grocke, Darren R./F-4799-2015</t>
  </si>
  <si>
    <t>McClymont, Erin/0000-0003-1562-8768; Berg, Sonja/0000-0002-9629-6007; Bentley, Michael/0000-0002-2048-0019; Grocke, Darren R./0000-0003-2296-7530</t>
  </si>
  <si>
    <t>European Research Council [864637]; Deutsche Forschungsgemeinschaft [SPP 1158, BE4764/5-1]; Leverhulme Trust (Philip Leverhulme Prize and Research Leadership Award); European Research Council (ERC) [864637] Funding Source: European Research Council (ERC); NERC [NE/K003674/1] Funding Source: UKRI</t>
  </si>
  <si>
    <t>European Research Council(European Research Council (ERC)); Deutsche Forschungsgemeinschaft(German Research Foundation (DFG)); Leverhulme Trust (Philip Leverhulme Prize and Research Leadership Award)(Leverhulme Trust); European Research Council (ERC)(European Research Council (ERC)Spanish Government); NERC(UK Research &amp; Innovation (UKRI)Natural Environment Research Council (NERC))</t>
  </si>
  <si>
    <t>This research has been supported by the European Research Council H2020 (ANTSIE (grant no. 864637)), the Deutsche Forschungsgemeinschaft (SPP 1158 Antarctic Research with comparative investigations in Arctic ice areas (grant no. BE4764/5-1)), and the Leverhulme Trust (Philip Leverhulme Prize and Research Leadership Award).</t>
  </si>
  <si>
    <t>10.5194/cp-18-381-2022</t>
  </si>
  <si>
    <t>ZO6CF</t>
  </si>
  <si>
    <t>WOS:000765811000001</t>
  </si>
  <si>
    <t>Zhang, BJ; Wang, ZM; An, JC; Liu, TT; Geng, H</t>
  </si>
  <si>
    <t>Zhang, Baojun; Wang, Zemin; An, Jiachun; Liu, Tingting; Geng, Hong</t>
  </si>
  <si>
    <t>A 30-year monthly 5 km gridded surface elevation time series for the Greenland Ice Sheet from multiple satellite radar altimeters</t>
  </si>
  <si>
    <t>GLACIAL ISOSTATIC-ADJUSTMENT; PENETRATION DEPTH; CRYOSAT-2 DATA; VOLUME-CHANGE; MASS CHANGES; ENVISAT; FLUCTUATIONS; MODEL; LAND; ACCELERATION</t>
  </si>
  <si>
    <t>A long-term time series of ice sheet surface elevation change (SEC) is an essential parameter to assess the impact of climate change. In this study, we used an updated plane-fitting least-squares regression strategy to generate a 30-year surface elevation time series for the Greenland Ice Sheet (GrIS) at monthly temporal resolution and 5 x 51cm grid spatial resolution using ERS-1 (European Remote Sensing), ERS-2, Envisat, and CryoSat-2 satellite radar altimeter observations obtained between August 1991 and December 2020. The ingenious corrections for intermission bias were applied using an updated plane-fitting least-squares regression strategy. Empirical orthogonal function (EOF) reconstruction was used to supplement the sparse monthly gridded data attributable to poor observations in the early years. Validation using both airborne laser altimeter observations and the European Space Agency GrIS Climate Change Initiative (CCI) product indicated that our merged surface elevation time series is reliable. The accuracy and dispersion of errors of SECs of our results were 19.3 % and 8.9 % higher, respectively, than those of CCI SECs and even 30.9 % and 19.0 % higher, respectively, in periods from 2006-2010 to 2010-2014. Further analysis showed that our merged time series could provide detailed insight into GrIS SEC on multiple temporal (up to 30 years) and spatial scales, thereby providing an opportunity to explore potential associations between ice sheet change and climatic forcing.</t>
  </si>
  <si>
    <t>[Zhang, Baojun; Wang, Zemin; An, Jiachun; Liu, Tingting] Wuhan Univ, Chinese Antarctic Ctr Surveying &amp; Mapping, Wuhan 430079, Peoples R China; [Geng, Hong] Wuhan Univ, Sch Resource &amp; Environm Sci, Wuhan 430079, Peoples R China</t>
  </si>
  <si>
    <t>Wuhan University; Wuhan University</t>
  </si>
  <si>
    <t>Wang, ZM; Liu, TT (corresponding author), Wuhan Univ, Chinese Antarctic Ctr Surveying &amp; Mapping, Wuhan 430079, Peoples R China.</t>
  </si>
  <si>
    <t>zmwang@whu.edu.cn; ttliu23@whu.edu.cn</t>
  </si>
  <si>
    <t>Zhang, Baojun/0000-0001-5438-8723</t>
  </si>
  <si>
    <t>National Natural Science Foundation of China [41941010, 42006184]; National Key Research and Development Program of China [2018YFC1406102]; Strategic Priority Research Program of the Chinese Academy of Sciences [XDA19070100]</t>
  </si>
  <si>
    <t>National Natural Science Foundation of China(National Natural Science Foundation of China (NSFC)); National Key Research and Development Program of China; Strategic Priority Research Program of the Chinese Academy of Sciences(Chinese Academy of Sciences)</t>
  </si>
  <si>
    <t>This work was supported by the National Natural Science Foundation of China (grant nos. 41941010 and 42006184), National Key Research and Development Program of China (grant no. 2018YFC1406102), and Strategic Priority Research Program of the Chinese Academy of Sciences (grant no. XDA19070100).</t>
  </si>
  <si>
    <t>10.5194/essd-14-973-2022</t>
  </si>
  <si>
    <t>ZO4UL</t>
  </si>
  <si>
    <t>WOS:000765721100001</t>
  </si>
  <si>
    <t>Nguyen, LNT; Meijer, HAJ; van Leeuwen, C; Kers, BAM; Scheeren, HA; Jones, AE; Brough, N; Barningham, T; Pickers, PA; Manning, AC; Luijkx, IT</t>
  </si>
  <si>
    <t>Nguyen, Linh N. T.; Meijer, Harro A. J.; van Leeuwen, Charlotte; Kers, Bert A. M.; Scheeren, Hubertus A.; Jones, Anna E.; Brough, Neil; Barningham, Thomas; Pickers, Penelope A.; Manning, Andrew C.; Luijkx, Ingrid T.</t>
  </si>
  <si>
    <t>Two decades of flask observations of atmospheric δ(O2/N2), CO2, and APO at stations Lutjewad (the Netherlands) and Mace Head (Ireland), and 3 years from Halley station (Antarctica)</t>
  </si>
  <si>
    <t>BIOTIC CARBON SINKS; AIRBORNE MEASUREMENTS; GAS-CHROMATOGRAPH; O-2/N-2 RATIO; OXYGEN; O-2; DIOXIDE; AIR; VARIABILITY; CH4</t>
  </si>
  <si>
    <t>We present 20-year flask sample records of atmospheric CO2, delta(O-2/N-2), and atmospheric potential oxygen (APO) from the stations Lutjewad (the Netherlands) and Mace Head (Ireland), and a 3-year record from Halley station (Antarctica). We include details of our calibration procedures and the stability of our calibration scale over time, which we estimate to be 3 per meg over the 11 years of calibration, and our compatibility with the international Scripps O-2 scale. The measurement records from Lutjewad and Mace Head show similar long-term trends during the period 2002-2018 of 2.31 +/- 0.07 ppm yr(-1) for CO2 and -21.2 +/- 0.8 per meg yr(-1) for 8(02/N2) at Lutjewad, and 2.22 +/- 0.04 ppm yr(-1) for CO2 and -21.3 +/- 0.9 per meg yr(-1) for 8(02/N2) at Mace Head. They also show a similar delta(O-2/N-2) seasonal cycle with an amplitude of 54 +/- 4 per meg at Lutjewad and 61 +/- 5 per meg at Mace Head, while the CO2 seasonal amplitude at Lutjewad (16.8 +/- 0.5 ppm) is slightly higher than that at Mace Head (14.8 +/- 0.3 ppm). We show that the observed long-term trends and seasonal cycles are in good agreement with the measurements from various other stations, especially the measurements from the Weybourne Atmospheric Observatory (United Kingdom). However, there are remarkable differences in the progression of annual trends between the Mace Head and Lutjewad records for delta(O-2/N-2) and APO, which might in part be caused by sampling differences, but also by environmental effects, such as North Atlantic Ocean oxygen ventilation changes to which Mace Head is more sensitive. The Halley record shows clear trends and seasonality in delta(O-2/N-2) and APO, the latter agreeing especially well with continuous measurements at the same location made by the University of East Anglia (UEA), while CO2 and delta(O-2/N-2) present slight disagreements, most likely caused by small leakages during sampling. From our 2002-2018 records, we find a good agreement with Global Carbon Budget 2021 (Friedlingstein et al. (2021) for the global ocean carbon sink: 2.1 +/- 0.8 PgC yr(-1), based on the Lutjewad record. The data presented in this work are available at https://doi.org/10.18160/qq7d-t060 (Nguyen et al., 2021).</t>
  </si>
  <si>
    <t>[Nguyen, Linh N. T.; Meijer, Harro A. J.; van Leeuwen, Charlotte; Scheeren, Hubertus A.] Univ Groningen, Ctr Isotope Res, Energy &amp; Sustainabil Res Inst Groningen, Groningen, Netherlands; [Kers, Bert A. M.; Jones, Anna E.; Brough, Neil; Barningham, Thomas] NERC, British Antarctic Survey, Cambridge, England; [Pickers, Penelope A.; Manning, Andrew C.] Univ East Anglia, Ctr Ocean &amp; Atmospher Sci, Sch Environm Sci, Norwich, Norfolk, England; [Luijkx, Ingrid T.] Wageningen Univ &amp; Res, Meteorol &amp; Air Qual, Wageningen, Netherlands; [Brough, Neil] Natl Inst Water &amp; Atmospher Res, Wellington, New Zealand</t>
  </si>
  <si>
    <t>University of Groningen; UK Research &amp; Innovation (UKRI); Natural Environment Research Council (NERC); NERC British Antarctic Survey; University of East Anglia; Wageningen University &amp; Research; National Institute of Water &amp; Atmospheric Research (NIWA) - New Zealand</t>
  </si>
  <si>
    <t>Nguyen, LNT (corresponding author), Univ Groningen, Ctr Isotope Res, Energy &amp; Sustainabil Res Inst Groningen, Groningen, Netherlands.</t>
  </si>
  <si>
    <t>n.t.l.nguyen@rug.nl</t>
  </si>
  <si>
    <t>Nguyen, Nhu Tung Linh/IWM-5014-2023; Luijkx, Ingrid/G-9169-2011; Pickers, Penelope/E-7314-2018</t>
  </si>
  <si>
    <t>Nguyen, Linh N.T./0000-0003-0763-9387; Manning, Andrew/0000-0001-6952-7773; Luijkx, Ingrid/0000-0002-3990-6737; Pickers, Penelope/0000-0002-1923-5163; Scheeren, Bert/0000-0001-6333-8402</t>
  </si>
  <si>
    <t>Nederlandse Organisatie voor Wetenschappelijk Onderzoek; Natural Environment Research Council [NE/F005733/1, NE/I013342/1, QUEST010005, NE/S004521/1, NE/L50158X/1, NE/K500896/1, NE/S004211/1]; National Centre for Atmospheric Science [R8/H12/83/037]; Nederlandse Organisatie voor Wetenschappelijk Onderzoek [016.Veni.171.095]; Natural Environment Research Council (Polar Science for Planet Earth grant); NERC [NE/V003925/1, NE/F005733/1, NE/I013342/1, NE/S004211/1, NE/K500896/1, NE/S004521/1, quest010005, NE/L50158X/1] Funding Source: UKRI</t>
  </si>
  <si>
    <t>Nederlandse Organisatie voor Wetenschappelijk Onderzoek(Netherlands Organization for Scientific Research (NWO)); Natural Environment Research Council(UK Research &amp; Innovation (UKRI)Natural Environment Research Council (NERC)); National Centre for Atmospheric Science; Nederlandse Organisatie voor Wetenschappelijk Onderzoek(Netherlands Organization for Scientific Research (NWO)); Natural Environment Research Council (Polar Science for Planet Earth grant); NERC(UK Research &amp; Innovation (UKRI)Natural Environment Research Council (NERC))</t>
  </si>
  <si>
    <t>This research has been supported by the Nederlandse Organisatie voor Wetenschappelijk Onderzoek, the Natural Environment Research Council (grant nos. NE/F005733/1, NE/I013342/1, QUEST010005, NE/S004521/1, NE/L50158X/1, NE/K500896/1, and NE/S004211/1), the National Centre for Atmospheric Science (grant no. R8/H12/83/037), the Nederlandse Organisatie voor Wetenschappelijk Onderzoek (grant no. 016.Veni.171.095), and the Natural Environment Research Council (Polar Science for Planet Earth grant).</t>
  </si>
  <si>
    <t>10.5194/essd-14-991-2022</t>
  </si>
  <si>
    <t>ZO4UW</t>
  </si>
  <si>
    <t>WOS:000765722200001</t>
  </si>
  <si>
    <t>Thomas, AC; Deagle, B; Nordstrom, C; Majewski, S; Nelson, BW; Acevedo-Gutiérrez, A; Jeffries, S; Moore, J; Louden, A; Allegue, H; Pearson, S; Schmidt, M; Trites, AW</t>
  </si>
  <si>
    <t>Thomas, Austen C.; Deagle, Bruce; Nordstrom, Chad; Majewski, Sheena; Nelson, Benjamin W.; Acevedo-Gutierrez, Alejandro; Jeffries, Steven; Moore, Jed; Louden, Amelia; Allegue, Hassen; Pearson, Scott; Schmidt, Michael; Trites, Andrew W.</t>
  </si>
  <si>
    <t>Data on the diets of Salish Sea harbour seals from DNA metabarcoding</t>
  </si>
  <si>
    <t>WASHINGTON-STATE; SMOLT SURVIVAL; PREY DNA; SALMON; PREDATION; PATTERNS; SAMPLES; SCATS; WILD</t>
  </si>
  <si>
    <t>Marine trophic ecology data are in high demand as natural resource agencies increasingly adopt ecosystem-based management strategies that account for complex species interactions. Harbour seal (Phoca vitulina) diet data are of particular interest because the species is an abundant predator in the northeast Pacific Ocean and Salish Sea ecosystem that consumes Pacific salmon (Oncorhynchus spp.). A multi-agency effort was therefore undertaken to produce harbour seal diet data on an ecosystem scale using, 1) a standardized set of scat collection and analysis methods, and 2) a newly developed DNA metabarcoding diet analysis technique designed to identify prey species and quantify their relative proportions in seal diets. The DNA-based dataset described herein contains records from 4,625 harbour seal scats representing 52 haulout sites, 7 years, 12 calendar months, and a total of 11,641 prey identifications. Prey morphological hard parts analyses were conducted alongside, resulting in corresponding hard parts data for 92% of the scat DNA samples. A custom-built prey DNA sequence database containing 201 species (192 fishes, 9 cephalopods) is also provided.</t>
  </si>
  <si>
    <t>[Thomas, Austen C.] Smith Root Inc, Mol Div, 16603 NE 50th Ave, Vancouver, WA 98686 USA; [Thomas, Austen C.; Nelson, Benjamin W.; Allegue, Hassen; Trites, Andrew W.] Univ British Columbia, Inst Oceans &amp; Fisheries, 247-2202 Main Mall, Vancouver, BC V6T 1Z4, Canada; [Deagle, Bruce] CSIRO Natl Res Collect Australia, Australian Natl Fish Collect, Hobart, Tas, Australia; [Deagle, Bruce] Australian Antarctic Div, Channel Highway, Kingston, Tas, Australia; [Nordstrom, Chad; Majewski, Sheena] Fisheries &amp; Oceans Canada, Pacific Biol Stn, 3190 Hammond Bay Rd, Nanaimo, BC V9T 6N7, Canada; [Acevedo-Gutierrez, Alejandro] Western Washington Univ, Dept Biol, Bellingham, WA 98225 USA; [Jeffries, Steven; Louden, Amelia; Pearson, Scott] Washington Dept Fish &amp; Wildlife, Olympia, WA 98501 USA; [Moore, Jed] Nisqually Indian Tribe, Olympia, WA 98513 USA; [Allegue, Hassen] Univ Quebec Montreal, Dept Sci Biol, 141 Ave President Kennedy, Montreal, PQ H2X 1Y4, Canada; [Schmidt, Michael] Long Live Kings, 1326 5th Ave 450, Seattle, WA 98101 USA</t>
  </si>
  <si>
    <t>University of British Columbia; Commonwealth Scientific &amp; Industrial Research Organisation (CSIRO); Australian Antarctic Division; Fisheries &amp; Oceans Canada; Western Washington University; Washington Department of Fish &amp; Wildlife (WDFW); University of Quebec; University of Quebec Montreal</t>
  </si>
  <si>
    <t>Thomas, AC (corresponding author), Smith Root Inc, Mol Div, 16603 NE 50th Ave, Vancouver, WA 98686 USA.;Thomas, AC (corresponding author), Univ British Columbia, Inst Oceans &amp; Fisheries, 247-2202 Main Mall, Vancouver, BC V6T 1Z4, Canada.</t>
  </si>
  <si>
    <t>athomas@smith-root.com</t>
  </si>
  <si>
    <t>Trites, Andrew/K-5648-2012</t>
  </si>
  <si>
    <t>Allegue, Hassen/0000-0001-9357-9151; Deagle, Bruce/0000-0001-7651-3687; Acevedo-Gutierrez, Alejandro/0000-0002-9128-826X</t>
  </si>
  <si>
    <t>Pacific Salmon Foundation; Pacific Salmon Commission's Southern Endowment Fund via Long Live the Kings</t>
  </si>
  <si>
    <t>Many people contributed to the production of this dataset beyond the list of named coauthors. We would specifically like to thank the volunteers who helped to collect harbour seal scat samples throughout the Salish Sea, and the laboratory technicians who spent countless hours extracting DNA and preforming PCRs for this project. This is Publication Number 62 from the Salish Sea Marine Survival Project (marinesurvivalproject.com). Funding was provided by the Pacific Salmon Foundation, the Pacific Salmon Commission's Southern Endowment Fund via Long Live the Kings, by Washington State with equal in-kind contributions by those participating in the research.</t>
  </si>
  <si>
    <t>10.1038/s41597-022-01152-5</t>
  </si>
  <si>
    <t>ZL1HH</t>
  </si>
  <si>
    <t>WOS:000763431100005</t>
  </si>
  <si>
    <t>Berg, B; Bassis, J</t>
  </si>
  <si>
    <t>Berg, Brandon; Bassis, Jeremy</t>
  </si>
  <si>
    <t>Crevasse advection increases glacier calving</t>
  </si>
  <si>
    <t>Calving; crevasses; glacier calving; glacier modeling; iceberg calving</t>
  </si>
  <si>
    <t>AUSTFONNA ICE CAP; OUTLET GLACIERS; WEST GREENLAND; STOKES SIMULATIONS; FAST-FLOW; MODEL; FRACTURE; DYNAMICS; TEMPERATURE; VELOCITY</t>
  </si>
  <si>
    <t>Iceberg calving, the process where icebergs detach from glaciers, remains poorly understood. Moreover, few parameterizations of the calving process can easily be integrated into numerical models to accurately capture observations, resulting in large uncertainties in projected sea level rise. Recent efforts have focused on estimating crevasse depths assuming tensile failure occurs when crevasses fully penetrate the glacier thickness. However, these approaches often ignore the role of advecting crevasses on calculations of crevasse depth. Here, we examine a more general crevasse depth calving model that includes crevasse advection. We apply this model to idealized prograde and retrograde bed geometries as well as a prograde geometry with a sill. Neglecting crevasse advection results in steady glacier advance and ice tongue formation for all ice temperatures, sliding law coefficients and constant slope bed geometries considered. In contrast, crevasse advection suppresses ice tongue formation and increases calving rates, leading to glacier retreat. Furthermore, crevasse advection allows a grounded calving front to stabilize on top of sills. These results suggest that crevasse advection can radically alter calving rates and hint that future parameterizations of fracture and failure need to more carefully consider the lifecycle of crevasses and the role this plays in the calving process.</t>
  </si>
  <si>
    <t>[Berg, Brandon] Univ Michigan, Phys Dept, Ann Arbor, MI 48109 USA; [Berg, Brandon; Bassis, Jeremy] Univ Michigan, Ciimate &amp; Space Sci &amp; Engn, Ann Arbor, MI 48109 USA; [Berg, Brandon] Grand Rapids Community Coll, Physicai Sci Dept, Grand Rapids, MI 49503 USA</t>
  </si>
  <si>
    <t>University of Michigan System; University of Michigan; University of Michigan System; University of Michigan</t>
  </si>
  <si>
    <t>Berg, B (corresponding author), Univ Michigan, Phys Dept, Ann Arbor, MI 48109 USA.;Berg, B (corresponding author), Univ Michigan, Ciimate &amp; Space Sci &amp; Engn, Ann Arbor, MI 48109 USA.;Berg, B (corresponding author), Grand Rapids Community Coll, Physicai Sci Dept, Grand Rapids, MI 49503 USA.</t>
  </si>
  <si>
    <t>brandonberg@grcc.edu</t>
  </si>
  <si>
    <t>Bassis, Jeremy/J-1706-2012</t>
  </si>
  <si>
    <t>Bassis, Jeremy/0000-0003-2946-7176; Berg, Brandon/0000-0002-2760-6112</t>
  </si>
  <si>
    <t>National Science Foundation (NSF) [1738896]; Natural Environment Research Council (NERC) [NE/S006605/1]; NERC [NE/S006605/1] Funding Source: UKRI</t>
  </si>
  <si>
    <t>National Science Foundation (NSF)(National Science Foundation (NSF)); Natural Environment Research Council (NERC)(UK Research &amp; Innovation (UKRI)Natural Environment Research Council (NERC)); NERC(UK Research &amp; Innovation (UKRI)Natural Environment Research Council (NERC))</t>
  </si>
  <si>
    <t>We thank the scientific editor Ian Hewitt and two anonymous reviewers for their valuable feedback on this manuscript. This study is from the DOMINOS project, a component of the International Thwaites Glacier Collaboration (ITGC). Support from National Science Foundation (NSF: Grant 1738896) and Natural Environment Research Council (NERC: Grant NE/S006605/1) is acknowledged. Logistics provided by NSF-U.S. Antarctic Program and NERC-British Antarctic Survey. ITGC Contribution No. ITGC-041. Code to run the tests in this paper is available at https://doi.org/10.5281/zenodo.5899711 (Berg, 2022).</t>
  </si>
  <si>
    <t>PII S0022143022000107</t>
  </si>
  <si>
    <t>10.1017/jog.2022.10</t>
  </si>
  <si>
    <t>WOS:000763135700001</t>
  </si>
  <si>
    <t>Klekociuk, AR; Tully, MB; Krummel, PB; Henderson, SI; Smale, D; Querel, R; Nichol, S; Alexander, SP; Fraser, PJ; Nedoluha, G</t>
  </si>
  <si>
    <t>Klekociuk, Andrew R.; Tully, Matthew B.; Krummel, Paul B.; Henderson, Stuart, I; Smale, Dan; Querel, Richard; Nichol, Sylvia; Alexander, Simon P.; Fraser, Paul J.; Nedoluha, Gerald</t>
  </si>
  <si>
    <t>The Antarctic ozone hole during 2020</t>
  </si>
  <si>
    <t>JOURNAL OF SOUTHERN HEMISPHERE EARTH SYSTEMS SCIENCE</t>
  </si>
  <si>
    <t>Antarctica; 'Black Summer fires'; climate; ozone; ozone hole; ozone hole metrics; Rossby waves; stratosphere</t>
  </si>
  <si>
    <t>SOUTHERN-HEMISPHERE; STATIONARY; DEPLETION; INDICATORS; UPDATE; WINTER; WAVES</t>
  </si>
  <si>
    <t>The Antarctic ozone hole remains the focus of scientific attention because of its importance to the health of the biosphere and its influence on the climate of the southern hemisphere. Here we examine the general characteristics of the 2020 Antarctic ozone hole using a variety of observational and reanalysis data and compare and contrast its behaviour with earlier years. The main feature of the 2020 ozone hole was its relatively large size, and persistence to the beginning of the 2020/2021 summer, with new maximum records being set for the ozone hole daily area and ozone mass deficit during November and December. This was in strong contrast to 2019 when the ozone hole was one of the smallest observed. We show that a key factor in 2020 was the relative stability and strength of the stratospheric polar vortex, which allowed low temperatures in the Antarctic lower stratosphere to enhance ozone depletion reactions in relative isolation from the rest of the global atmosphere. These conditions were associated with relatively weak Rossby wave activity at high southern latitudes that occurred during the strengthening westerly phase of the Quasi Biennial Oscillation as well as the emerging La Nina phase of the El Nino Southern Oscillation. A consequence of the conditions in early summer was the measurement of new maximum values of ultraviolet radiation at Australia's three Antarctic research stations of Mawson, Davis and Casey. Indications of anomalous chlorine partitioning above Arrival Heights in Antarctica prior to the 2020 winter are provided, which may relate to effects from the 2019/2020 Australian wildfires. We also examine the effect of the downward coupling of the 2020 ozone hole to the climate of the wider southern hemisphere, which showed regional influences on surface temperature and precipitation in common with other strong vortex years.</t>
  </si>
  <si>
    <t>[Klekociuk, Andrew R.; Alexander, Simon P.] Australian Antarctic Div, Dept Agr Water &amp; Environm, Kingston, Tas, Australia; [Tully, Matthew B.] Bur Meteorol, Melbourne, Vic, Australia; [Krummel, Paul B.; Fraser, Paul J.] CSIRO Oceans &amp; Atmosphere, Climate Sci Ctr, Aspendale, Vic, Australia; [Henderson, Stuart, I] Australian Radiat Protect &amp; Nucl Safety Agcy, Yallambie, Vic, Australia; [Smale, Dan; Querel, Richard] Natl Inst Water &amp; Atmospher Res, Lauder, New Zealand; [Nichol, Sylvia] Natl Inst Water &amp; Atmospher Res, Wellington, New Zealand; [Nedoluha, Gerald] Naval Res Lab, Washington, DC 20375 USA</t>
  </si>
  <si>
    <t>Australian Antarctic Division; Bureau of Meteorology - Australia; Commonwealth Scientific &amp; Industrial Research Organisation (CSIRO); National Institute of Water &amp; Atmospheric Research (NIWA) - New Zealand; National Institute of Water &amp; Atmospheric Research (NIWA) - New Zealand; United States Department of Defense; United States Navy; Naval Research Laboratory</t>
  </si>
  <si>
    <t>Klekociuk, AR (corresponding author), Australian Antarctic Div, Dept Agr Water &amp; Environm, Kingston, Tas, Australia.</t>
  </si>
  <si>
    <t>andrew.klekociuk@awe.gov.au</t>
  </si>
  <si>
    <t>Fraser, Paul J. B./D-1755-2012; Krummel, Paul B/A-4293-2013; Tully, Matthew/AAG-1730-2020; Klekociuk, Andrew/A-4498-2015; Querel, Richard/D-3770-2015</t>
  </si>
  <si>
    <t>Krummel, Paul B/0000-0002-4884-3678; Tully, Matthew/0000-0002-6153-5610; Henderson, Stuart/0000-0002-9147-5727; Klekociuk, Andrew/0000-0003-3335-0034; Querel, Richard/0000-0001-8792-2486; smale, dan/0000-0003-3385-0880; Alexander, Simon/0000-0001-6823-8857</t>
  </si>
  <si>
    <t>Australian Government Department of Agriculture, Water and the Environment; National Institute of Water &amp; Atmospheric Research (NIWA) through New Zealand's Ministry of Business, Innovation and Employment</t>
  </si>
  <si>
    <t>Australian Government Department of Agriculture, Water and the Environment; National Institute of Water &amp; Atmospheric Research (NIWA) through New Zealand's Ministry of Business, Innovation and Employment(New Zealand Ministry of Business, Innovation and Employment (MBIE))</t>
  </si>
  <si>
    <t>We acknowledge the Australian Government Department of Agriculture, Water and the Environment for support of this work, and the assistance of the following people: Jeff Ayton and the Australian Antarctic Division's Antarctic Medical Practitioners in collecting the solar UV data, BoM staff in collecting surface and upper air measurements at Cape Grim (used for EESC calculations), Macquarie Island and Davis, and Antarctica New Zealand expeditioners in collecting measurements at Arrival Heights and Scott Base. Measurements at Arrival Heights and Scott Base are core-funded by the National Institute of Water &amp; Atmospheric Research (NIWA) through New Zealand's Ministry of Business, Innovation and Employment.</t>
  </si>
  <si>
    <t>2206-5865</t>
  </si>
  <si>
    <t>J SO HEMISPH EARTH</t>
  </si>
  <si>
    <t>J. South Hemisph. Earth Syst. Sci.</t>
  </si>
  <si>
    <t>10.1071/ES21015</t>
  </si>
  <si>
    <t>0D9CR</t>
  </si>
  <si>
    <t>WOS:000762668000001</t>
  </si>
  <si>
    <t>Anker, A; Baldi, P; Barwick, SW; Beise, J; Besson, DZ; Bouma, S; Cataldo, M; Chen, P; Gaswint, G; Glaser, C; Hallgren, A; Hallmann, S; Hanson, JC; Klein, SR; Kleinfelder, SA; Lahmann, R; Liu, J; Magnuson, M; McAleer, S; Meyers, ZS; Nam, J; Nelles, A; Novikov, A; Paul, MP; Persichilli, C; Plaisier, I; Pyras, L; Rice-Smith, R; Tatar, J; Wang, SH; Welling, C; Zhao, L</t>
  </si>
  <si>
    <t>Anker, A.; Baldi, P.; Barwick, S. W.; Beise, J.; Besson, D. Z.; Bouma, S.; Cataldo, M.; Chen, P.; Gaswint, G.; Glaser, C.; Hallgren, A.; Hallmann, S.; Hanson, J. C.; Klein, S. R.; Kleinfelder, S. A.; Lahmann, R.; Liu, J.; Magnuson, M.; McAleer, S.; Meyers, Z. S.; Nam, J.; Nelles, A.; Novikov, A.; Paul, M. P.; Persichilli, C.; Plaisier, I; Pyras, L.; Rice-Smith, R.; Tatar, J.; Wang, S-H; Welling, C.; Zhao, L.</t>
  </si>
  <si>
    <t>Improving sensitivity of the ARIANNA detector by rejecting thermal noise with deep learning</t>
  </si>
  <si>
    <t>JOURNAL OF INSTRUMENTATION</t>
  </si>
  <si>
    <t>Neutrino detectors; Real-time monitoring; Cherenkov detectors</t>
  </si>
  <si>
    <t>RADIO; ICE; NEUTRINOS</t>
  </si>
  <si>
    <t>The ARIANNA experiment is an Askaryan detector designed to record radio signals induced by neutrino interactions in the Antarctic ice. Because of the low neutrino flux at high energies (E-nu &gt; 10(16 )eV), the physics output is limited by statistics. Hence, an increase in sensitivity significantly improves the interpretation of data and offers the ability to probe new parameter spaces. The amplitudes of the trigger threshold are limited by the rate of triggering on unavoidable thermal noise fluctuations. We present a real-time thermal noise rejection algorithm that enables the trigger thresholds to be lowered, which increases the sensitivity to neutrinos by up to a factor of two (depending on energy) compared to the current ARIANNA capabilities. A deep learning discriminator, based on a Convolutional Neural Network (CNN), is implemented to identify and remove thermal events in real time. We describe a CNN trained on MC data that runs on the current ARIANNA microcomputer and retains 95% of the neutrino signal at a thermal noise rejection factor of 10(5), compared to a template matching procedure which reaches only 10(2) for the same signal efficiency. Then the results are verified in a lab measurement by feeding in generated neutrino-like signal pulses and thermal noise directly into the ARIANNA data acquisition system. Lastly, the same CNN is used to classify cosmic-rays events to make sure they are not rejected. The network classified 102 out of 104 cosmic-ray events as signal.</t>
  </si>
  <si>
    <t>[Anker, A.; Barwick, S. W.; Gaswint, G.; Liu, J.; Paul, M. P.; Persichilli, C.; Rice-Smith, R.; Zhao, L.] Univ Calif Irvine, Dept Phys &amp; Astron, Irvine, CA 92697 USA; [Baldi, P.; McAleer, S.] Univ Calif Irvine, Dept Informat &amp; Comp Sci, Irvine, CA 92697 USA; [Beise, J.; Glaser, C.; Hallgren, A.] Uppsala Univ, Dept Phys &amp; Astron, SE-75237 Uppsala, Sweden; [Besson, D. Z.; Magnuson, M.; Novikov, A.] Univ Kansas, Dept Phys &amp; Astron, Lawrence, KS 66045 USA; [Besson, D. Z.; Novikov, A.] Natl Res Nucl Univ, MEPhI Moscow Engn Phys Inst, Moscow 115409, Russia; [Bouma, S.; Cataldo, M.; Lahmann, R.; Meyers, Z. S.; Nelles, A.; Plaisier, I; Pyras, L.; Welling, C.] Friedrich Alexander Univ Erlangen Nurnberg, ECAP, D-91058 Erlangen, Germany; [Chen, P.; Nam, J.; Wang, S-H] Natl Taiwan Univ, Dept Phys, Taipei 10617, Taiwan; [Chen, P.; Nam, J.; Wang, S-H] Natl Taiwan Univ, Leung Ctr Cosmol &amp; Particle Astrophys, Taipei 10617, Taiwan; [Hallmann, S.; Meyers, Z. S.; Nelles, A.; Plaisier, I; Pyras, L.; Welling, C.] DESY, D-15738 Zeuthen, Germany; [Hanson, J. C.] Whittier Coll, Dept Phys, Whittier, CA 90602 USA; [Klein, S. R.] Lawrence Berkeley Natl Lab, Berkeley, CA 94720 USA; [Kleinfelder, S. A.] Univ Calif Irvine, Dept Elect Engn &amp; Comp Sci, Irvine, CA 92697 USA; [Tatar, J.] Univ Calif Irvine, Res Cyberinfrastruct Ctr, Irvine, CA 92697 USA</t>
  </si>
  <si>
    <t>University of California System; University of California Irvine; University of California System; University of California Irvine; Uppsala University; University of Kansas; National Research Nuclear University MEPhI (Moscow Engineering Physics Institute); University of Erlangen Nuremberg; National Taiwan University; National Taiwan University; Helmholtz Association; Deutsches Elektronen-Synchrotron (DESY); Whittier College; United States Department of Energy (DOE); Lawrence Berkeley National Laboratory; University of California System; University of California Irvine; University of California System; University of California Irvine</t>
  </si>
  <si>
    <t>Anker, A (corresponding author), Univ Calif Irvine, Dept Phys &amp; Astron, Irvine, CA 92697 USA.</t>
  </si>
  <si>
    <t>aanker@uci.edu; sbarwick@uci.edu; christian.glaser@physics.uu.se; mppaul@uci.edu</t>
  </si>
  <si>
    <t>Glaser, Christian/R-3021-2019; Hallmann, Steffen/HLQ-7871-2023; Odén, Magnus/O-8364-2019; Chen, Pisin/IAO-8769-2023; Nelles, Anna/AAU-1193-2020</t>
  </si>
  <si>
    <t>Glaser, Christian/0000-0001-5998-2553; Hallmann, Steffen/0000-0001-9847-7189; Odén, Magnus/0000-0002-2286-5588; Chen, Pisin/0000-0001-5251-7210; Nelles, Anna/0000-0002-1720-6350; Pyras, Lilly/0000-0003-1146-9659; Zhao, Leshan/0000-0003-2418-4660; Lahmann, Robert/0009-0005-5493-1702</t>
  </si>
  <si>
    <t>U.S. National Science Foundation-Office of Polar Programs; U.S. National Science Foundation-Physics Division [NSF-1607719]; NSF [NRT 1633631]; German research foundation (DFG) [GL 914/1-1, NE 2031/2-1]; Taiwan Ministry of Science and Technology; Swedish Government strategic program Stand Up for Energy, MEPhI Academic Excellence Project [02.a03.21.0005]; Megagrant 2013 program of Russia [14.12.31.0006]; Swedish Research Council [2018-05973]</t>
  </si>
  <si>
    <t>U.S. National Science Foundation-Office of Polar Programs(National Science Foundation (NSF)); U.S. National Science Foundation-Physics Division(National Science Foundation (NSF)); NSF(National Science Foundation (NSF)); German research foundation (DFG)(German Research Foundation (DFG)); Taiwan Ministry of Science and Technology; Swedish Government strategic program Stand Up for Energy, MEPhI Academic Excellence Project; Megagrant 2013 program of Russia; Swedish Research Council(Swedish Research Council)</t>
  </si>
  <si>
    <t>We are grateful to the U.S. National Science Foundation-Office of Polar Programs, the U.S. National Science Foundation-Physics Division (grant NSF-1607719) for supporting the ARIANNA array at Moore's Bay, and NSF grant NRT 1633631. Without the invaluable contributions of the people at McMurdo Station, the ARIANNA stations would have never been built. We acknowledge funding from the German research foundation (DFG) under grants GL 914/1-1 and NE 2031/2-1, the Taiwan Ministry of Science and Technology, the Swedish Government strategic program Stand Up for Energy, MEPhI Academic Excellence Project (Contract No. 02.a03.21.0005) and the Megagrant 2013 program of Russia, via agreement 14.12.31.0006 from 24.06.2013. The computations and data handling were supported by resources provided by the Swedish National Infrastructure for Computing (SNIC) at UPPMAX partially funded by the Swedish Research Council through grant agreement no. 2018-05973.</t>
  </si>
  <si>
    <t>1748-0221</t>
  </si>
  <si>
    <t>J INSTRUM</t>
  </si>
  <si>
    <t>J. Instrum.</t>
  </si>
  <si>
    <t>P03007</t>
  </si>
  <si>
    <t>10.1088/1748-0221/17/03/P03007</t>
  </si>
  <si>
    <t>Instruments &amp; Instrumentation</t>
  </si>
  <si>
    <t>0C0IT</t>
  </si>
  <si>
    <t>WOS:000775007900006</t>
  </si>
  <si>
    <t>Dorrell, RG; Kuo, A; Füssy, Z; Richardson, EH; Salamov, A; Zarevski, N; Freyria, NJ; Ibarbalz, FM; Jenkins, J; Karlusich, JJP; Steindorff, AS; Edgar, RE; Handley, L; Lail, K; Lipzen, A; Lombard, V; McFarlane, J; Nef, C; Vanclová, AMGN; Peng, Y; Plott, C; Potvin, M; Vieira, FRJ; Barry, K; de Vargas, C; Henrissat, B; Pelletier, E; Schmutz, J; Wincker, P; Dacks, JB; Bowler, C; Grigoriev, IV; Lovejoy, C</t>
  </si>
  <si>
    <t>Dorrell, Richard G.; Kuo, Alan; Fussy, Zoltan; Richardson, Elisabeth H.; Salamov, Asaf; Zarevski, Nikola; Freyria, Nastasia J.; Ibarbalz, Federico M.; Jenkins, Jerry; Karlusich, Juan Jose Pierella; Steindorff, Andrei Stecca; Edgar, Robyn E.; Handley, Lori; Lail, Kathleen; Lipzen, Anna; Lombard, Vincent; McFarlane, John; Nef, Charlotte; Vanclova, Anna M. G. Novak; Peng, Yi; Plott, Chris; Potvin, Marianne; Vieira, Fabio Rocha Jimenez; Barry, Kerrie; de Vargas, Colomban; Henrissat, Bernard; Pelletier, Eric; Schmutz, Jeremy; Wincker, Patrick; Dacks, Joel B.; Bowler, Chris; Grigoriev, Igor, V; Lovejoy, Connie</t>
  </si>
  <si>
    <t>Convergent evolution and horizontal gene transfer in Arctic Ocean microalgae</t>
  </si>
  <si>
    <t>LIFE SCIENCE ALLIANCE</t>
  </si>
  <si>
    <t>ICE-BINDING PROTEINS; SEA-ICE; FRAGILARIOPSIS-CYLINDRUS; GENOME; DIVERSITY; ALIGNMENT; WATER; NOV.; PRASINOPHYCEAE; PHYTOPLANKTON</t>
  </si>
  <si>
    <t>Microbial communities in the world ocean are affected strongly by oceanic circulation, creating characteristic marine biomes. The high connectivity of most of the ocean makes it difficult to dis-entangle selective retention of colonizing genotypes (with traits suited to biome specific conditions) from evolutionary selection, which would act on founder genotypes over time. The Arctic Ocean is exceptional with limited exchange with other oceans and ice covered since the last ice age. To test whether Arctic microalgal lineages evolved apart from algae in the global ocean, we sequenced four lineages of microalgae isolated from Arctic waters and sea ice. Here we show convergent evolution and highlight geographically limited HGT as an ecological adaptive force in the form of PFAM complements and horizontal acquisition of key adaptive genes. Notably, ice-binding proteins were acquired and hori-zontally transferred among Arctic strains. A comparison with Tara Oceans metagenomes and metatranscriptomes confirmed mostly Arctic distributions of these IBPs. The phylogeny of Arctic-specific genes indicated that these events were inde-pendent of bacterial-sourced HGTs in Antarctic Southern Ocean microalgae.</t>
  </si>
  <si>
    <t>[Dorrell, Richard G.; Zarevski, Nikola; Ibarbalz, Federico M.; Karlusich, Juan Jose Pierella; Nef, Charlotte; Vanclova, Anna M. G. Novak; Vieira, Fabio Rocha Jimenez; Bowler, Chris] Univ PSL, Inst Biol ENS, Dept Biol, Ecole Normale Super,CNRS,INSERM, Paris, France; [Dorrell, Richard G.; Zarevski, Nikola; Ibarbalz, Federico M.; Karlusich, Juan Jose Pierella; Nef, Charlotte; Vanclova, Anna M. G. Novak; Vieira, Fabio Rocha Jimenez; de Vargas, Colomban; Pelletier, Eric; Wincker, Patrick; Bowler, Chris] FR2022 Tara Oceans GOSEE, CNRS Res Federat Study Global Ocean Syst Ecol &amp; E, Paris, France; [Kuo, Alan; Salamov, Asaf; Jenkins, Jerry; Steindorff, Andrei Stecca; Lail, Kathleen; Lipzen, Anna; Peng, Yi; Barry, Kerrie; Schmutz, Jeremy; Grigoriev, Igor, V] US DOE, Lawrence Berkeley Natl Lab, Joint Genome Inst, Berkeley, CA USA; [Fussy, Zoltan] Charles Univ Prague, Fac Sci, Dept Parasitol, BIOCEV, Prague, Czech Republic; [Richardson, Elisabeth H.; McFarlane, John; Dacks, Joel B.] Univ Alberta, Dept Med, Div Infect Dis, Edmonton, AB, Canada; [Richardson, Elisabeth H.; McFarlane, John; Dacks, Joel B.] Dept Biol Sci, Edmonton, AB, Canada; [Richardson, Elisabeth H.; McFarlane, John; Dacks, Joel B.] Univ Alberta, Edmonton, AB, Canada; [Freyria, Nastasia J.; Edgar, Robyn E.; Potvin, Marianne; Lovejoy, Connie] Univ Laval, Inst Biol Integrat Syst, Dept Biol, Quebec City, PQ, Canada; [Jenkins, Jerry; Handley, Lori; Plott, Chris; Schmutz, Jeremy] HudsonAlpha Inst Biotechnol, Huntsville, AL USA; [Henrissat, Bernard] Aix Marseille Univ, CNRS, Architecture &amp; Fonct Macromol Biol, Marseille, France; [de Vargas, Colomban] Sorbonne Univ, AD2M, Stn Biol Roscoff, UMR 7144,CNRS, Roscoff, France; [Lombard, Vincent; Henrissat, Bernard] King Abdulaziz Univ, Dept Biol Sci, Jeddah, Saudi Arabia; [Pelletier, Eric; Wincker, Patrick] Univ Evry, Univ Paris Saclay, Commissariat Energie Atom, CNRS,Genom Metab,Genoscope,Inst Biol Francois Jac, Evry, France; [Grigoriev, Igor, V] Univ Calif Berkeley, Dept Plant &amp; Microbial Biol, Berkeley, CA 94720 USA; [Richardson, Elisabeth H.] Mt Royal Univ, Calgary, AB, Canada; [Ibarbalz, Federico M.] Univ Buenos Aires, Ctr Invest Mar &amp; Atmosfera, CONICET, Buenos Aires, DF, Argentina; [Karlusich, Juan Jose Pierella] Harvard Univ, Div Sci, FAS, Cambridge, MA 02138 USA</t>
  </si>
  <si>
    <t>Centre National de la Recherche Scientifique (CNRS); Universite PSL; Ecole Normale Superieure (ENS); Institut National de la Sante et de la Recherche Medicale (Inserm); United States Department of Energy (DOE); Lawrence Berkeley National Laboratory; Joint Genome Institute - JGI; Charles University Prague; University of Alberta; University of Alberta; Laval University; HudsonAlpha Institute for Biotechnology; Aix-Marseille Universite; Centre National de la Recherche Scientifique (CNRS); Sorbonne Universite; Centre National de la Recherche Scientifique (CNRS); CNRS - Institute of Ecology &amp; Environment (INEE); King Abdulaziz University; Communaute Universite Grenoble Alpes; Universite Grenoble Alpes (UGA); Centre National de la Recherche Scientifique (CNRS); Universite Paris Saclay; CEA; Universite Paris Cite; University of California System; University of California Berkeley; Mount Royal University; University of Buenos Aires; Consejo Nacional de Investigaciones Cientificas y Tecnicas (CONICET); Harvard University</t>
  </si>
  <si>
    <t>Lovejoy, C (corresponding author), Univ Laval, Inst Biol Integrat Syst, Dept Biol, Quebec City, PQ, Canada.</t>
  </si>
  <si>
    <t>Connie.Lovejoy@bio.ulaval.ca</t>
  </si>
  <si>
    <t>Füssy, Zoltán/JJF-3987-2023; Dorrell, Richard G/I-8908-2012; Barry, Kerrie Whitelaw/AAA-5500-2020; Nef, Charlotte/AAT-8155-2020; Schmutz, Jeremy/N-3173-2013; Pelletier, Eric/HRA-5772-2023; Steindorff, Andrei Stecca/I-3084-2013; Lovejoy, Connie/A-3756-2008; Freyria, Nastasia Johana/S-7835-2018; Pierella Karlusich, Juan J/AAW-9429-2021</t>
  </si>
  <si>
    <t>Füssy, Zoltán/0000-0002-0820-6359; Barry, Kerrie Whitelaw/0000-0002-8999-6785; Nef, Charlotte/0000-0002-9446-6367; Pelletier, Eric/0000-0003-4228-1712; Steindorff, Andrei Stecca/0000-0002-2052-2848; Pierella Karlusich, Juan J/0000-0003-1739-4424; Freyria, Nastasia/0000-0002-4972-9383; Lipzen, Anna/0000-0003-2293-9329</t>
  </si>
  <si>
    <t>LIFE SCIENCE ALLIANCE LLC</t>
  </si>
  <si>
    <t>COLD SPRING HARBOR</t>
  </si>
  <si>
    <t>1 BUNGTOWN RD, COLD SPRING HARBOR, NY 11724 USA</t>
  </si>
  <si>
    <t>2575-1077</t>
  </si>
  <si>
    <t>LIFE SCI ALLIANCE</t>
  </si>
  <si>
    <t>Life Sci. Alliance</t>
  </si>
  <si>
    <t>e202201833</t>
  </si>
  <si>
    <t>10.26508/lsa.202201833</t>
  </si>
  <si>
    <t>7K8ZP</t>
  </si>
  <si>
    <t>WOS:000905565300001</t>
  </si>
  <si>
    <t>Shakhanova, G; Kratochvíl, P</t>
  </si>
  <si>
    <t>Shakhanova, Gaziza; Kratochvil, Petr</t>
  </si>
  <si>
    <t>The Patriotic Turn in Russia: Political Convergence of the Russian Orthodox Church and the State?</t>
  </si>
  <si>
    <t>POLITICS AND RELIGION</t>
  </si>
  <si>
    <t>RELIGION; POLICY</t>
  </si>
  <si>
    <t>Following two decades of a state-supported patriotic campaign, the Russian Orthodox Church has dramatically increased its presence in the public sphere: in the Armed Forces, in public schools and universities, and even in retirement houses and prisons. The Church's recent activities seem to have no territorial limits: they reach up to the space station Mir and the Russian Antarctic Station, as well as the (Russian) Orthodox believers in 62 states. Using a critical discourse analysis of the speeches of top Church leaders as our main methodological tool, our research explores the Church's policies on patriotism and patriotic education, its re-interpretation of historical memory, and the role of the Church in Russian politics. We try to show that while the Church's agenda and approach to politics are idiosyncratic, the Church has become a key actor with an increasingly important political role.</t>
  </si>
  <si>
    <t>[Shakhanova, Gaziza] Univ Econ Prague, Jan Masaryk Ctr Int Studies, Prague, Czech Republic; [Kratochvil, Petr] Inst Int Relat, Int Relat, Prague, Czech Republic</t>
  </si>
  <si>
    <t>Prague University of Economics &amp; Business; Institute of International Relations - Czech Republic</t>
  </si>
  <si>
    <t>Kratochvíl, P (corresponding author), Inst Int Relat, Nerudova 3, Prague 11000 1, Czech Republic.</t>
  </si>
  <si>
    <t>kratochvil@iir.cz</t>
  </si>
  <si>
    <t>Shakhanova, Gaziza/0000-0002-7436-7097; Kratochvil, Petr/0000-0002-3326-3814</t>
  </si>
  <si>
    <t>research grant Geopolitics of the Catholic Church (Czech Grant Agency) [SGA0201900001, 19-10969S]</t>
  </si>
  <si>
    <t>research grant Geopolitics of the Catholic Church (Czech Grant Agency)</t>
  </si>
  <si>
    <t>The theoretical part and the research design of this article were developed and financed by the research grant Geopolitics of the Catholic Church (Czech Grant Agency, SGA0201900001, contract number 19-10969S), corresponding to Petr Kratochvil's 50% author contribution.</t>
  </si>
  <si>
    <t>1755-0483</t>
  </si>
  <si>
    <t>1755-0491</t>
  </si>
  <si>
    <t>POLIT RELIG</t>
  </si>
  <si>
    <t>Polit. Relig.</t>
  </si>
  <si>
    <t>10.1017/S1755048320000620</t>
  </si>
  <si>
    <t>Political Science; Religion</t>
  </si>
  <si>
    <t>Social Science Citation Index (SSCI); Arts &amp; Humanities Citation Index (A&amp;HCI)</t>
  </si>
  <si>
    <t>Government &amp; Law; Religion</t>
  </si>
  <si>
    <t>7A7BZ</t>
  </si>
  <si>
    <t>WOS:000898608100005</t>
  </si>
  <si>
    <t>Tian, WS</t>
  </si>
  <si>
    <t>Tian, Wenshou</t>
  </si>
  <si>
    <t>A commentary of Antarctic ozone layer is gradually recovering in 10 remarkable discoveries from 2020 in Nature</t>
  </si>
  <si>
    <t>FUNDAMENTAL RESEARCH</t>
  </si>
  <si>
    <t>In the mid-1980s, scientists discovered a spring atmospheric ozone hole over Antarctica, revealing the threat of human-made ozone-depleting substances to the atmosphere. The Antarctic ozone hole located 10 to 20 km above sea level, also affects the circulation of the atmosphere in the southern hemisphere, which in turn affects the global climate. One of its most noticeable effects is that the westerly jet in summer begins to move to the poles. The westerly jet is a planetary-scale atmospheric circulation phenomenon; there are several jet zones on the Earth. The 1987 Montreal Protocol and its subsequent amendments banned the production and use of ozone-depleting substances. Therefore, the concentration of ozone-depleting substances in the atmosphere is declining, and the ozone layer has shown preliminary signs of recovery. The study by Banerjee et al. pointed out that ozone hole-related effects on circulation and climate have ceased since the ozone layer began to recover [1]. While others had noticed this trend of cessation of ozone hole effects before, Banerjee and others officially attributed it to the impact of the Montreal Protocol for the first time.</t>
  </si>
  <si>
    <t>[Tian, Wenshou] Lanzhou Univ, Coll Atmospher Sci, Lanzhou 730000, Peoples R China</t>
  </si>
  <si>
    <t>Lanzhou University</t>
  </si>
  <si>
    <t>Tian, WS (corresponding author), Lanzhou Univ, Coll Atmospher Sci, Lanzhou 730000, Peoples R China.</t>
  </si>
  <si>
    <t>wstian@lzu.edu.cn</t>
  </si>
  <si>
    <t>2096-9457</t>
  </si>
  <si>
    <t>2667-3258</t>
  </si>
  <si>
    <t>FUND RES-CHINA</t>
  </si>
  <si>
    <t>Fundamental Res.</t>
  </si>
  <si>
    <t>10.1016/j.fmre.2022.01.012</t>
  </si>
  <si>
    <t>4P5AM</t>
  </si>
  <si>
    <t>WOS:000855406500001</t>
  </si>
  <si>
    <t>Chung, J; Tong, GC; Chao, JY; Zhu, W</t>
  </si>
  <si>
    <t>Chung, Jean; Tong, Guanchao; Chao, Jiayou; Zhu, Wei</t>
  </si>
  <si>
    <t>Path Analysis of Sea-Level Rise and Its Impact</t>
  </si>
  <si>
    <t>STATS</t>
  </si>
  <si>
    <t>unified (dynamic) structural equation model; generalized additive model; vector autoregression model; global mean sea level</t>
  </si>
  <si>
    <t>TEMPERATURE</t>
  </si>
  <si>
    <t>Global sea-level rise has been drawing increasingly greater attention in recent years, as it directly impacts the livelihood and sustainable development of humankind. Our research focuses on identifying causal factors and pathways on sea level changes (both global and regional) and subsequently predicting the magnitude of such changes. To this end, we have designed a novel analysis pipeline including three sequential steps: (1) a dynamic structural equation model (dSEM) to identify pathways between the global mean sea level (GMSL) and various predictors, (2) a vector autoregression model (VAR) to quantify the GMSL changes due to the significant relations identified in the first step, and (3) a generalized additive model (GAM) to model the relationship between regional sea level and GMSL. Historical records of GMSL and other variables from 1992 to 2020 were used to calibrate the analysis pipeline. Our results indicate that greenhouse gases, water, and air temperatures, change in Antarctic and Greenland Ice Sheet mass, sea ice, and historical sea level all play a significant role in future sea-level rise. The resulting 95% upper bound of the sea-level projections was combined with a threshold for extreme flooding to map out the extent of sea-level rise in coastal communities using a digital coastal tracker.</t>
  </si>
  <si>
    <t>[Chung, Jean; Tong, Guanchao; Chao, Jiayou; Zhu, Wei] SUNY Stony Brook, Dept Appl Math &amp; Stat, Stony Brook, NY 11794 USA</t>
  </si>
  <si>
    <t>Zhu, W (corresponding author), SUNY Stony Brook, Dept Appl Math &amp; Stat, Stony Brook, NY 11794 USA.</t>
  </si>
  <si>
    <t>chungg64@gmail.com; guanchao.tong@stonybrook.edu; jiayou.chao@stonybrook.edu; Wei.Zhu@stonybrook.edu</t>
  </si>
  <si>
    <t>Tong, Guanchao/0000-0002-3503-2745; Chung, Jean/0000-0002-5948-6696; Chao, Jiayou/0000-0003-4410-5309</t>
  </si>
  <si>
    <t>2571-905X</t>
  </si>
  <si>
    <t>STATS-BASEL</t>
  </si>
  <si>
    <t>Stats</t>
  </si>
  <si>
    <t>10.3390/stats5010002</t>
  </si>
  <si>
    <t>Mathematics, Interdisciplinary Applications; Statistics &amp; Probability</t>
  </si>
  <si>
    <t>3O4XB</t>
  </si>
  <si>
    <t>WOS:000836841400001</t>
  </si>
  <si>
    <t>Ivanova, NS; Kunetsova, IN; Lezina, EA</t>
  </si>
  <si>
    <t>Ivanova, N. S.; Kunetsova, I. N.; Lezina, E. A.</t>
  </si>
  <si>
    <t>Ozone Content over the Russian Federation in 2021</t>
  </si>
  <si>
    <t>total ozone monitoring in CIS; total ozone anomaly in the fourth quarter of 2021 and for the whole year; Antarctic ozone hole; surface ozone volues</t>
  </si>
  <si>
    <t>The review is compiled based the results obtained in Russia and neighboring countries by the total ozone (TO) monitoring system run in the operational mode at the Central Aerological Observatory (CAO). The monitoring system uses data of the domestic M-124 filter ozonometer network methodologically guided by the Main Geophysical Observatory. The entire system performance is operationally controlled using the OMI satellite equipment observations (NASA, USA). Basic TO observational data are generalized for each month of the fourth quarter of 2021, for the fourth quarter, and for the whole year. Data of routine observations of surface ozone in the Moscow region are also presented.</t>
  </si>
  <si>
    <t>[Ivanova, N. S.] Cent Aerol Observ, Ul Pervomaiskaya 3, Dolgoprudnyi 141700, Moscow Oblast, Russia; [Kunetsova, I. N.] Hydrometeorol Res Ctr Russian Federat, Bolshoi Predtechenskii Per 11-13, Moscow 123242, Russia; [Lezina, E. A.] Mosekomonitoring, Ul Novyi Arbat 11 Str 1, Moscow 119019, Russia</t>
  </si>
  <si>
    <t>Ivanova, NS (corresponding author), Cent Aerol Observ, Ul Pervomaiskaya 3, Dolgoprudnyi 141700, Moscow Oblast, Russia.</t>
  </si>
  <si>
    <t>oom@cao-rhms.ru</t>
  </si>
  <si>
    <t>[169-00032-22-00]; [169-00039-22-01]</t>
  </si>
  <si>
    <t>The present review was performed in the framework of the Governmental Assignment themes 169-00032-22-00 (Central Aerological Observatory) and 169-00039-22-01 (Hydrometcentar of Russia).</t>
  </si>
  <si>
    <t>10.3103/S1068373922030104</t>
  </si>
  <si>
    <t>2O1FA</t>
  </si>
  <si>
    <t>WOS:000818811300010</t>
  </si>
  <si>
    <t>Martineau, C; Langlois, A; Gouttevin, I; Neave, E; Johnson, CA</t>
  </si>
  <si>
    <t>Martineau, Chloe; Langlois, Alexandre; Gouttevin, Isabelle; Neave, Erin; Johnson, Cheryl A.</t>
  </si>
  <si>
    <t>Improving Peary Caribou Presence Predictions in MaxEnt Using Spatialized Snow Simulations</t>
  </si>
  <si>
    <t>ARCTIC</t>
  </si>
  <si>
    <t>Arctic; climate change; MaxEnt; Peary caribou; rain-on-snow; snow density; snow depth; locked pastures; SNOWPACK; species distribution modelling</t>
  </si>
  <si>
    <t>CANADIAN ARCTIC ARCHIPELAGO; RANGIFER-TARANDUS; SPECIES DISTRIBUTIONS; HABITAT SELECTION; LAYER FORMATION; ICE; IMPACTS; CLIMATE; TUNDRA; MODEL</t>
  </si>
  <si>
    <t>The Arctic has warmed at twice the global average over recent decades, which has led to a reduction in the spatial extent and mass balance of snow. The increase in occurrence of winter extreme events such as rain-on-snow, blizzards, and heat waves has a significant impact on snow thickness and density. Dense snowpack conditions can decrease or completely prevent foraging by Peary caribou (Rangifer tarandus pearyi) by creating locked pastures, a situation where forage is present but not accessible under snow or ice. Prolonged and severe weather events have been linked to poor body condition, malnutrition, high adult mortality, calf losses, and major population die-offs in Peary caribou. Previous work has established the link between declines in Peary caribou numbers in the Canadian Arctic Archipelago and snow conditions, however these efforts have been limited by the quality and resolution of data describing snow physical properties in the Arctic. Here, we 1) investigate whether a snow model adapted for the Antarctic (SNOWPACK) can produce snow simulations relevant to Canadian High Arctic conditions, and 2) test snow model outputs to determine their utility in predicting Peary caribou occurrence with MaxEnt modelling software. We model Peary caribou occurrence across three seasons: July -October (summer forage and rut), November-March (fall movement and winter forage), and April -June (spring movement and calving). Results of snow simulations using the Antarctic SNOWPACK model demonstrated that both top and bottom density values were greatly improved when compared to simulations using the original version developed for alpine conditions. Results were also more consistent with field measurements using the Antarctic model, though it underestimated the top layer density compared to on-site measurements. Modelled outputs including snow depth and CT350 (cumulative thickness of snow layers surpassing the critical density value of 350 kg.m(-3); a density threshold relevant to caribou) proved to be important predictors of Peary caribou space use in each of the top seasonal models along with vegetation and elevation. All seasonal models were robust in that they were able to predict reasonably well the occurrence of Peary caribou outside the period used to develop the models. This work highlights the need for continued monitoring of snow conditions with climate change to understand potential impacts to the species' distribution.</t>
  </si>
  <si>
    <t>[Martineau, Chloe; Langlois, Alexandre; Johnson, Cheryl A.] Univ Sherbrooke, 2500 Blvd Univ, Sherbrooke, PQ J1K 2R1, Canada; [Martineau, Chloe; Langlois, Alexandre] Univ Laval, Ctr Etud Nordiques, 2405 Rue Terrasse,Local 1202, Laval, PQ G1V 0A6, Canada; [Gouttevin, Isabelle] Univ Grenoble Alpes, Univ Toulouse, Meteo France, CNRS,CNRM Ctr Etud Neige, Grenoble, France; [Gouttevin, Isabelle] Ctr Etud Neige, 1441 Rue Piscine, F-38400 St Martin Dheres, France; [Neave, Erin; Johnson, Cheryl A.] Environm &amp; Climate Change Canada, Sci &amp; Technol, 1125 Colonel By Dr, Ottawa, ON K1A 0H3, Canada</t>
  </si>
  <si>
    <t>University of Sherbrooke; Laval University; Meteo France; Communaute Universite Grenoble Alpes; Universite Grenoble Alpes (UGA); Centre National de la Recherche Scientifique (CNRS); Environment &amp; Climate Change Canada</t>
  </si>
  <si>
    <t>Langlois, A (corresponding author), Univ Sherbrooke, 2500 Blvd Univ, Sherbrooke, PQ J1K 2R1, Canada.;Langlois, A (corresponding author), Univ Laval, Ctr Etud Nordiques, 2405 Rue Terrasse,Local 1202, Laval, PQ G1V 0A6, Canada.</t>
  </si>
  <si>
    <t>a.langlois2@usherbrooke.ca</t>
  </si>
  <si>
    <t>Environment and Climate Change Canada; Polar Knowledge Canada; Fonds de recherche du Qubec - Nature et Technologies; Natural Sciences and Engineering Research Council of Canada; Centre d'Etudes Nordiques</t>
  </si>
  <si>
    <t>Environment and Climate Change Canada; Polar Knowledge Canada; Fonds de recherche du Qubec - Nature et Technologies; Natural Sciences and Engineering Research Council of Canada(Natural Sciences and Engineering Research Council of Canada (NSERC)CGIAR); Centre d'Etudes Nordiques</t>
  </si>
  <si>
    <t>The work in this paper was funded through Environment and Climate Change Canada, Polar Knowledge Canada, Fonds de recherche du Qu?bec - Nature et Technologies, and the Natural Sciences and Engineering Research Council of Canada. We are extremely grateful to Morgan Anderson from the Government of Nunavut who encouraged the work and provided the GPS data used in this paper. The authors would like to thank F?lix Ouellet and Jean-Benoit Madore for tremendous support working with the simulations. Special thanks to the administrative staff of the Institut national de recherche en sciences et technologies pour l?environnement et l?agriculture in Lyon, France for making a two-month internship possible for the first author and to the Centre d??tudes Nordiques for scholarships throughout the research.</t>
  </si>
  <si>
    <t>ARCTIC INST N AMER</t>
  </si>
  <si>
    <t>CALGARY</t>
  </si>
  <si>
    <t>UNIV OF CALGARY 2500 UNIVERSITY DRIVE NW 11TH FLOOR LIBRARY TOWER, CALGARY, ALBERTA T2N 1N4, CANADA</t>
  </si>
  <si>
    <t>0004-0843</t>
  </si>
  <si>
    <t>1923-1245</t>
  </si>
  <si>
    <t>Arctic</t>
  </si>
  <si>
    <t>10.14430/arctic74868</t>
  </si>
  <si>
    <t>Environmental Sciences; Geography, Physical</t>
  </si>
  <si>
    <t>2G9QA</t>
  </si>
  <si>
    <t>WOS:000813934500003</t>
  </si>
  <si>
    <t>Lu, Y; Li, YL; Duan, J; Lin, PF; Wang, F</t>
  </si>
  <si>
    <t>Lu, Ying; Li, Yuanlong; Duan, Jing; Lin, Pengfei; Wang, Fan</t>
  </si>
  <si>
    <t>Multidecadal Sea Level Rise in the Southeast Indian Ocean: The Role of Ocean Salinity Change</t>
  </si>
  <si>
    <t>Indian Ocean; Sea level; Salinity; Multidecadal variability</t>
  </si>
  <si>
    <t>ANTARCTIC MODE WATER; INDONESIAN THROUGHFLOW; TROPICAL PACIFIC; DECADAL CHANGES; CLIMATE-CHANGE; HEAT-CONTENT; VARIABILITY; TEMPERATURE; INTENSIFICATION; CIRCULATION</t>
  </si>
  <si>
    <t>Regional sea level rise in the southeast Indian Ocean (SEIO) exerts growing threats to the surrounding Australian and Indonesian coasts, but the mechanisms of sea level rise have not been firmly established. By analyzing observational datasets and model results, this study investigates multidecadal steric sea level (SSL) rise of the SEIO since the mid-twentieth century, underscoring a significant role of ocean salinity change. The average SSL rising rate from 1960 through 2018 was 7.4 +/- 2.4 mm decade(-1), and contributions of the halosteric and thermosteric components were similar to 42% and similar to 58%, respectively. The notable salinity effect arises primarily from a persistent subsurface freshening trend at 400-1000 m. Further insights are gained through the decomposition of temperature and salinity changes into the heaving (vertical displacements of isopycnal surfaces) and spicing (density-compensated temperature and salinity change) modes. The subsurface freshening trend since 1960 is mainly attributed to the spicing mode, reflecting property modifications of the Subantarctic Mode Water (SAMW) and Antarctic Intermediate Water (AAIW) in the southern Indian Ocean. Also noteworthy is a dramatic acceleration of SSL rise (20.3 +/- 7.0 mm decade(-1)) since similar to 1990, which was predominantly induced by the thermosteric component (16.3 +/- 5.5 mm decade(-1)) associated with the heaving mode. Enhanced Ekman downwelling by surface winds and radiation forcing linked to global greenhouse gas warming mutually caused the depression of isopycnal surfaces, leading to the accelerated SSL rise through thermosteric effect. This study highlights the complexity of regional sea level rise in a rapidly changing climate, in which the role of ocean salinity is vital and time-varying.</t>
  </si>
  <si>
    <t>[Lu, Ying; Li, Yuanlong; Duan, Jing; Wang, Fan] Chinese Acad Sci, Inst Oceanol &amp; Ctr Ocean Megasci, Key Lab Ocean Circulat &amp; Waves, CAS, Qingdao, Peoples R China; [Lu, Ying; Wang, Fan] Univ Chinese Acad Sci, Beijing, Peoples R China; [Li, Yuanlong; Duan, Jing; Wang, Fan] Qingdao Natl Lab Marine Sci &amp; Technol, Funct Lab Ocean Dynam &amp; Climate, Qingdao, Peoples R China; [Li, Yuanlong] Chinese Acad Sci, Ctr Excellence Quaternary Sci &amp; Global Change, Xian, Peoples R China; [Lin, Pengfei] Chinese Acad Sci, Inst Atmospher Phys, LASG, Beijing, Peoples R China</t>
  </si>
  <si>
    <t>Chinese Academy of Sciences; Chinese Academy of Sciences; University of Chinese Academy of Sciences, CAS; Laoshan Laboratory; Chinese Academy of Sciences; Chinese Academy of Sciences; Institute of Atmospheric Physics, CAS</t>
  </si>
  <si>
    <t>Li, YL (corresponding author), Chinese Acad Sci, Inst Oceanol &amp; Ctr Ocean Megasci, Key Lab Ocean Circulat &amp; Waves, CAS, Qingdao, Peoples R China.;Li, YL (corresponding author), Qingdao Natl Lab Marine Sci &amp; Technol, Funct Lab Ocean Dynam &amp; Climate, Qingdao, Peoples R China.;Li, YL (corresponding author), Chinese Acad Sci, Ctr Excellence Quaternary Sci &amp; Global Change, Xian, Peoples R China.</t>
  </si>
  <si>
    <t>liyuanlong@qdio.ac.cn</t>
  </si>
  <si>
    <t>Li, Yuanlong/AES-6061-2022; Lin, Pengfei/AAJ-5379-2020; Liu, Xiangyan/JTV-4868-2023; Wang, Fan/J-5119-2012</t>
  </si>
  <si>
    <t>Li, Yuanlong/0000-0002-7239-5756; Lin, Pengfei/0000-0003-2361-0066; Wang, Fan/0000-0001-5932-7567</t>
  </si>
  <si>
    <t>Strategic Priority Research Program of Chinese Academy of Sciences [XDB40000000]; National Natural Science Foundation of China (NSFC) [41806001, 41976026]; Shandong Provincial Natural Science Foundation [ZR2020JQ17]; National Key R&amp;D Program of China [2019YFA0606702]; Key Deployment Project of CAS Centre for Ocean MegaScience [COMS2019Q07]</t>
  </si>
  <si>
    <t>Strategic Priority Research Program of Chinese Academy of Sciences(Chinese Academy of Sciences); National Natural Science Foundation of China (NSFC)(National Natural Science Foundation of China (NSFC)); Shandong Provincial Natural Science Foundation(Natural Science Foundation of Shandong Province); National Key R&amp;D Program of China; Key Deployment Project of CAS Centre for Ocean MegaScience</t>
  </si>
  <si>
    <t>Comments from three anonymous reviewers are gratefully appreciated. This research is jointly supported by the Strategic Priority Research Program of Chinese Academy of Sciences (Grant XDB40000000), the National Natural Science Foundation of China (NSFC) Grant 41806001 and 41976026, the Shandong Provincial Natural Science Foundation (ZR2020JQ17), the National Key R&amp;D Program of China (2019YFA0606702), and the Key Deployment Project of CAS Centre for Ocean MegaScience (COMS2019Q07). IAP data are provided by the Chinese Academy of Sciences and can be found on Lijing Cheng's website (http://www.ocean.iap.ac.cn/).NCEI data are provided by the National Oceanic and Atmospheric Administration and can be downloaded from https://www.nodc.noaa.gov/.EN4 and Ishii are obtained from https://www.metoffice.gov.uk/hadobs/en4/download-en4-2-1.html and https://www.data.jma.go.jp/gmd/kaiyou/english/ohc/ohc_ global_en.html. The AVISO altimeter products are obtained from the Copernicus Marine Environment Monitoring Service (CEMES), which was previously provided by CLS/Archiving, Validation and Interpretation of Satellite Oceanographic data and can be downloaded from http://www.aviso.altimetry.fr/duacs/.The Argo data are collected from http://www.argo.ucsd.edu and http://argo.jcommops.org.ORA-S4 are downloaded from http://apdrc.soest.hawaii.edu/datadoc/ecmwf_oras4.php.SODA2.2.4 data are provided by jointly the Texas A&amp;M University and University of Maryland and the Laboratory of Atmospheric Sciences and downloaded from https://iridl.ldeo.columbia.edu/.GECCO2 data are downloaded from https://icdc.cen.uni-hamburg.de/en/gecco2.html.ERA-Interim, ERA-20C, and ERA-40 data are downloaded from ECMWF interface website https://apps.ecmwf.int/datasets/.NOAA-20CR and NCEP-NCAR are obtained from NOAA's PSD website https://www.esrl.noaa.gov/psd/data/gridded/.</t>
  </si>
  <si>
    <t>10.1175/JCLI-D-21-0288.1</t>
  </si>
  <si>
    <t>1L3MZ</t>
  </si>
  <si>
    <t>WOS:000799197000006</t>
  </si>
  <si>
    <t>Zhang, LP; Delworth, TL; Kapnick, S; He, J; Cooke, W; Wittenberg, AT; Johnson, NC; Rosati, A; Yang, XS; Lu, FY; Bushuk, M; McHugh, C; Murakami, H; Zeng, FR; Jia, LW; Tseng, KC; Morioka, Y</t>
  </si>
  <si>
    <t>Zhang, Liping; Delworth, Thomas L.; Kapnick, Sarah; He, Jie; Cooke, William; Wittenberg, Andrew T.; Johnson, Nathaniel C.; Rosati, Anthony; Yang, Xiaosong; Lu, Feiyu; Bushuk, Mitchell; McHugh, Colleen; Murakami, Hiroyuki; Zeng, Fanrong; Jia, Liwei; Tseng, Kai-Chih; Morioka, Yushi</t>
  </si>
  <si>
    <t>Roles of Meridional Overturning in Subpolar Southern Ocean SST Trends: Insights from Ensemble Simulations</t>
  </si>
  <si>
    <t>Climate variability; Southern Ocean</t>
  </si>
  <si>
    <t>ANTARCTIC SEA-ICE; GFDL GLOBAL ATMOSPHERE; FRESH-WATER; CLIMATE; HEAT; CIRCULATION; CONVECTION; DRIVEN; VARIABILITY; SENSITIVITY</t>
  </si>
  <si>
    <t>One of the most puzzling observed features of recent climate has been a multidecadal surface cooling trend over the subpolar Southern Ocean (SO). In this study we use large ensembles of simulations with multiple climate models to study the role of the SO meridional overturning circulation (MOC) in these sea surface temperature (SST) trends. We find that multiple competing processes play prominent roles, consistent with multiple mechanisms proposed in the literature for the observed cooling. Early in the simulations (twentieth century and early twenty-first century) internal variability of the MOC can have a large impact, in part due to substantial simulated multidecadal variability of the MOC. Ensemble members with initially strong convection (and related surface warming due to convective mixing of subsurface warmth to the surface) tend to subsequently cool at the surface as convection associated with internal variability weakens. A second process occurs in the late-twentieth and twenty-first centuries, as weakening of oceanic convection associated with global warming and high-latitude freshening can contribute to the surface cooling trend by suppressing convection and associated vertical mixing of subsurface heat. As the simulations progress, the multidecadal SO variability is suppressed due to forced changes in the mean state and increased oceanic stratification. As a third process, the shallower mixed layers can then rapidly warm due to increasing forcing from greenhouse gas warming. Also, during this period the ensemble spread of SO SST trend partly arises from the spread of the wind-driven Deacon cell strength. Thus, different processes could conceivably have led to the observed cooling trend, consistent with the range of possibilities presented in the literature. To better understand the causes of the observed trend, it is important to better understand the characteristics of internal low-frequency variability in the SO and the response of that variability to global warming.</t>
  </si>
  <si>
    <t>[Zhang, Liping; Delworth, Thomas L.; Kapnick, Sarah; Cooke, William; Wittenberg, Andrew T.; Johnson, Nathaniel C.; Rosati, Anthony; Yang, Xiaosong; Lu, Feiyu; Bushuk, Mitchell; Murakami, Hiroyuki; Zeng, Fanrong; Jia, Liwei; Tseng, Kai-Chih] NOAA, Geophys Fluid Dynam Lab, Princeton, NJ 08540 USA; [Zhang, Liping; Rosati, Anthony; Bushuk, Mitchell; Murakami, Hiroyuki; Jia, Liwei] Univ Corp Atmospher Res, Boulder, CO 80307 USA; [He, Jie] Georgia Inst Technol, Sch Earth &amp; Atmospher Sci, Atlanta, GA 30332 USA; [Lu, Feiyu; Tseng, Kai-Chih] Princeton Univ, Program Atmospher &amp; Ocean Sci, Princeton, NJ 08544 USA; [McHugh, Colleen] Sci Applicat Int Corp SAIC, Reston, VA USA; [Morioka, Yushi] JAMSTEC, Applicat Lab, Res Inst Value Added Informat Generat VAiG, Yokohama, Kanagawa, Japan</t>
  </si>
  <si>
    <t>National Oceanic Atmospheric Admin (NOAA) - USA; National Center Atmospheric Research (NCAR) - USA; University System of Georgia; Georgia Institute of Technology; Princeton University; National Oceanic Atmospheric Admin (NOAA) - USA; Science Applications International Corporation (SAIC); Japan Agency for Marine-Earth Science &amp; Technology (JAMSTEC)</t>
  </si>
  <si>
    <t>Zhang, LP (corresponding author), NOAA, Geophys Fluid Dynam Lab, Princeton, NJ 08540 USA.;Zhang, LP (corresponding author), Univ Corp Atmospher Res, Boulder, CO 80307 USA.</t>
  </si>
  <si>
    <t>liping.zhang@noaa.gov</t>
  </si>
  <si>
    <t>Bushuk, Mitch/L-7032-2015; Delworth, Thomas L/C-5191-2014; Yang, Xiaosong/C-7260-2009; Morioka, Yushi/G-3431-2014; Li, Jiaxi/HTS-3430-2023; wang, yue/KDO-9209-2024; Johnson, Nathaniel C/L-8045-2015; Wittenberg, Andrew T/G-9619-2013; Zhang, Liping/L-6480-2015; He, Jie/Z-1185-2018</t>
  </si>
  <si>
    <t>Morioka, Yushi/0000-0002-2709-4911; Li, Jiaxi/0000-0002-8197-8590; Wittenberg, Andrew T/0000-0003-1680-8963; Zhang, Liping/0000-0003-1122-8927; He, Jie/0000-0001-8595-3852</t>
  </si>
  <si>
    <t>NOAA's Geophysical Fluid Dynamics Laboratory (GFDL); University Corporation for Atmospheric Research (UCAR); Princeton University - NOAA/GFDL</t>
  </si>
  <si>
    <t>NOAA's Geophysical Fluid Dynamics Laboratory (GFDL)(National Oceanic Atmospheric Admin (NOAA) - USA); University Corporation for Atmospheric Research (UCAR); Princeton University - NOAA/GFDL</t>
  </si>
  <si>
    <t>We are grateful to Pu Lin and Matthew Harrison, who provided extremely insightful and valuable feedback and suggestions, for their constructive comments on an early version of the paper. This work is supported as a base activity of NOAA's Geophysical Fluid Dynamics Laboratory (GFDL) and supported by University Corporation for Atmospheric Research (UCAR) and Princeton University under block funding from NOAA/GFDL.</t>
  </si>
  <si>
    <t>10.1175/JCLI-D-21-0466.1</t>
  </si>
  <si>
    <t>WOS:000799197000011</t>
  </si>
  <si>
    <t>Huneke, WGC; Morrison, AK; Hogg, AM</t>
  </si>
  <si>
    <t>Huneke, Wilma G. C.; Morrison, Adele K.; Hogg, Andrew McC.</t>
  </si>
  <si>
    <t>Spatial and Subannual Variability of the Antarctic Slope Current in an Eddying Ocean-Sea Ice Model</t>
  </si>
  <si>
    <t>Ocean; Antarctica; Ocean circulation; Ocean models; Seasonal variability</t>
  </si>
  <si>
    <t>CIRCUMPOLAR DEEP-WATER; BASAL MELT; SEASONAL VARIABILITY; SHELF; CIRCULATION; TRANSPORT</t>
  </si>
  <si>
    <t>The Antarctic Slope Current (ASC) circumnavigates the Antarctic continent following the continental slope and separating the waters on the continental shelf from the deeper offshore Southern Ocean. Water mass exchanges across the continental slope are critical for the global climate as they impact the global overturning circulation and the mass balance of the Antarctic ice sheet via basal melting. Despite the ASC's global importance, little is known about its spatial and subannual variability, as direct measurements of the velocity field are sparse. Here, we describe the ASC in a global eddying ocean-sea ice model and reveal its large-scale spatial variability by characterizing the continental slope using three regimes: the surface-intensified ASC, the bottom-intensified ASC, and the reversed ASC. Each ASC regime corresponds to a distinct classification of the density field as previously introduced in the literature, suggesting that the velocity and density fields are governed by the same leading-order dynamics around the Antarctic continental slope. Only the surface-intensified ASC regime has a strong seasonality. However, large temporal variability at a range of other time scales occurs across all regimes, including frequent reversals of the current. We anticipate our description of the ASC's spatial and subannual variability will be helpful to guide future studies of the ASC aiming to advance our understanding of the region's response to a changing climate.</t>
  </si>
  <si>
    <t>[Huneke, Wilma G. C.; Morrison, Adele K.; Hogg, Andrew McC.] Australian Natl Univ, Res Sch Earth Sci, Canberra, Australia; [Morrison, Adele K.] Australian Natl Univ, Australian Ctr Excellence Antarctic Sci, Canberra, Australia; [Hogg, Andrew McC.] Australian Natl Univ, ARC Ctr Excellence Climate Extremes, Canberra, Australia</t>
  </si>
  <si>
    <t>Australian National University; Australian National University; Australian National University</t>
  </si>
  <si>
    <t>Huneke, WGC (corresponding author), Australian Natl Univ, Res Sch Earth Sci, Canberra, Australia.</t>
  </si>
  <si>
    <t>wilma.huneke@anu.edu.au</t>
  </si>
  <si>
    <t>Hogg, Andy McC./A-7553-2011; Huneke, Wilma/GSE-1332-2022; Morrison, Adele K/C-1774-2012</t>
  </si>
  <si>
    <t>Hogg, Andy McC./0000-0001-5898-7635; Huneke, Wilma/0000-0001-8624-365X;</t>
  </si>
  <si>
    <t>Australian Commonwealth Government; ARC Discovery Project [DP190100494]; Australian Research Council DECRA Fellowship [DE170100184]; Australian Research Council [DE170100184] Funding Source: Australian Research Council</t>
  </si>
  <si>
    <t>Australian Commonwealth Government(Australian Government); ARC Discovery Project(Australian Research Council); Australian Research Council DECRA Fellowship(Australian Research Council); Australian Research Council(Australian Research Council)</t>
  </si>
  <si>
    <t>This research was undertaken on the National Computational Infrastructure (NCI) in Canberra, Australia, which is supported by the Australian Commonwealth Government. All authors were supported by the ARC Discovery Project DP190100494. AKM was supported by an Australian Research Council DECRA Fellowship DE170100184. We thank the COSIMA consortium (http://cosima.org.au) for technical support and the development of the ACCESS-OM2-01 model configuration used.</t>
  </si>
  <si>
    <t>10.1175/JPO-D-21-0143.1</t>
  </si>
  <si>
    <t>1L9FB</t>
  </si>
  <si>
    <t>WOS:000799585300001</t>
  </si>
  <si>
    <t>Keller, LM; Maloney, KJ; Lazzara, MA; Mikolajczyk, DE; Di Battista, S</t>
  </si>
  <si>
    <t>Keller, Linda M.; Maloney, Kathryn J.; Lazzara, Matthew A.; Mikolajczyk, David E.; Di Battista, Stefano</t>
  </si>
  <si>
    <t>An Investigation of Extreme Cold Events at the South Pole</t>
  </si>
  <si>
    <t>Atmosphere; Antarctica; Climatology; Climate records; Climate variability</t>
  </si>
  <si>
    <t>SEA-SURFACE TEMPERATURE; SEMIANNUAL OSCILLATION; ANTARCTIC CLIMATE; VARIABILITY; HEMISPHERE; CIRCULATION; IMPACTS; STATION; TRENDS; SHIFT</t>
  </si>
  <si>
    <t>From 5 July to 11 September 2012, the Amundsen-Scott South Pole station experienced an unprecedented 78 days in a row with a maximum temperature at or below -50 degrees C. Aircraft and ground-based activity cannot function without risk below this temperature. Lengthy periods of extreme cold temperatures are characterized by a drop in pressure of around 15 hPa over 4 days, accompanied by winds from grid east. Periodic influxes of warm air from the Weddell Sea raise the temperature as the wind shifts to grid north. The end of the event occurs when the temperature increase is enough to move past the -50 degrees C threshold. This study also examines the length of extreme cold periods. The number of days below -50 degrees C in early winter has been decreasing since 1999, and this trend is statistically significant at the 5% level. Late winter shows an increase in the number of days below -50 degrees C for the same period, but this trend is not statistically significant. Changes in the southern annular mode, El Nino-Southern Oscillation, and the interdecadal Pacific oscillation/tripole index are investigated in relation to the initiation of extreme cold events. None of the correlations are statistically significant. A positive southern annular mode and a La Nina event or a central Pacific El Nino-Southern Oscillation pattern would position the upper-level circulation to favor a strong, symmetrical polar vortex with strong westerlies over the Southern Ocean, leading to a cold pattern over the South Pole.</t>
  </si>
  <si>
    <t>[Keller, Linda M.; Maloney, Kathryn J.; Lazzara, Matthew A.; Mikolajczyk, David E.] Univ Wisconsin, Antarctic Meteorol Res Ctr, Space Sci &amp; Engn Ctr, Madison, WI 53705 USA; [Lazzara, Matthew A.] Madison Area Tech Coll, Dept Phys Sci, Sch Engn Sci &amp; Math, Madison, WI USA; [Di Battista, Stefano] Meteogiornale, Milan, Italy</t>
  </si>
  <si>
    <t>University of Wisconsin System; University of Wisconsin Madison</t>
  </si>
  <si>
    <t>Keller, LM (corresponding author), Univ Wisconsin, Antarctic Meteorol Res Ctr, Space Sci &amp; Engn Ctr, Madison, WI 53705 USA.</t>
  </si>
  <si>
    <t>lmkeller@wisc.edu</t>
  </si>
  <si>
    <t>Lazzara, Matthew/0000-0002-4343-498X; Di Battista, Stefano/0000-0001-8653-4318; Mikolajczyk, David/0000-0001-7931-5504</t>
  </si>
  <si>
    <t>National Science Foundation [1141908, 1245663, 1543305, 1924730]</t>
  </si>
  <si>
    <t>This material as well as the AWS data are based upon work supported by the National Science Foundation under 1141908, 1245663, 1543305, and 1924730. The authors appreciate the comments and suggestions from Dr. William Neff and two anonymous reviewers that made this a better report. Special thanks to Dr. Jonathan Martin for his comments and to Dr. Sam Batzli for the Antarctic map. Additional thanks go to Elena Sarasino and Carol Costanza for their assistance.</t>
  </si>
  <si>
    <t>10.1175/JCLI-D-21-0404.1</t>
  </si>
  <si>
    <t>1L3OI</t>
  </si>
  <si>
    <t>WOS:000799200700004</t>
  </si>
  <si>
    <t>Wang, Y; Huang, G; Hu, KM; Tao, WC; Li, XC; Gong, HN; Gu, LT; Zhang, WQ</t>
  </si>
  <si>
    <t>Wang, Ya; Huang, Gang; Hu, Kaiming; Tao, Weichen; Li, Xichen; Gong, Hainan; Gu, Letian; Zhang, Wenqi</t>
  </si>
  <si>
    <t>Asymmetric Impacts of El Nino and La Nina on the Pacific-South America Teleconnection Pattern</t>
  </si>
  <si>
    <t>Rossby waves; Southern Hemisphere; Kinetic energy; Atmosphere-ocean interaction; ENSO; Asymmetry</t>
  </si>
  <si>
    <t>ANTARCTIC SEA-ICE; ATMOSPHERIC CIRCULATION; NORTHWEST PACIFIC; SST ANOMALIES; MEAN-FLOW; ENSO; CLIMATE; MODELS; OSCILLATION; VARIABILITY</t>
  </si>
  <si>
    <t>El Nino-Southern Oscillation (ENSO) has a huge influence on Antarctic climate variability via Rossby wave trains. In this study, the asymmetry of the ENSO teleconnection in the Southern Hemisphere, together with the mechanisms involved, is systematically investigated. In four reanalysis datasets, the composite atmospheric circulation anomaly in austral winter over the Amundsen Sea during La Nina is situated more to the west than during El Nino. This asymmetric feature is reproduced by ECHAM5.3.2 forced with both composite and idealized symmetric sea surface temperature anomalies. Utilizing a linear baroclinic model, we find that ENSO-triggered circulation anomalies in the subtropics can readily extract kinetic energy from the climatological mean flow and develop efficiently at the exit of the subtropical jet stream (STJ). The discrepancy in the location of the STJ between El Nino and La Nina causes asymmetric circulation responses by affecting the energy conversion. During El Nino years, anomalous tropical convective precipitation increases the meridional temperature gradient, which in turn leads to the strengthening of the STJ and the eastward movement of the jet core and jet exit in the Pacific. With the movement of the STJ exit, the wave train tends to develop over the eastern region. The opposite is the case during La Nina when the westward shift of the jet exit favors the development of the wave train in the western region. Our findings expand the current understanding regarding ENSO teleconnection.</t>
  </si>
  <si>
    <t>[Wang, Ya; Huang, Gang; Hu, Kaiming; Tao, Weichen] Chinese Acad Sci, Inst Atmospher Phys, State Key Lab Numer Modeling Atmospher Sci &amp; Geop, Beijing, Peoples R China; [Wang, Ya; Huang, Gang; Gu, Letian; Zhang, Wenqi] Univ Chinese Acad Sci, Coll Earth &amp; Planetary Sci, Beijing, Peoples R China; [Huang, Gang] Qingdao Natl Lab Marine Sci &amp; Technol, Lab Reg Oceanog &amp; Numer Modeling, Qingdao, Peoples R China; [Hu, Kaiming; Gong, Hainan] Chinese Acad Sci, Ctr Monsoon Syst Res, Inst Atmospher Phys, Beijing, Peoples R China; [Li, Xichen] Chinese Acad Sci, Int Ctr Climate &amp; Environm Sci, Inst Atmospher Phys, Beijing, Peoples R China</t>
  </si>
  <si>
    <t>Chinese Academy of Sciences; Institute of Atmospheric Physics, CAS; Chinese Academy of Sciences; University of Chinese Academy of Sciences, CAS; Laoshan Laboratory; Chinese Academy of Sciences; Institute of Atmospheric Physics, CAS; Chinese Academy of Sciences; Institute of Atmospheric Physics, CAS</t>
  </si>
  <si>
    <t>Huang, G (corresponding author), Chinese Acad Sci, Inst Atmospher Phys, State Key Lab Numer Modeling Atmospher Sci &amp; Geop, Beijing, Peoples R China.;Huang, G (corresponding author), Univ Chinese Acad Sci, Coll Earth &amp; Planetary Sci, Beijing, Peoples R China.;Huang, G (corresponding author), Qingdao Natl Lab Marine Sci &amp; Technol, Lab Reg Oceanog &amp; Numer Modeling, Qingdao, Peoples R China.</t>
  </si>
  <si>
    <t>hg@mail.iap.ac.cn</t>
  </si>
  <si>
    <t>hu, kai/HSG-5888-2023; huang, gang/D-6427-2012; Li, Xichen/ISB-4663-2023</t>
  </si>
  <si>
    <t>huang, gang/0000-0002-8692-7856; wang, ya/0000-0003-1527-5413</t>
  </si>
  <si>
    <t>National Natural Science Foundation of China [42141019, 41831175, 41775086, 41661144016, 41706026, 41506003, 41731173]; National Key R&amp;D Program of China [2018YFA0605904]; Strategic Priority Research Program of Chinese Academy of Sciences [XDA20060502]; Key Deployment Project of the Centre for Ocean MegaResearch of Science, Chinese Academy of Sciences [COMS2019Q03]; Youth Innovation Promotion Association of the Chinese Academy of Sciences [2021072]</t>
  </si>
  <si>
    <t>National Natural Science Foundation of China(National Natural Science Foundation of China (NSFC)); National Key R&amp;D Program of China; Strategic Priority Research Program of Chinese Academy of Sciences(Chinese Academy of Sciences); Key Deployment Project of the Centre for Ocean MegaResearch of Science, Chinese Academy of Sciences; Youth Innovation Promotion Association of the Chinese Academy of Sciences</t>
  </si>
  <si>
    <t>The authors thank the three anonymous reviewers for their constructive and detailed comments. This study was jointly supported by the National Natural Science Foundation of China (42141019, 41831175, 41775086, 41661144016, 41706026, 41506003, and 41731173), the National Key R&amp;D Program of China (2018YFA0605904), the Strategic Priority Research Program of Chinese Academy of Sciences (XDA20060502), the Key Deployment Project of the Centre for Ocean MegaResearch of Science, Chinese Academy of Sciences (COMS2019Q03), and the Youth Innovation Promotion Association of the Chinese Academy of Sciences (2021072). The authors declare no competing interests.</t>
  </si>
  <si>
    <t>10.1175/JCLI-D-21-0285.1</t>
  </si>
  <si>
    <t>WOS:000799200700008</t>
  </si>
  <si>
    <t>Stone, KA; Solomon, S; Thompson, DWJ; Kinnison, DE; Fyfe, JC</t>
  </si>
  <si>
    <t>Stone, Kane A.; Solomon, Susan; Thompson, David W. J.; Kinnison, Douglas E.; Fyfe, John C.</t>
  </si>
  <si>
    <t>On the Southern Hemisphere Stratospheric Response to ENSO and Its Impacts on Tropospheric Circulation</t>
  </si>
  <si>
    <t>ENSO; Stratosphere; Stratosphere-troposphere coupling</t>
  </si>
  <si>
    <t>SEA-SURFACE TEMPERATURE; EL-NINO; ANNULAR MODE; ATMOSPHERIC TELECONNECTIONS; PACIFIC; OSCILLATION; OZONE; PREDICTABILITY; VARIABILITY; FREQUENCY</t>
  </si>
  <si>
    <t>As the leading mode of Pacific variability, El Nino-Southern Oscillation (ENSO) causes vast and wide-spread climatic impacts, including in the stratosphere. Following discovery of a stratospheric pathway of ENSO to the Northern Hemisphere surface, here we aim to investigate if there is a substantial Southern Hemisphere (SH) stratospheric pathway in relation to austral winter ENSO events. Large stratospheric anomalies connected to ENSO occur on average at high SH latitudes as early as August, peaking at around 10 hPa. An overall colder austral spring Antarctic stratosphere is generally associated with the warm phase of the ENSO cycle, and vice versa. This behavior is robust among reanalysis and six separate model ensembles encompassing two different model frameworks. A stratospheric pathway is identified by separating ENSO events that exhibit a stratospheric anomaly from those that do not and comparing to stratospheric extremes that occur during neutral ENSO years. The tropospheric eddy-driven jet response to the stratospheric ENSO pathway is the most robust in the spring following a La Nina, but extends into summer, and is more zonally symmetric compared to the tropospheric ENSO teleconnection. The magnitude of the stratospheric pathway is weaker compared to the tropospheric pathway and therefore, when it is present, has a secondary role. For context, the magnitude is approximately half that of the eddy-driven jet modulation due to austral spring ozone depletion in the model simulations. This work establishes that the stratospheric circulation acts as an intermediary in coupling ENSO variability to variations in the austral spring and summer tropospheric circulation.</t>
  </si>
  <si>
    <t>[Stone, Kane A.; Solomon, Susan] MIT, Dept Earth Atmospher &amp; Planetary Sci, Cambridge, MA 02139 USA; [Thompson, David W. J.] Colorado State Univ, Dept Atmospher Sci, Ft Collins, CO 80523 USA; [Kinnison, Douglas E.] Natl Ctr Atmospher Res, Atmospher Chem Observat &amp; Modeling Lab, Boulder, CO 80307 USA; [Fyfe, John C.] Environm &amp; Climate Change Canada, Canadian Ctr Climate Modelling &amp; Anal, Victoria, BC, Canada</t>
  </si>
  <si>
    <t>Massachusetts Institute of Technology (MIT); Colorado State University; National Center Atmospheric Research (NCAR) - USA; Environment &amp; Climate Change Canada; Canadian Centre for Climate Modelling &amp; Analysis (CCCma)</t>
  </si>
  <si>
    <t>Stone, KA (corresponding author), MIT, Dept Earth Atmospher &amp; Planetary Sci, Cambridge, MA 02139 USA.</t>
  </si>
  <si>
    <t>stonek@mit.edu</t>
  </si>
  <si>
    <t>Thompson, David W J/0000-0002-5413-4376;</t>
  </si>
  <si>
    <t>National Science Foundation NSF [1848863]; NSF [FESD1338814]; Directorate For Geosciences; Div Atmospheric &amp; Geospace Sciences [1848863] Funding Source: National Science Foundation</t>
  </si>
  <si>
    <t>National Science Foundation NSF(National Science Foundation (NSF)); NSF(National Science Foundation (NSF)); Directorate For Geosciences; Div Atmospheric &amp; Geospace Sciences(National Science Foundation (NSF)NSF - Directorate for Geosciences (GEO))</t>
  </si>
  <si>
    <t>K.S. and S. S. were supported by a gift to MIT from an anonymous donor and by a grant from the National Science Foundation NSF 1848863. D. W. J. T. is supported by NSF AGS-1848785. This research was enabled by the computational and storage resources of NCAR's Computational and Information Systems Laboratory (CISL), sponsored by the NSF. D. E. K. was partly supported by NSF FESD1338814. Cheyenne: HPE/SGI ICE XA System (NCAR Community Computing, Boulder, CO, National Center for Atmospheric Research, doi:10.5065/D6RX99HX). We acknowledge Environment and Climate Change Canada's Canadian Centre for Climate Modelling and Analysis for executing and making available the CanESM2 large ensemble simulations, and the Canadian Sea Ice and Snow Evolution (CanSISE) Network for proposing the simulations. The JRA-55 dataset used in this study is from the Japanese 55-year Reanalysis project carried out by the Japan Meteorological Agency (JMA).</t>
  </si>
  <si>
    <t>10.1175/JCLI-D-21-0250.1</t>
  </si>
  <si>
    <t>WOS:000799200700016</t>
  </si>
  <si>
    <t>Shen, XC; Wang, L; Osprey, S; Hardiman, SC; Scaife, AA; Ma, J</t>
  </si>
  <si>
    <t>Shen, Xiaocen; Wang, Lin; Osprey, Scott; Hardiman, Steven C.; Scaife, Adam A.; Ma, Ji</t>
  </si>
  <si>
    <t>The Life Cycle and Variability of Antarctic Weak Polar Vortex Events</t>
  </si>
  <si>
    <t>Southern Hemisphere; Planetary waves; Stratosphere-troposphere coupling; Antarctic Oscillation; Stratospheric circulation; Quasibiennial oscillation</t>
  </si>
  <si>
    <t>SOUTHERN-HEMISPHERE STRATOSPHERE; QUASI-BIENNIAL OSCILLATION; INTERANNUAL VARIABILITY; SEPTEMBER 2002; CLIMATOLOGY; CIRCULATION; WINTER; PROPAGATION; DYNAMICS; WARMINGS</t>
  </si>
  <si>
    <t>Motivated by the strong Antarctic sudden stratospheric warming (SSW) in 2019, a survey on the similar Antarctic weak polar vortex events (WPVs) is presented, including their life cycle, dynamics, seasonality, and climatic impacts. The Antarctic WPVs have a frequency of about four events per decade, with the 2002 event being the only major SSW. They show a similar life cycle to the SSWs in the Northern Hemisphere but have a longer duration. They are primarily driven by enhanced upward-propagating wavenumber 1 in the presence of a preconditioned polar stratosphere (i.e., a weaker and more contracted Antarctic stratospheric polar vortex). Antarctic WPVs occur mainly in the austral spring. Their early occurrence is preceded by an easterly anomaly in the middle and upper equatorial stratosphere in addition to the preconditioned polar stratosphere. The Antarctic WPVs increase the ozone concentration in the polar region and are associated with an advanced seasonal transition of the stratospheric polar vortex by about one week. Their frequency doubles after 2000 and is closely related to the advanced Antarctic stratospheric final warming in recent decades. The WPV-resultant negative phase of the southern annular mode descends to the troposphere and persists for about three months, leading to persistent hemispheric-scale temperature and precipitation anomalies.</t>
  </si>
  <si>
    <t>[Shen, Xiaocen; Wang, Lin; Ma, Ji] Chinese Acad Sci, Ctr Monsoon Syst Res, Inst Atmospher Phys, Beijing, Peoples R China; [Shen, Xiaocen; Wang, Lin; Ma, Ji] Univ Chinese Acad Sci, Coll Earth &amp; Planetary Sci, Beijing, Peoples R China; [Osprey, Scott] Univ Oxford, Atmospher Ocean &amp; Planetary Phys, Oxford, England; [Osprey, Scott] Univ Oxford, Natl Ctr Atmospher Sci, Oxford, England; [Hardiman, Steven C.; Scaife, Adam A.] Met Off Hadley Ctr, Exeter, Devon, England; [Scaife, Adam A.] Univ Exeter, Coll Engn Math &amp; Phys Sci, Exeter, Devon, England</t>
  </si>
  <si>
    <t>Chinese Academy of Sciences; Institute of Atmospheric Physics, CAS; Chinese Academy of Sciences; University of Chinese Academy of Sciences, CAS; University of Oxford; University of Oxford; UK Research &amp; Innovation (UKRI); Natural Environment Research Council (NERC); NERC National Centre for Atmospheric Science; Met Office - UK; Hadley Centre; University of Exeter</t>
  </si>
  <si>
    <t>Wang, L (corresponding author), Chinese Acad Sci, Ctr Monsoon Syst Res, Inst Atmospher Phys, Beijing, Peoples R China.;Wang, L (corresponding author), Univ Chinese Acad Sci, Coll Earth &amp; Planetary Sci, Beijing, Peoples R China.</t>
  </si>
  <si>
    <t>wanglin@mail.iap.ac.cn</t>
  </si>
  <si>
    <t>Shen, Xiaocen/IAP-5593-2023; Osprey, Scott/P-6621-2016; Hardiman, Steven/HDO-0165-2022; Wang, Lin/G-5245-2010</t>
  </si>
  <si>
    <t>Osprey, Scott/0000-0002-8751-1211; Shen, Xiaocen/0009-0003-7116-1397</t>
  </si>
  <si>
    <t>National Natural Science Foundation of China [41925020, 41721004]; Chinese Academy of Sciences [QYZDY-SSW-DQC024]; National Centre for Atmospheric Science (NCAS) of the Natural Environment Research Council (NERC); NERC North Atlantic Climate System Integrated Study (ACSIS) [NE/N018001]; Belmont-Forum GOTHAM project [NE/P006779/1]; U.K.-China Research and Innovation Partnership Fund through the Met Office Climate Science for Service Partnership (CSSP) China as part of the Newton Fund; NERC [NE/P006779/1, NE/N018001/1] Funding Source: UKRI</t>
  </si>
  <si>
    <t>National Natural Science Foundation of China(National Natural Science Foundation of China (NSFC)); Chinese Academy of Sciences(Chinese Academy of Sciences); National Centre for Atmospheric Science (NCAS) of the Natural Environment Research Council (NERC); NERC North Atlantic Climate System Integrated Study (ACSIS); Belmont-Forum GOTHAM project; U.K.-China Research and Innovation Partnership Fund through the Met Office Climate Science for Service Partnership (CSSP) China as part of the Newton Fund; NERC(UK Research &amp; Innovation (UKRI)Natural Environment Research Council (NERC))</t>
  </si>
  <si>
    <t>We thank the three anonymous reviewers for their insightful comments and suggestions that helped us improve the paper's quality significantly. The work of XS and LW was supported by the National Natural Science Foundation of China (41925020 and 41721004) and the Chinese Academy of Sciences (QYZDY-SSW-DQC024). The work of SO was supported by the National Centre for Atmospheric Science (NCAS) of the Natural Environment Research Council (NERC), the NERC North Atlantic Climate System Integrated Study (ACSIS) (NE/N018001), and the Belmont-Forum GOTHAM project (NE/P006779/1). The work of SCH and AAS was supported by the U.K.-China Research and Innovation Partnership Fund through the Met Office Climate Science for Service Partnership (CSSP) China as part of the Newton Fund.</t>
  </si>
  <si>
    <t>10.1175/JCLI-D-21-0500.1</t>
  </si>
  <si>
    <t>WOS:000799200700022</t>
  </si>
  <si>
    <t>Gayen, B; Griffiths, RW</t>
  </si>
  <si>
    <t>Gayen, Bishakdatta; Griffiths, Ross W.</t>
  </si>
  <si>
    <t>Rotating Horizontal Convection</t>
  </si>
  <si>
    <t>ANNUAL REVIEW OF FLUID MECHANICS</t>
  </si>
  <si>
    <t>ocean convection; surface buoyancy fluxes; geostrophic circulation; overturning circulation; turbulent mixing</t>
  </si>
  <si>
    <t>MERIDIONAL OVERTURNING CIRCULATION; ANTARCTIC CIRCUMPOLAR CURRENT; AVAILABLE POTENTIAL-ENERGY; OCEAN CIRCULATION; WIND STRESS; PART I; DRIVEN; TRANSPORT; MODEL; FLUID</t>
  </si>
  <si>
    <t>Global differences of temperature and buoyancy flux at the ocean surface are responsible for small-scale convection at high latitudes, global overturning, and the top-to-bottom density difference in the oceans. With planetary rotation the convection also contributes to the large-scale horizontal, geostrophic circulation, and it crucially involves a 3D linkage between the geostrophic circulation and vertical overturning. The governing dynamics of such a surface-forced convective flow are fundamentally different from Rayleigh-Benard convection, and the role of buoyancy forcing in the oceans is poorly understood. Geostrophic balance adds to the constraints on transport in horizontal convection, as illustrated by experiments, theoretical scaling, and turbulence-resolving simulations for closed (mid-latitude) basins and an annulus or reentrant zonal (circumpolar) channel. In these geometries, buoyancy drives either horizontal mid-latitude gyre recirculations or a strong Antarctic Circumpolar Current, respectively, in addition to overturning. At large Rayleigh numbers the release of available potential energy by convection leads to turbulent mixing with a mixing efficiency approaching unity. Turbulence-resolving models are also revealing the relative roles of wind stress and buoyancy when there is mixed forcing, and in future work they need to include the effects of turbulent mixing due to energy input from tides.</t>
  </si>
  <si>
    <t>[Gayen, Bishakdatta] Univ Melbourne, Dept Mech Engn, Melbourne, Vic, Australia; [Gayen, Bishakdatta] Indian Inst Sci IISc, Ctr Atmospher &amp; Ocean Sci, Bangaluru, India; [Gayen, Bishakdatta] Univ Melbourne, ARC Ctr Excellence Climate Extremes, Melbourne, Vic, Australia; [Griffiths, Ross W.] Australian Natl Univ, Res Sch Earth Sci, Canberra, ACT, Australia</t>
  </si>
  <si>
    <t>University of Melbourne; Melbourne Bioinformatics; University of Melbourne; Melbourne Genomics Health Alliance; Australian National University</t>
  </si>
  <si>
    <t>Gayen, B (corresponding author), Univ Melbourne, Dept Mech Engn, Melbourne, Vic, Australia.;Gayen, B (corresponding author), Indian Inst Sci IISc, Ctr Atmospher &amp; Ocean Sci, Bangaluru, India.;Gayen, B (corresponding author), Univ Melbourne, ARC Ctr Excellence Climate Extremes, Melbourne, Vic, Australia.</t>
  </si>
  <si>
    <t>bishakhdatta.gayen@unimelb.edu.au</t>
  </si>
  <si>
    <t>griffiths, ross w/E-6121-2010; Gayen, Bishakhdatta/D-9679-2011</t>
  </si>
  <si>
    <t>Gayen, Bishakhdatta/0000-0001-6543-2590</t>
  </si>
  <si>
    <t>Australian Research Council [DP140103706, DE140100089, FT180100037]; Australian Research Council [DE140100089, FT180100037] Funding Source: Australian Research Council</t>
  </si>
  <si>
    <t>The authors were supported by Australian Research Council grants DP140103706, DE140100089, and FT180100037. Numerical simulations were conducted on the Australian National Computational Infrastructure (NCI) at Australian National University, which is supported by the Commonwealth of Australia. We are grateful to PhD students Catherine Vreugdenhil and Taimoor Sohail, who carried out DNS (direct numerical simulation) models of rotating convection in 2015-2019; to Bajrang C. and Devang Falor for help preparing Figure 1; and to numerous colleagues for discussions.</t>
  </si>
  <si>
    <t>ANNUAL REVIEWS</t>
  </si>
  <si>
    <t>PALO ALTO</t>
  </si>
  <si>
    <t>4139 EL CAMINO WAY, PO BOX 10139, PALO ALTO, CA 94303-0139 USA</t>
  </si>
  <si>
    <t>0066-4189</t>
  </si>
  <si>
    <t>1545-4479</t>
  </si>
  <si>
    <t>ANNU REV FLUID MECH</t>
  </si>
  <si>
    <t>Annu. Rev. Fluid Mech.</t>
  </si>
  <si>
    <t>10.1146/annurev-fluid-030121-115729</t>
  </si>
  <si>
    <t>1D9XY</t>
  </si>
  <si>
    <t>WOS:000794152800005</t>
  </si>
  <si>
    <t>Stefanov, T</t>
  </si>
  <si>
    <t>Stefanov, Tihomir</t>
  </si>
  <si>
    <t>Length-weight Relationship, Condition Factor and Diet of the Two Dominant Fish Species Notothenia rossii Richardson, 1844 and N. coriiceps Richardson, 1844 (Nototheniidae) in the Shallow Coastal Waters of Livingston Island, South Shetland Islands, Antarctica</t>
  </si>
  <si>
    <t>ACTA ZOOLOGICA BULGARICA</t>
  </si>
  <si>
    <t>length-weight relationship; condition factor; diet; Notothenioidei; coastal area; Livingston Island</t>
  </si>
  <si>
    <t>POTTER COVE; FEEDING ECOLOGY; BUOYANCY; INSHORE; KRILL; BAY</t>
  </si>
  <si>
    <t>The study presents data about the two dominant fish species Notothenia rossii Richardson, 1844 and N. coriiceps Richardson, 1844 in the shallow coastal waters of the Livingston Island. Length-weight relationship, as well as the Fulton's and the relative condition factors and the diet of both species were studied. A total of 115 specimens of N. rossii and 18 of N. coriiceps were caught near the Bulgarian Polar Base in the South Bay. The average total length and weight of N. rossii were 232.8 mm and 180.4 g, respectively, while in N. coriiceps they were 324.4 mm and 556.8 g. The exponent b values of the length-weight relationship in both species were close to 3, indicating an isometric growth, but not statistically different from 3 since the calculated p-value was above 0.05. The average values of the Fulton's and the relative condition factors in N. rossii were 1.32 and 1.65, respectively, while the values of the same factors in N. coriiceps were 1.50 and 2.10, respectively, which indicated very good general condition of the fish. Overall, ten dietary classes were recorded in N. rossii and five in N. coriiceps, but only two of them (krill and amphipods) formed a total of 84.1% and 79.3% of the species diet, respectively.</t>
  </si>
  <si>
    <t>[Stefanov, Tihomir] Bulgarian Acad Sci, Natl Museum Nat Hist, 1 Tsar Osvoboditel Blvd, Sofia 1000, Bulgaria</t>
  </si>
  <si>
    <t>Bulgarian Academy of Sciences</t>
  </si>
  <si>
    <t>Stefanov, T (corresponding author), Bulgarian Acad Sci, Natl Museum Nat Hist, 1 Tsar Osvoboditel Blvd, Sofia 1000, Bulgaria.</t>
  </si>
  <si>
    <t>tishos@gmail.com</t>
  </si>
  <si>
    <t>Polar Research Fund [70-25-172/22.11.2019]</t>
  </si>
  <si>
    <t>Polar Research Fund</t>
  </si>
  <si>
    <t>The study was supported by Project No. 70-25-172/22.11.2019, funded by the Polar Research Fund and managed by the National Museum of Natural History, Sofia. The author would like to thank Dr. L. Kenderov, Dr. I. Pan-durski, Mr. N. Nikolov, Mr. J. Telijski, Mr. D. Stoichev as well as all other members of the 28th Bulgarian Antarctic Expedition and personally to the Base commander Eng. Y. Todorov and the leader of the Bulgarian Antarctic program Prof. Ch. Pimpirev.</t>
  </si>
  <si>
    <t>INST ZOOLOGY, BAS</t>
  </si>
  <si>
    <t>1000 SOFIA, 1, TSAR OSVOBODITEL BLVD, SOFIA, 00000, BULGARIA</t>
  </si>
  <si>
    <t>0324-0770</t>
  </si>
  <si>
    <t>ACTA ZOOL BULGAR</t>
  </si>
  <si>
    <t>Acta Zool. Bulg.</t>
  </si>
  <si>
    <t>0V9CF</t>
  </si>
  <si>
    <t>WOS:000788635700010</t>
  </si>
  <si>
    <t>Ortiz, A; Arcos-Ortega, FG; Navarro, JM</t>
  </si>
  <si>
    <t>Ortiz, A.; Arcos-Ortega, F. G.; Navarro, J. M.</t>
  </si>
  <si>
    <t>Effects of temperature and salinity on the sub-Antarctic snail Xymenopsis muriciformis (King and Broderip, 1832): Medium-term exposure to different climate change scenarios</t>
  </si>
  <si>
    <t>Xymenopsis muriciformis; Climate change; Feeding; Oxygen uptake; Physiological condition index; Lipofuscins</t>
  </si>
  <si>
    <t>SOUTHERN-OCEAN; OXIDATIVE STRESS; BIOMARKERS; ENVIRONMENTS; MECHANISMS; GASTROPODA; TOLERANCE; MAGELLAN; STRAIT; OXYGEN</t>
  </si>
  <si>
    <t>As a consequence of climate change, benthic marine species that inhabit the sub-Antarctic oceans could be impacted as a result of changes in temperature and salinity that are affecting areas of high latitudes, where stenoic marine species are common. Therefore, the physiological performance of the species is essential to understand the ability of species to persist within their current range and to predict their rates of redistribution in response to the impacts of climate change impact. Xymenopsis muriciformis, an endemic sub-Antarctic benthic snail of the Strait of Magellan (53 degrees 47'S; 70 degrees 58'W), was used as a model species to understand the physiological response of a species that inhabits the Southern Oceans, where environmental conditions are very stable. We tested a medium-term exposure to the effects of climate change, including changes in temperature and salinity. The organisms were acclimatized for three months in the laboratory, at a temperature of 9 degrees C and salinity of 30 psu (control). The experiment was carried out for 60 days, where the ingestion rate and oxygen uptake were measured every 10 days. At the end of the experiments, the physiological condition of the organisms was determined by applying the metabolic indicators: carbohydrate indices (CHI), total lipids (TLI) and lipofuscins (LI), which were obtained by histological-histochemical analysis. The results indicated that temperature had significant effects on the ingestion rate and oxygen consumption, while salinity and the interaction between salinity and temperature had no significant effects. Organisms exposed to low temperatures (1 degrees C) and (5 degrees C), expected for the southern hemisphere summer, exhibited cellular degradation, which would limit the access and colonization of Antarctic environments. The organisms exposed to the 15 degrees C treatment (expected for the Magellan region), presented a significantly higher amount of lipofuscins in the vesicular connective tissue cells with morphological characteristics in the autophagosomes. We concluded that the snail X. muriciformis is a characteristic stenoic species, highly sensitive to temperature variations, as those projected in climate change scenarios for the Antarctic and sub-Antarctic regions.</t>
  </si>
  <si>
    <t>[Ortiz, A.; Navarro, J. M.] Univ Austral Chile, Fac Ciencias, Inst Ciencias Marinas &amp; Limnol, Valdivia, Chile; [Ortiz, A.; Navarro, J. M.] Univ Austral Chile, Ctr Invest Dinam Ecosistemas Marinos Altas Latitud, Valdivia, Chile; [Arcos-Ortega, F. G.] Ctr Estudios Cuaternario Fuego Patagonia &amp; Antart, Punta Arenas, Chile; [Arcos-Ortega, F. G.] Ctr Invest Biol Noroeste SC, Lab Inmunogen Marina, Av Politcn Nacl 195, La Paz, BCS, Mexico</t>
  </si>
  <si>
    <t>Universidad Austral de Chile; Universidad Austral de Chile; CIBNOR - Centro de Investigaciones Biologicas del Noroeste</t>
  </si>
  <si>
    <t>Navarro, JM (corresponding author), Univ Austral Chile, Fac Ciencias, Inst Ciencias Marinas &amp; Limnol, Valdivia, Chile.</t>
  </si>
  <si>
    <t>jnavarro@uach.cl</t>
  </si>
  <si>
    <t>Arcos, Guadalupe Fabiola/H-6023-2018</t>
  </si>
  <si>
    <t>Arcos, Guadalupe Fabiola/0000-0002-6098-3569; ORTIZ, ALEJANDRO/0000-0001-5413-0503</t>
  </si>
  <si>
    <t>FONDAP , Research Center Dynamics of High Latitude Marine Ecosystems (IDEAL) [15150003]; FONDECYT [1161420]</t>
  </si>
  <si>
    <t>FONDAP , Research Center Dynamics of High Latitude Marine Ecosystems (IDEAL); FONDECYT(Comision Nacional de Investigacion Cientifica y Tecnologica (CONICYT)CONICYT FONDECYT)</t>
  </si>
  <si>
    <t>This research was supported by FONDAP 15150003, Research Center Dynamics of High Latitude Marine Ecosystems (IDEAL) . Additional support came from FONDECYT Grant 1161420 to JMN.</t>
  </si>
  <si>
    <t>10.1016/j.jembe.2021.151682</t>
  </si>
  <si>
    <t>0V2FS</t>
  </si>
  <si>
    <t>WOS:000788160100001</t>
  </si>
  <si>
    <t>Shi, EB; Wang, A; Li, HF; Ogliore, R; Ling, ZC</t>
  </si>
  <si>
    <t>Shi, Erbin; Wang, Alian; Li, Huafang; Ogliore, Ryan; Ling, Zongcheng</t>
  </si>
  <si>
    <t>Gamma-CaSO4 With Abnormally High Stability From a Hyperarid Region on Earth and From Mars</t>
  </si>
  <si>
    <t>Gamma-CaSO4; high stability; Atacama soil; MIL03346; 168; silicon and phosphorus; fluid chemistry</t>
  </si>
  <si>
    <t>SULFATE HEMIHYDRATE BASSANITE; CRYSTAL-STRUCTURE; GALE CRATER; VIBRATIONAL-SPECTRA; ENDEAVOR CRATER; RAMAN-SPECTRA; X-RAY; GYPSUM; ANHYDRITE; ALPHA</t>
  </si>
  <si>
    <t>Ordinary gamma-CaSO4 is a metastable calcium sulfate, while gamma-CaSO4 from the hyperarid region on Earth and from Mars has been found with abnormally high stability. In this study, we used multiple microanalyses to characterize the chemical and structural properties of two such gamma-CaSO4: one from Atacama soil (#10-d30) and the other from Martian meteorite MIL03346,168. Silicon was determined to be quasi-homogeneously distributed in Atacama gamma-CaSO4, while both silicon and phosphorus were detected in Martian gamma-CaSO4. We found the abnormally high stability of those gamma-CaSO4 from hyperarid environments was due to the chemical impurities which filled their structural tunnels and blocked the entrance of atmospheric H2O, with non-detectable structural distortion. We propose that the gamma-CaSO4 with Si or Si and P impurities could have igneous origin or evaporative origin. Due to the extreme similarity in the structures of bassanite and gamma-CaSO4, their XRD patterns are almost non-distinguishable; thus some martian bassanite minerals identified by Curiosity's CheMin instrument at Gale crater can actually be gamma-CaSO4. The structural tunnels in gamma-CaSO4 would allow ions and ionic groups to fill, thus providing meaningful insights about the geological and geochemical processes experienced by it during the formation and transformation. The Raman spectrometer carried by the Perseverance and by ExoMars rovers will help the selection of samples enriched in gamma-CaSO4 at Jezero Crater and Oxia Planum, which should be sampled for in-depth analysis on Mars and back to Earth.</t>
  </si>
  <si>
    <t>[Shi, Erbin; Ling, Zongcheng] Shandong Univ, Shandong Key Lab Opt Astron &amp; Solar Terr Environm, Sch Space Sci &amp; Phys, Weihai, Peoples R China; [Shi, Erbin; Wang, Alian] Washington Univ, Dept Earth &amp; Planetary Sci, St Louis, MO 63110 USA; [Shi, Erbin; Wang, Alian; Ogliore, Ryan] Washington Univ, McDonnell Ctr Space Sci, St Louis, MO 63110 USA; [Li, Huafang] Washington Univ, Inst Mat Sci &amp; Engn, St Louis, MO 63110 USA; [Ogliore, Ryan] Washington Univ, Dept Phys, St Louis, MO 63110 USA</t>
  </si>
  <si>
    <t>Shandong University; Washington University (WUSTL); Washington University (WUSTL); Washington University (WUSTL); Washington University (WUSTL)</t>
  </si>
  <si>
    <t>Ling, ZC (corresponding author), Shandong Univ, Shandong Key Lab Opt Astron &amp; Solar Terr Environm, Sch Space Sci &amp; Phys, Weihai, Peoples R China.;Wang, A (corresponding author), Washington Univ, Dept Earth &amp; Planetary Sci, St Louis, MO 63110 USA.;Wang, A (corresponding author), Washington Univ, McDonnell Ctr Space Sci, St Louis, MO 63110 USA.</t>
  </si>
  <si>
    <t>alianw@levee.wustl.edu; zcling@sdu.edu.cn</t>
  </si>
  <si>
    <t>Shi, Erbin/AGI-9325-2022; Shi, Erbin/JMP-9291-2023</t>
  </si>
  <si>
    <t>Shi, Erbin/0000-0002-8890-9723</t>
  </si>
  <si>
    <t>National Natural Science Foundation of China [U1931211, 41972322, 11941001]; Natural Science Foundation of Shandong Province [ZR2019MD008]; Pre-research project on Civil Aerospace Technologies - China National Space AdministrationChina National Space Administration (CNSA) [D020102]; CSC scholarship [201806220274]; McDonnell Center for Space Sciences (MCSS) at WUSTL [94351A]; NSF; NASA</t>
  </si>
  <si>
    <t>National Natural Science Foundation of China(National Natural Science Foundation of China (NSFC)); Natural Science Foundation of Shandong Province(Natural Science Foundation of Shandong Province); Pre-research project on Civil Aerospace Technologies - China National Space AdministrationChina National Space Administration (CNSA); CSC scholarship; McDonnell Center for Space Sciences (MCSS) at WUSTL; NSF(National Science Foundation (NSF)); NASA(National Aeronautics &amp; Space Administration (NASA))</t>
  </si>
  <si>
    <t>This experimental investigation was supported by National Natural Science Foundation of China (U1931211, 41972322, 11941001), Natural Science Foundation of Shandong Province (ZR2019MD008), the Pre-research project on Civil Aerospace Technologies No. D020102 funded by China National Space AdministrationChina National Space Administration (CNSA), and the CSC scholarship (NO. 201806220274) for Erbin Shi to support his joint-training Ph.D. study at Washington University in St. Louis (WUSTL); and by a special funding 94351A from McDonnell Center for Space Sciences (MCSS) at WUSTL to Alian Wang to maintain a collaboration with planetary scientists and students from Shandong University in China. We would like to thank the Institute of Materials Science and Engineering (IMSE) at Washington University in St. Louis for the use of TEM/STEM, FIB, and ESEM. We are thankful for the instructive discussion with Professor Bradley L. Jolliff in Washington university in St. Louis. US Antarctic meteorite samples are recovered by the Antarctic Search for Meteorites (ANSMET) programwhich has been funded by NSF and NASA, and characterized and curated by the Department of MineralSciences of the Smithsonian Institution and Astromaterials Curation Office at NASA Johnson Space Center.</t>
  </si>
  <si>
    <t>e2021JE007108</t>
  </si>
  <si>
    <t>10.1029/2021JE007108</t>
  </si>
  <si>
    <t>0L7HJ</t>
  </si>
  <si>
    <t>WOS:000781641100009</t>
  </si>
  <si>
    <t>Zhang, YL; Wang, YT; Hou, SG</t>
  </si>
  <si>
    <t>Zhang, Yulun; Wang, Yetang; Hou, Shugui</t>
  </si>
  <si>
    <t>Reliability of Antarctic air temperature changes from Polar WRF: A comparison with observations and MAR outputs</t>
  </si>
  <si>
    <t>Antarctic Ice Sheet; Polar WRF; Numerical simulation; Temperature trend</t>
  </si>
  <si>
    <t>SURFACE MASS-BALANCE; ICE-SHEET SURFACE; WEATHER RESEARCH; CLIMATE; MODEL; SEA; VARIABILITY; SIMULATION; REANALYSES; SUMMER</t>
  </si>
  <si>
    <t>This study investigates the near-surface air temperature changes over the Antarctic Ice Sheet (AIS) since 1979 using the Polar Weather Research and Forecasting model (Polar WRF, version 3.9.1) at a horizontal resolution of 27 km. Its performance is estimated by quality-controlled monthly temperature measurements from 46 automatic and manual weather stations, and the outputs of the Regional Atmosphere Model (Mode`le Atmosphe &amp; PRIME;rique Re &amp; PRIME;gional, MAR) forced by ERA-Interim (MAR-ERAI) and ERA-5 (MAR-ERA5). Although warm mean biases at interior stations and cold mean biases at coastal stations are observed for the annual and seasonal mean temperatures, all simulations exhibit robust consistency with the year-to-year variability in the observed temperatures. Compared to MAR, Polar WRF presents a warmer temperature, especially on the West AIS (WAIS). Moreover, while Polar WRF shows a poorer performance than MAR over the AP (Antarctic Peninsula) with respect to the observations, Polar WRF can generally capture the trends on the East AIS (EAIS) and WAIS and shows smaller mean biases in winter and autumn. For 1979-2018, Polar WRF shows a warming trend east of 60E in the EAIS and parts of the AP and WAIS and an insignificant cooling trend in other regions for the annual temperature. The MAR simulations agree on the warming trend in most regions of the EAIS and WAIS but show different annual warming trends over the AP and East Antarctic Plateau.</t>
  </si>
  <si>
    <t>[Zhang, Yulun; Hou, Shugui] Nanjing Univ, Key Lab Coastal &amp; Isl Dev, Minist Educ, Sch Geog &amp; Ocean Sci, Nanjing 210023, Peoples R China; [Wang, Yetang] Shandong Normal Univ, Coll Geog &amp; Environm, Jinan 250014, Peoples R China; [Hou, Shugui] Shanghai Jiao Tong Univ, Sch Oceanog, Shanghai 200240, Peoples R China</t>
  </si>
  <si>
    <t>Nanjing University; Shandong Normal University; Shanghai Jiao Tong University</t>
  </si>
  <si>
    <t>Hou, SG (corresponding author), Nanjing Univ, Key Lab Coastal &amp; Isl Dev, Minist Educ, Sch Geog &amp; Ocean Sci, Nanjing 210023, Peoples R China.;Wang, YT (corresponding author), Shandong Normal Univ, Coll Geog &amp; Environm, Jinan 250014, Peoples R China.;Hou, SG (corresponding author), Shanghai Jiao Tong Univ, Sch Oceanog, Shanghai 200240, Peoples R China.</t>
  </si>
  <si>
    <t>yetangwang@sdnu.edu.cn; shuguihou@sjtu.edu.cn</t>
  </si>
  <si>
    <t>Hou, Shugui/0000-0002-0905-3542</t>
  </si>
  <si>
    <t>National Natural Science Foundation of China [41971081, 41830644, 91837102]; Strategic Priority Research Program of the Chinese Academy of Sciences [XAD19070103]; 333 Project of Jiangsu Province [BRA 2020030]; Chinese Arctic and Antarctic Administration [CXPT2020012]</t>
  </si>
  <si>
    <t>National Natural Science Foundation of China(National Natural Science Foundation of China (NSFC)); Strategic Priority Research Program of the Chinese Academy of Sciences(Chinese Academy of Sciences); 333 Project of Jiangsu Province(Natural Science Foundation of Jiangsu Province); Chinese Arctic and Antarctic Administration</t>
  </si>
  <si>
    <t>This work was supported by the National Natural Science Foundation of China (41971081, 41830644 and 91837102), the Strategic Priority Research Program of the Chinese Academy of Sciences (XAD19070103), the 333 Project of Jiangsu Province (grant number BRA 2020030) and the Chinese Arctic and Antarctic Administration (grant number CXPT2020012). We acknowledge the data from the SCAR-READER dataset and ECMWF for ERA-Interim. We also thank Cecile Agosta for performing the MAR simulations.</t>
  </si>
  <si>
    <t>10.1016/j.atmosres.2021.105967</t>
  </si>
  <si>
    <t>0G0UX</t>
  </si>
  <si>
    <t>WOS:000777771100005</t>
  </si>
  <si>
    <t>Chekin, MR; Lysak, LV; Lapygina, EV</t>
  </si>
  <si>
    <t>Chekin, M. R.; Lysak, L., V; Lapygina, E., V</t>
  </si>
  <si>
    <t>The Number and Morphological Diversity of Bacteriophages in Soils</t>
  </si>
  <si>
    <t>soils; SYBR Green 1; number of bacteria; transmission electron microscopy; WRB</t>
  </si>
  <si>
    <t>VIRUSES; PHAGE; BACTERIA; WATER</t>
  </si>
  <si>
    <t>Epifluorescence microscopy revealed the presence of bacteriophages in all samples of the studied soils (Haplic Chernozem, Albic Retisol (Cutanic, Siltic), Haplic Kastanozem, Fluvisol (Loamic, Humic)), Limnic Fluvisol, Dystric Fibric Histosol, Histic Leptosol, and Arenosol). The number of bacteriophages counted using the SYBR Green I dye was significant: 0.34-5.7 billion units/g soil. Transmission electron microscopy was used to determine the icosahedral, caudate, and filamentous morphotypes of bacteriophages. Comparison of the amount of bacteriophages and bacteria showed that the number of phages in the studied soil samples was slightly lower as compared to bacteria (except for the samples from Chernozem and from the Antarctic Arenosol, where the number of phages slightly exceeded that of bacteria). The ratio between the numbers of bacteriophages and bacteria varied from 0.16 to 1.67. The number of cells of gram-negative and gram-positive bacteria was determined using the L7005 dye and compared with the number of bacteriophages in samples of Histosol and Kastanozem. The predomination of gram-negative bacteria (61% of the total number of bacteria) was recorded. The number of phages in the waterlogged biotope (Histosol) was three times higher than in the dry biotope (Kastanozem). The revealed high abundance and significant morphological diversity of phages enable us to suggest their particular role in the regulation of the number of bacteria in soils.</t>
  </si>
  <si>
    <t>[Chekin, M. R.; Lysak, L., V; Lapygina, E., V] Lomonosov Moscow State Univ, Moscow 119991, Russia</t>
  </si>
  <si>
    <t>Lomonosov Moscow State University</t>
  </si>
  <si>
    <t>Chekin, MR (corresponding author), Lomonosov Moscow State Univ, Moscow 119991, Russia.</t>
  </si>
  <si>
    <t>mrchekin@soil.msu.ru</t>
  </si>
  <si>
    <t>Chekin, Mikhail/AAR-3113-2020</t>
  </si>
  <si>
    <t>Chekin, Mikhail/0000-0001-9267-0201</t>
  </si>
  <si>
    <t>Russian Foundation for Basic Research [18-34-00658]; Ministry of Science and Higher Education of the Russian Federation [075-15-2021-1396]</t>
  </si>
  <si>
    <t>Russian Foundation for Basic Research(Russian Foundation for Basic Research (RFBR)Spanish Government); Ministry of Science and Higher Education of the Russian Federation</t>
  </si>
  <si>
    <t>This work was supported by the Russian Foundation for Basic Research, project no. 18-34-00658 and by the Ministry of Science and Higher Education of the Russian Federation, project no. 075-15-2021-1396.</t>
  </si>
  <si>
    <t>10.1134/S1064229322030048</t>
  </si>
  <si>
    <t>0K7TR</t>
  </si>
  <si>
    <t>WOS:000780993600007</t>
  </si>
  <si>
    <t>Xu, XB; Chassignet, EP; Dong, SF; Baringer, MO</t>
  </si>
  <si>
    <t>Xu, Xiaobiao; Chassignet, Eric P.; Dong, Shenfu; Baringer, Molly O.</t>
  </si>
  <si>
    <t>Transport Structure of the South Atlantic Ocean Derived From a High-Resolution Numerical Model and Observations</t>
  </si>
  <si>
    <t>South Atlantic; Atlantic meridional overturning circulation (AMOC); transport structure; global ocean circulation model; eddy</t>
  </si>
  <si>
    <t>ANTARCTIC CIRCUMPOLAR CURRENT; MERIDIONAL OVERTURNING CIRCULATION; WESTERN BOUNDARY CURRENT; TIME-SERIES; TEMPORAL VARIABILITY; VOLUME TRANSPORT; DEEP CIRCULATION; HEAT-TRANSPORT; WATER MASSES; BOTTOM WATER</t>
  </si>
  <si>
    <t>The South Atlantic Ocean plays an important role in the Atlantic meridional overturning circulation (AMOC), connecting it to the Indian and Pacific Oceans as part of the global overturning circulation system. Yet, there are still open questions regarding the relative importance of the warm water versus cold water sources in the upper limb of the AMOC and on the detailed circulation pathways of the North Atlantic Deep Water (NADW) in the lower limb. These questions are addressed using model outputs from a 60-year, eddying global ocean-sea ice simulation that are validated against observations. We find that the Pacific Antarctic Intermediate Water (AAIW) plays a role in setting the temperature and salinity properties of the water in the subtropical South Atlantic, but that the upper limb of the AMOC originates primarily from the warm Indian water through the Agulhas leakage (9.8 Sv of surface water + 3.5 of AAIW) and that only a relatively small contribution of 1.5 Sv colder, fresher AAIW originates from the Pacific Ocean. In the lower limb, the NADW flows southward as a deep western boundary current all the way to 45 degrees S and then turns eastward to flow across the Mid-Atlantic Ridge near 42 degrees S before leaving the Atlantic Ocean, although there is clockwise recirculation in the Brazil, Angola, and Cape Basins.</t>
  </si>
  <si>
    <t>[Xu, Xiaobiao; Chassignet, Eric P.] Florida State Univ, Ctr Ocean Atmospher Predict Studies COAPS, Tallahassee, FL 32306 USA; [Dong, Shenfu; Baringer, Molly O.] NOAA, Atlantic Oceanog &amp; Meteorol Lab, Miami, FL 33149 USA</t>
  </si>
  <si>
    <t>State University System of Florida; Florida State University; National Oceanic Atmospheric Admin (NOAA) - USA; Atlantic Oceanographic &amp; Meteorological Laboratory (AOML)</t>
  </si>
  <si>
    <t>Xu, XB (corresponding author), Florida State Univ, Ctr Ocean Atmospher Predict Studies COAPS, Tallahassee, FL 32306 USA.</t>
  </si>
  <si>
    <t>xxu3@fsu.edu</t>
  </si>
  <si>
    <t>Baringer, Molly O/D-2277-2012; Dong, Shenfu/I-4435-2013</t>
  </si>
  <si>
    <t>Dong, Shenfu/0000-0001-8247-8072; Chassignet, Eric/0000-0003-4710-7502</t>
  </si>
  <si>
    <t>NOAA Climate Program Office MAPP Program [NA15OAR4310088]; NOAA Climate Variability and Predictability Program [GC16-210]; Office of Naval Research [N00014-19-1-2674]</t>
  </si>
  <si>
    <t>NOAA Climate Program Office MAPP Program(National Oceanic Atmospheric Admin (NOAA) - USA); NOAA Climate Variability and Predictability Program(National Oceanic Atmospheric Admin (NOAA) - USA); Office of Naval Research(Office of Naval Research)</t>
  </si>
  <si>
    <t>This work was supported by the NOAA Climate Program Office MAPP Program (Award NA15OAR4310088), the NOAA Climate Variability and Predictability Program (Award GC16-210), and the Office of Naval Research (Grant N00014-19-1-2674). The numerical simulations were performed on supercomputers at the Engineer Research and Development Center (ERDC), Vicksburg, Mississippi, using computer time provided by the U.S. DoD High Performance Computing Modernization Program.</t>
  </si>
  <si>
    <t>MAR 1</t>
  </si>
  <si>
    <t>10.3389/fmars.2022.811398</t>
  </si>
  <si>
    <t>0G8KP</t>
  </si>
  <si>
    <t>WOS:000778288700001</t>
  </si>
  <si>
    <t>Brum, AS; Simoes, TR; Souza, GA; Pinheiro, AEP; Figueiredo, RG; Caldwell, MW; Sayao, JM; Kellner, AWA</t>
  </si>
  <si>
    <t>Brum, Arthur S.; Simoes, Tiago R.; Souza, Geovane A.; Pinheiro, Andre E. P.; Figueiredo, Rodrigo G.; Caldwell, Michael W.; Sayao, Juliana M.; Kellner, Alexander W. A.</t>
  </si>
  <si>
    <t>Ontogeny and evolution of the elasmosaurid neck highlight greater diversity of Antarctic plesiosaurians</t>
  </si>
  <si>
    <t>Elasmosauridae; plesiosaur; morphometrics; ontogeny; Snow Hill Island Formation; Antarctica</t>
  </si>
  <si>
    <t>JAMES-ROSS-BASIN; BACK-ARC BASIN; CRETACEOUS STRATIGRAPHY; MARAMBIO GROUP; GUSTAV-GROUP; SAUROPTERYGIA; ISLAND; PENINSULA; REPTILIA; CONIACIAN</t>
  </si>
  <si>
    <t>The Antarctic plesiosaurian record is critical for understanding the evolution of elasmosaurids in the southern hemisphere. Elasmosaurids exhibit some of the most remarkable modifications of the vertebrate axial skeleton given their extreme elongation of the cervical region. Despite a considerable amount of information available on vertebral counts within Plesiosauria throughout the decades, we have a considerably more limited understanding of the diversity of cervical vertebral shapes in elasmosaurids and how these have changed throughout ontogeny and phylogeny. Here, we compile the largest known morphometric dataset on elasmosaurid cervical vertebrae, including data on juveniles and adults, to answer some of those long-standing questions. This dataset also includes newly recovered materials from Antarctica, which we describe herein. Using multivariate statistical approaches, we find that the two major elasmosaurid cervical morphotypes, the elasmosaurine anteroposteriorly elongate (can-shaped) and the aristonectine anteroposteriorly short and dorsoventrally tall (disc-like), evolved towards opposite regions of the morphospace from the plesiomorphic 'Cimoliasaurus'-grade condition. We also find a marked ontogenetic shift from the disc-like to can-shaped morphology, which is especially pronounced in elasmosaurines but more limited in aristonectines. Furthermore, we find that juvenile aristonectines occupy a specific region of the vertebral morphospace, distinct from any other group or ontogenetic stage, thus suggesting that reversal to the 'short-necked' condition in elasmosaurids is mostly characterized by ontogenetic predisplacement in aristonectines. Finally, we find that it is possible to discriminate between vertebral shapes of distinct taxonomic groups regardless of ontogenetic stage, and that the diversity of Antarctic elasmosaurids was greater than previously recognized.</t>
  </si>
  <si>
    <t>[Brum, Arthur S.; Souza, Geovane A.; Sayao, Juliana M.] Univ Fed Rio de Janeiro, Museu Nacl, Dept Geol &amp; Paleontol, Lab Paleobiol &amp; Paleogeog Antartica, BR-20940040 Rio De Janeiro, RJ, Brazil; [Simoes, Tiago R.] Harvard Univ, Dept Organism &amp; Evolutionary Biol, Cambridge, MA 02138 USA; [Simoes, Tiago R.] Harvard Univ, Museum Comparat Zool, Cambridge, MA 02138 USA; [Pinheiro, Andre E. P.] Univ Estado Rio de Janeiro, Fac Formacao Prof, Dept Ciencias, Campus Sao Goncalo,Rua Dr Francisco Portela, Sao Goncalo, RJ, Brazil; [Figueiredo, Rodrigo G.] Alto Univ, Univ Fed Espirito Santo, Dept Biol, BR-29500000 Alegre, ES, Brazil; [Caldwell, Michael W.] Univ Alberta, Dept Biol Sci, Edmonton, AB T6G 2E9, Canada; [Caldwell, Michael W.] Univ Alberta, Dept Earth &amp; Atmospher Sci, Edmonton, AB T6G 2E9, Canada; [Kellner, Alexander W. A.] Univ Fed Rio de Janeiro, Museu Nacl, Dept Geol &amp; Paleontol, Lab Sistemat &amp; Tafon Vertebrados Fosseis, Quinta Boa Vista S-N, Rio De Janeiro, RJ, Brazil</t>
  </si>
  <si>
    <t>Universidade Federal do Rio de Janeiro; Harvard University; Harvard University; Universidade do Estado do Rio de Janeiro; Universidade Federal do Espirito Santo; University of Alberta; University of Alberta; Universidade Federal do Rio de Janeiro</t>
  </si>
  <si>
    <t>Brum, AS (corresponding author), Univ Fed Rio de Janeiro, Museu Nacl, Dept Geol &amp; Paleontol, Lab Paleobiol &amp; Paleogeog Antartica, BR-20940040 Rio De Janeiro, RJ, Brazil.;Simoes, TR (corresponding author), Harvard Univ, Dept Organism &amp; Evolutionary Biol, Cambridge, MA 02138 USA.;Simoes, TR (corresponding author), Harvard Univ, Museum Comparat Zool, Cambridge, MA 02138 USA.</t>
  </si>
  <si>
    <t>arthursbc@yahoo.com.br; tsimoes@fas.harvard.edu</t>
  </si>
  <si>
    <t>Simões, Tiago/JWP-3237-2024; Souza, Geovane Alves de/HTN-7985-2023; Caldwell, Michael/A-2622-2014</t>
  </si>
  <si>
    <t>Simões, Tiago/0000-0003-4716-649X; Souza, Geovane Alves de/0000-0003-0979-1526; Caldwell, Michael/0000-0002-2377-3925; Sayao, juliana/0000-0002-3619-0323; da Costa, Arthur Souza Brum/0000-0003-3927-0318</t>
  </si>
  <si>
    <t>Programa Ant artico Brasileiro (PROANTAR) through the Conselho Nacional de Desenvolvimento Cientifico e Tecnol ogico (CNPq) [420687/2016-5, 313461/2018-0, 311715/2017-6]; Coordenacao de Aperfeicoamento de Pessoal de Nivel Superior (CAPES -PROANTAR fellowship) [88887.336584/2019-00]; Fundacao de Desenvolvimento Carlos Chagas Filho de Amparo 'a Pesquisa do Estado do Rio de Janeiro (FAPERJ) [E-26/202.905/2018]; Alexander Agassiz Postdoctoral Fellowship; Natural Sciences and Engineering Research Council of Canada (NSERC) Postdoctoral Fellowship</t>
  </si>
  <si>
    <t>Programa Ant artico Brasileiro (PROANTAR) through the Conselho Nacional de Desenvolvimento Cientifico e Tecnol ogico (CNPq)(Conselho Nacional de Desenvolvimento Cientifico e Tecnologico (CNPQ)Fundacao de Apoio a Pesquisa do Distrito Federal (FAPDF)); Coordenacao de Aperfeicoamento de Pessoal de Nivel Superior (CAPES -PROANTAR fellowship)(Coordenacao de Aperfeicoamento de Pessoal de Nivel Superior (CAPES)); Fundacao de Desenvolvimento Carlos Chagas Filho de Amparo 'a Pesquisa do Estado do Rio de Janeiro (FAPERJ)(Fundacao Carlos Chagas Filho de Amparo a Pesquisa do Estado do Rio De Janeiro (FAPERJ)); Alexander Agassiz Postdoctoral Fellowship; Natural Sciences and Engineering Research Council of Canada (NSERC) Postdoctoral Fellowship(Natural Sciences and Engineering Research Council of Canada (NSERC))</t>
  </si>
  <si>
    <t>This study was part of ASB's PhD thesis in Programa de Pos-graduacao em Zoologia do Museu Nacional Universidade Federal do Rio de Janeiro. It was supported by Programa Ant artico Brasileiro (PROANTAR) through the Conselho Nacional de Desenvolvimento Cientifico e Tecnol ogico (CNPq - grants CNPq #420687/2016-5 and #313461/2018-0 to AWAK; #311715/2017-6 to JMS) and Coordenacao de Aperfeicoamento de Pessoal de Nivel Superior (CAPES -PROANTAR fellowship #88887.336584/2019-00 to ASB). AWAK acknowledges funding from Fundacao de Desenvolvimento Carlos Chagas Filho de Amparo 'a Pesquisa do Estado do Rio de Janeiro (FAPERJ #E-26/202.905/2018), and TRS is grateful for an Alexander Agassiz Postdoctoral Fellowship (Museum of Comparative Zoology, Harvard University) and a Natural Sciences and Engineering Research Council of Canada (NSERC) Postdoctoral Fellowship. We thank the two reviewers Jos e P. O'Gorman and James Campbell for their comments that helped to improve the quality of the manuscript. We acknowledge the Willi Henning Society for the free availability of the software TNT. The team of the PALEOANTAR Project thanks the entire NApOc Ary Rongel military group and the pilots of the HU-1 helicopter squadron for their logistical support during fieldwork on the Antarctic Peninsula, as well as the alpinist Denni Morais for logistical assistance during camping activities and for support with fieldwork and fossil collection. We thank Gabriel Wailante and Fabio Loreto for support with fieldwork and fossil collection during camping activities.</t>
  </si>
  <si>
    <t>e12593</t>
  </si>
  <si>
    <t>10.1111/pala.12593</t>
  </si>
  <si>
    <t>0K3TM</t>
  </si>
  <si>
    <t>WOS:000780713800001</t>
  </si>
  <si>
    <t>Yue, FG; Xie, ZQ; Zhang, YX; Yan, JP; Zhao, SH</t>
  </si>
  <si>
    <t>Yue, Fange; Xie, Zhouqing; Zhang, Yanxu; Yan, Jinpei; Zhao, Shuhui</t>
  </si>
  <si>
    <t>Latitudinal Distribution of Gaseous Elemental Mercury in Tropical Western Pacific: The Role of the Doldrums and the ITCZ</t>
  </si>
  <si>
    <t>mercury; doldrums; ITCZ; air-sea exchange; spatial distribution</t>
  </si>
  <si>
    <t>AIR-SEA EXCHANGE; MARINE BOUNDARY-LAYER; ATMOSPHERIC MERCURY; EQUATORIAL PACIFIC; ATLANTIC-OCEAN; BALTIC SEA; OXIDATION; AEROSOL; COASTAL; EVASION</t>
  </si>
  <si>
    <t>The role of the tropical western Pacific in the latitudinal distribution of atmospheric mercury is still unclear. In this study, we conducted continuous measurements of gaseous elemental mercury (GEM) in the marine boundary layer (MBL) along a large latitudinal transect (similar to 60 degrees S to similar to 30 degrees N) of the western Pacific, accompanied by measurements of dissolved gaseous mercury (DGM) in the surface seawater. We found that the GEM latitudinal gradient is the most significant in the tropical western Pacific, which to some extent might be attributed to the impact of the doldrums and the Intertropical Convergence Zone (ITCZ) in this area. For the doldrums, calm weather may delay the transport of GEM, facilitating its accumulation in the tropical western Pacific. Furthermore, the regional transport, and low O-3 and sea-salt aerosol levels in this area which would not favor the oxidation of GEM in the MBL, would intensify the accumulation of GEM in the tropical western Pacific. For the ITCZ, the vast wet deposition of Hg would drive elevated DGM in the surface seawater, which can increase the evasion flux and may further influence the spatial distribution of GEM. This study provides insight into the role of the tropical western Pacific in the regional atmospheric mercury cycle.</t>
  </si>
  <si>
    <t>[Yue, Fange; Xie, Zhouqing] Univ Sci &amp; Technol China, Inst Polar Environm, Hefei 230026, Anhui, Peoples R China; [Yue, Fange; Xie, Zhouqing] Univ Sci &amp; Technol China, Anhui Key Lab Polar Environm &amp; Global Change, Dept Environm Sci &amp; Engn, Hefei 230026, Anhui, Peoples R China; [Zhang, Yanxu] Nanjing Univ, Sch Atmospher Sci, Nanjing 210023, Peoples R China; [Yan, Jinpei; Zhao, Shuhui] Minist Nat Resources, Key Lab Global Change &amp; Marine Atmospher Chem, Inst Oceanog 3, Xiamen 361005, Peoples R China; [Xie, Zhouqing] Chinese Acad Sci, Inst Urban Environm, Ctr Excellence Urban Atmospher Environm, Xiamen 361021, Fujian, Peoples R China</t>
  </si>
  <si>
    <t>Chinese Academy of Sciences; University of Science &amp; Technology of China, CAS; Chinese Academy of Sciences; University of Science &amp; Technology of China, CAS; Nanjing University; Ministry of Natural Resources of the People's Republic of China; Third Institute of Oceanography, Ministry of Natural Resources; Chinese Academy of Sciences; Institute of Urban Environment, CAS</t>
  </si>
  <si>
    <t>Xie, ZQ (corresponding author), Univ Sci &amp; Technol China, Inst Polar Environm, Hefei 230026, Anhui, Peoples R China.;Xie, ZQ (corresponding author), Univ Sci &amp; Technol China, Anhui Key Lab Polar Environm &amp; Global Change, Dept Environm Sci &amp; Engn, Hefei 230026, Anhui, Peoples R China.;Xie, ZQ (corresponding author), Chinese Acad Sci, Inst Urban Environm, Ctr Excellence Urban Atmospher Environm, Xiamen 361021, Fujian, Peoples R China.</t>
  </si>
  <si>
    <t>Zhang, Yanxu/H-6165-2016</t>
  </si>
  <si>
    <t>Yan, Jin Pei/0000-0002-1273-9422</t>
  </si>
  <si>
    <t>National Natural Science Foundation of China [41941014, 41930532]; Ministry of Natural Resources of the People's Republic of China [IRASCC2020-2022-01-01-02E]</t>
  </si>
  <si>
    <t>National Natural Science Foundation of China(National Natural Science Foundation of China (NSFC)); Ministry of Natural Resources of the People's Republic of China</t>
  </si>
  <si>
    <t>This work was supported by the National Natural Science Foundation of China (grant no. 41941014, 41930532), and Ministry of Natural Resources of the People's Republic of China (IRASCC2020-2022-No.01-01-02E). We thank China Arctic and Antarctic Administration for fieldwork support. The authors acknowledge the NOAA Air Resources Laboratory (ARL) for developing the HYSPLIT transport and dispersion model available on the Internet (https://www.ready.noaa.gov/HYSPLIT.php).</t>
  </si>
  <si>
    <t>10.1021/acs.est.1c07229</t>
  </si>
  <si>
    <t>0E5CI</t>
  </si>
  <si>
    <t>WOS:000776699100010</t>
  </si>
  <si>
    <t>McCormack, FS; Warner, RC; Seroussi, H; Dow, CF; Roberts, JL; Treverrow, A</t>
  </si>
  <si>
    <t>McCormack, F. S.; Warner, R. C.; Seroussi, H.; Dow, C. F.; Roberts, J. L.; Treverrow, A.</t>
  </si>
  <si>
    <t>Modeling the Deformation Regime of Thwaites Glacier, West Antarctica, Using a Simple Flow Relation for Ice Anisotropy (ESTAR)</t>
  </si>
  <si>
    <t>POLYCRYSTALLINE ICE; FLEMING GLACIER; BASAL FRICTION; PINE ISLAND; MASS-LOSS; LAW DOME; SHEET; STRESS; SENSITIVITY; BENEATH</t>
  </si>
  <si>
    <t>Ice deformation dominates the evolution of ice shelf flow and the slow-moving regions in the interior of ice sheets. However, deformation may be poorly represented in large-scale ice sheet models that use the Glen flow relation, due to its questionable applicability to the steady-state flow of anisotropic ice that prevails in ice sheets, having been derived from secondary creep rates of isotropic ice. We assess the deformation regimes of Thwaites Glacier, West Antarctica, using the Glen and Empirical Scalar Tertiary Anisotropy Regime, (ESTAR) flow relations, the latter being derived from steady-state deformation rates of anisotropic ice. For grounded ice, the character of the flow relation determines the contribution of deformation to overall flow, with ESTAR producing greater bed-parallel shear deformation than the standard Glen flow relation. The ESTAR experiments show larger basal shear stress maxima than the standard Glen experiment because ESTAR treats the responses to simple shear stresses and compression stresses differently, reducing the role of lateral and longitudinal stresses in momentum balance. On the Thwaites Glacier Tongue, ESTAR provides the best match to observed speeds by accounting for the differing effects of stresses on ice flow. Our results highlight the importance of the numerical description of anisotropy, particularly: In regions of transition from deformation-dominated to sliding-dominated flow; in the approach to the grounding line, and across ice shelves. Given the importance of these locations in determining mass flux into the ocean, our results have implications for projections of sea level change from Antarctic ice loss. Plain Language Summary Glacial ice flows by stress-driven deformation, involving movement within and between ice crystals, and also by sliding at the bedrock in the presence of meltwater. The rate of deformation in large-scale models of polar ice sheets is usually described by the Glen flow relation, which is limited in how appropriately it describes deformation in the long-term, nearly steady flows typical of ice sheets. We compare modeling of the deformation regimes of Thwaites Glacier, West Antarctica, using the Glen and Empirical Scalar Tertiary Anisotropy Regime (ESTAR) flow relations. ESTAR was formulated to represent more realistically the deformation rates that occur under prolonged stress, where the orientations of individual ice crystals develop into significantly organized patterns. ESTAR predicts more vertical shear deformation than the Glen relation, leading to faster flow over most of the Thwaites catchment, and particularly in slow-moving regions in the interior where modeling with the Glen relation predicts unrealistic sliding. ESTAR also provides a better match to the observed surface speeds on the floating Thwaites Glacier Tongue. Our results highlight how improved descriptions of deformation change the distribution of stresses and the relative contributions of deformation and sliding to overall ice flow.</t>
  </si>
  <si>
    <t>[McCormack, F. S.] Monash Univ, Sch Earth Atmosphere &amp; Environm, Clayton, Vic, Australia; [McCormack, F. S.] Univ Tasmania, Inst Marine &amp; Antarctic Studies, Hobart, Tas, Australia; [Warner, R. C.] Univ Tasmania, Inst Marine &amp; Antarctic Studies, Australian Antarctic Program Partnership, Hobart, Tas, Australia; [Seroussi, H.] Dartmouth Coll, Thayer Sch Engn, Hanover, NH 03755 USA; [Seroussi, H.] CALTECH, Jet Prop Lab, Pasadena, CA USA; [Dow, C. F.] Univ Waterloo, Dept Geog &amp; Environm Management, Waterloo, ON, Canada; [Roberts, J. L.; Treverrow, A.] Australian Antarctic Div, Kingston, Tas, Australia</t>
  </si>
  <si>
    <t>Monash University; University of Tasmania; University of Tasmania; Dartmouth College; California Institute of Technology; National Aeronautics &amp; Space Administration (NASA); NASA Jet Propulsion Laboratory (JPL); University of Waterloo; Australian Antarctic Division</t>
  </si>
  <si>
    <t>McCormack, FS (corresponding author), Monash Univ, Sch Earth Atmosphere &amp; Environm, Clayton, Vic, Australia.;McCormack, FS (corresponding author), Univ Tasmania, Inst Marine &amp; Antarctic Studies, Hobart, Tas, Australia.</t>
  </si>
  <si>
    <t>felicity.mccormack@monash.edu</t>
  </si>
  <si>
    <t>Warner, Roland Charles/ISS-2485-2023; Warner, Robert R./M-5342-2013; McCormack, Felicity/B-9218-2015; Treverrow, Adam/J-7450-2014</t>
  </si>
  <si>
    <t>Warner, Roland Charles/0000-0002-9778-3544; Seroussi, Helene/0000-0001-9201-1644; McCormack, Felicity/0000-0002-2324-2120; Treverrow, Adam/0000-0003-4666-0488; Dow, Christine/0000-0003-1346-2258; Roberts, Jason/0000-0002-3477-4069</t>
  </si>
  <si>
    <t>Australian Research Council [SR140300001]; Australian Government's Cooperative Research Centers Programme through the Antarctic Climate &amp; Ecosystems Cooperative Research Center (ACE CRC); Australian Research Council Discovery Early Career Award [DE210101433]; Australian Government; Tasmanian Partnership for Advanced Computing; NASA Cryospheric Science and Modeling, Analysis, Prediction Programs; Canada Research Chairs Program [950-231237]; Australian Research Council [DE210101433] Funding Source: Australian Research Council</t>
  </si>
  <si>
    <t>Australian Research Council(Australian Research Council); Australian Government's Cooperative Research Centers Programme through the Antarctic Climate &amp; Ecosystems Cooperative Research Center (ACE CRC); Australian Research Council Discovery Early Career Award(Australian Research Council); Australian Government(Australian Government); Tasmanian Partnership for Advanced Computing; NASA Cryospheric Science and Modeling, Analysis, Prediction Programs; Canada Research Chairs Program(Canada Research Chairs); Australian Research Council(Australian Research Council)</t>
  </si>
  <si>
    <t>The authors thank four reviewers whose comments and suggestions led to a much improved manuscript. The research was supported under the Australian Research Council's Special Research Initiative for Antarctic Gateway Partnership (Project ID SR140300001), and the Australian Government's Cooperative Research Centers Programme through the Antarctic Climate &amp; Ecosystems Cooperative Research Center (ACE CRC). F. McCormack was supported by an Australian Research Council Discovery Early Career Award (DE210101433). This research was undertaken with the assistance of resources from the National Computational Infrastructure, which is supported by the Australian Government and the Tasmanian Partnership for Advanced Computing. H. Seroussi was funded by grants from NASA Cryospheric Science and Modeling, Analysis, Prediction Programs. C. Dow was supported by the Canada Research Chairs Program (950-231237). This project received grant funding from the Australian Government as part of the Antarctic Science Collaboration Initiative program. Lastly, the authors acknowledge the influence of the late William (Bill) Francis Budd (1938-2022): from discussions and advice about the present work, to his long-term contributions to the studies of ice deformation, including the program of work that led to the ESTAR flow relation. RW and AT particularly want to thank Bill for many years of friendly and inspirational collaboration. Open access publishing facilitated by Monash University, as part of the Wiley - Monash University agreement via the Council of Australian University Librarians.</t>
  </si>
  <si>
    <t>e2021JF006332</t>
  </si>
  <si>
    <t>10.1029/2021JF006332</t>
  </si>
  <si>
    <t>0E3NP</t>
  </si>
  <si>
    <t>WOS:000776590100005</t>
  </si>
  <si>
    <t>Wang, SJ; Liu, HX; Jezek, K; Alley, RB; Wang, L; Alexander, P; Huang, Y</t>
  </si>
  <si>
    <t>Wang, Shujie; Liu, Hongxing; Jezek, Kenneth; Alley, Richard B.; Wang, Lei; Alexander, Patrick; Huang, Yan</t>
  </si>
  <si>
    <t>Controls on Larsen C Ice Shelf Retreat From a 60-Year Satellite Data Record</t>
  </si>
  <si>
    <t>Antarctica; ice shelf; retreat; Larsen C; flow velocity; rift</t>
  </si>
  <si>
    <t>BASAL MELT RATES; ANTARCTIC PENINSULA; CONTINENT-WIDE; SURFACE MELT; BREAK-UP; STABILITY; DRIVEN; PROPAGATION; MODEL; DISINTEGRATION</t>
  </si>
  <si>
    <t>Rapid retreat of the Larsen A and B ice shelves has provided important clues about the ice shelf destabilization processes. The Larsen C Ice Shelf, the largest remaining ice shelf on the Antarctic Peninsula, may also be vulnerable to future collapse in a warming climate. Here, we utilize multisource satellite images collected over 1963-2020 to derive multidecadal time series of ice front, flow velocities, and critical rift features over Larsen C, with the aim of understanding the controls on its retreat. We complement these observations with modeling experiments using the Ice-sheet and Sea-level System Model to examine how front geometry conditions and mechanical weakening due to rifts affect ice shelf dynamics. Over the past six decades, Larsen C lost over 20% of its area, dominated by rift-induced tabular iceberg calving. The Bawden Ice Rise and Gipps Ice Rise are critical areas for rift formation, through their impact on the longitudinal deviatoric stress field. Mechanical weakening around Gipps Ice Rise is found to be an important control on localized flow acceleration and the propagation of two rifts that caused a major calving event in 2017. Capturing the time-varying effects of rifts on ice rigidity in ice shelf models is essential for making realistic predictions of ice shelf flow dynamics and instability. In the context of the Larsen A and Larsen B collapses, we infer a chronology of destabilization processes for embayment-confined ice shelves, which provides a useful framework for understanding the historical and future destabilization of Antarctic ice shelves.</t>
  </si>
  <si>
    <t>[Wang, Shujie] Penn State Univ, Dept Geog, University Pk, PA 16802 USA; [Wang, Shujie; Alley, Richard B.] Penn State Univ, Earth &amp; Environm Syst Inst, University Pk, PA 16802 USA; [Wang, Shujie] Penn State Univ, Inst Computat &amp; Data Sci, University Pk, PA 16802 USA; [Liu, Hongxing] Univ Alabama, Dept Geog, Tuscaloosa, AL USA; [Liu, Hongxing; Huang, Yan] East China Normal Univ, Minist Educ, Key Lab Geog Informat Sci, Shanghai, Peoples R China; [Jezek, Kenneth] Ohio State Univ, Sch Earth Sci, Columbus, OH 43210 USA; [Alley, Richard B.] Penn State Univ, Dept Geosci, University Pk, PA 16802 USA; [Wang, Lei] Louisiana State Univ, Dept Geog &amp; Anthropol, Baton Rouge, LA 70803 USA; [Alexander, Patrick] Columbia Univ, Lamont Doherty Earth Observ, Palisades, NY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</si>
  <si>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Alabama System; University of Alabama Tuscaloosa; East China Normal University; University System of Ohio; Ohio State University; Pennsylvania Commonwealth System of Higher Education (PCSHE); Pennsylvania State University; Pennsylvania State University - University Park; Louisiana State University System; Louisiana State University; Columbia University</t>
  </si>
  <si>
    <t>Wang, SJ (corresponding author), Penn State Univ, Dept Geog, University Pk, PA 16802 USA.;Wang, SJ (corresponding author), Penn State Univ, Earth &amp; Environm Syst Inst, University Pk, PA 16802 USA.;Wang, SJ (corresponding author), Penn State Univ, Inst Computat &amp; Data Sci, University Pk, PA 16802 USA.</t>
  </si>
  <si>
    <t>skw5660@psu.edu</t>
  </si>
  <si>
    <t>Wang, Shujie/0000-0002-8055-0234; Alley, Richard/0000-0003-1833-0115; Wang, Lei/0000-0003-1298-4839</t>
  </si>
  <si>
    <t>Institute for Computational and Data Sciences at the Pennsylvania State University; NASA [80NSSC22K0384]; NSF-NERC [1738934]; Heising-Simons Foundation [2018-0769]</t>
  </si>
  <si>
    <t>Institute for Computational and Data Sciences at the Pennsylvania State University; NASA(National Aeronautics &amp; Space Administration (NASA)); NSF-NERC; Heising-Simons Foundation</t>
  </si>
  <si>
    <t>The authors acknowledge the support from Seed Grant award from the Institute for Computational and Data Sciences at the Pennsylvania State University, NASA 80NSSC22K0384, NSF-NERC 1738934, and Heising-Simons Foundation 2018-0769. The authors acknowledge the United States Geological Survey (USGS) for the Declassified Intelligence Satellite Photography and Landsat images, the Alaska Satellite Facility for the ALOS PALSAR images, the European Space Agency for the ERS-1/2 and Envisat SAR images, the Byrd Polar and Climate Research Center at Ohio State University for the orthorectified Radarsat-1 SAR images and other RAMP data products, the National Snow and Ice Data Center for the Antarctic DEM data and the MEaSUREs phase-based Antarctica ice velocity data, and the Jet Propulsion Laboratory and University of California at Irvine for the Ice-sheet and Sea-level System Model (ISSM). We also thank the editor and two anonymous reviewers for their constructive comments and suggestions that greatly improved the manuscript.</t>
  </si>
  <si>
    <t>e2021JF006346</t>
  </si>
  <si>
    <t>10.1029/2021JF006346</t>
  </si>
  <si>
    <t>WOS:000776590100003</t>
  </si>
  <si>
    <t>Liu, GP; Janches, D; Ma, J; Lieberman, RS; Stober, G; Moffat-Griffin, T; Mitchell, NJ; Kim, JH; Lee, C; Murphy, DJ</t>
  </si>
  <si>
    <t>Liu, Guiping; Janches, Diego; Ma, Jun; Lieberman, Ruth S.; Stober, Gunter; Moffat-Griffin, Tracy; Mitchell, Nicholas J.; Kim, Jeong-Han; Lee, Changsup; Murphy, Damian J.</t>
  </si>
  <si>
    <t>Mesosphere and Lower Thermosphere Winds and Tidal Variations During the 2019 Antarctic Sudden Stratospheric Warming</t>
  </si>
  <si>
    <t>mesosphere and lower thermosphere; tides; meteor radar winds; high altitude data assimilation system; Antarctic stratospheric warming; upper atmosphere</t>
  </si>
  <si>
    <t>WAVE MOMENTUM FLUX; SEASONAL-VARIATION; DIURNAL TIDES; GRAVITY-WAVES; PART II; VARIABILITY; DYNAMICS; MODEL; MLT</t>
  </si>
  <si>
    <t>Realistic modeling of the winds and dynamical variations in the mesosphere and lower thermosphere (MLT) at Southern Hemisphere (SH) mid-to-high latitudes near 60 degrees S where dramatic motions occur has been a challenge. This work presents an evaluation of the MLT zonal and meridional winds from similar to 80 to 98 km altitude produced by the high-altitude version of the Navy Global Environmental Model (NAVGEM-HA) numerical weather prediction system during the Antarctic Sudden Stratospheric Warming (SSW) in September 2019. These results are compared with the coincident measurements by five meteor radars at Tierra del Fuego (TDF; 53.7 degrees S, 67.7 degrees W), King Edward Point (KEP; 54.3 degrees S, 36.5 degrees W), King Sejong Station (KSS; 62.2 degrees S, 58.8 degrees W), Rothera (ROT; 67.5 degrees S, 68.0 degrees W), and Davis (DAV; 68.6 degrees S, 78.0 degrees E) across SH mid-to-high latitudes. We find that the day-to-day variations in NAVGEM-HA winds related to tidal motions are overall consistent with variations in the radar winds, and the daily mean winds have a correlation of 0.7-0.9 between them. Three-hourly NAVGEM-HA winds have a correlation of similar to 0.5 and mean difference &lt;10 m/s to the radar observations at most stations, and the Root Mean Square (RMS) error ranges from similar to 25 to 35 m/s. Above 90 km altitude, the correlation coefficient decreases, and the difference and RMS error increase, indicating an upper limit to the validity of the NAVGEM-HA results. Both the analyzed and observed winds reveal an enhancement in diurnal and semidiurnal tidal amplitude during this SH SSW. NAVGEM-HA shows some evidence that nonmigrating tidal enhancements are produced through the interaction of migrating tides with planetary waves.</t>
  </si>
  <si>
    <t>[Liu, Guiping] Univ Calif Berkeley, Space Sci Lab, Berkeley, CA 94720 USA; [Liu, Guiping] CUA NASA GSFC, Greenbelt, MD 20771 USA; [Janches, Diego; Lieberman, Ruth S.] NASA, Heliophys Sci Div, Goddard Space Flight Ctr, Greenbelt, MD USA; [Ma, Jun] Naval Res Lab, Space Sci Div, Washington, DC 20375 USA; [Stober, Gunter] Univ Bern, Microwave Phys, Inst Appl Phys, Bern, Switzerland; [Stober, Gunter] Univ Bern, Microwave Phys, Oeschger Ctr Climate Change Res, Bern, Switzerland; [Moffat-Griffin, Tracy; Mitchell, Nicholas J.] British Antarctic Survey, Cambridge, England; [Mitchell, Nicholas J.] Univ Bath, Ctr Space Atmospher &amp; Ocean Sci, Bath, Avon, England; [Kim, Jeong-Han; Lee, Changsup] Korea Polar Res Inst, Div Atmospher Sci, Incheon, South Korea; [Murphy, Damian J.] Australian Antarctic Div, Kingston, Tas, Australia</t>
  </si>
  <si>
    <t>University of California System; University of California Berkeley; National Aeronautics &amp; Space Administration (NASA); National Aeronautics &amp; Space Administration (NASA); NASA Goddard Space Flight Center; United States Department of Defense; United States Navy; Naval Research Laboratory; University of Bern; University of Bern; UK Research &amp; Innovation (UKRI); Natural Environment Research Council (NERC); NERC British Antarctic Survey; University of Bath; Korea Polar Research Institute (KOPRI); Australian Antarctic Division</t>
  </si>
  <si>
    <t>Liu, GP (corresponding author), Univ Calif Berkeley, Space Sci Lab, Berkeley, CA 94720 USA.;Liu, GP (corresponding author), CUA NASA GSFC, Greenbelt, MD 20771 USA.</t>
  </si>
  <si>
    <t>guiping@berkeley.edu</t>
  </si>
  <si>
    <t>Kim, Jeong Han/J-6244-2016</t>
  </si>
  <si>
    <t>Ma, Jun/0000-0001-9396-6936; Stober, Gunter/0000-0002-7909-6345; Murphy, Damian/0000-0003-1738-5560</t>
  </si>
  <si>
    <t>NASA SSO program; NESC assessment [T1-17-0120]; University of La Plata; Catholic University of America; Natural Environment Research Council (NERC) [NE/K015117/1, NE/R001235/1, NE/R001391/1, NE/K012614]; SGWEX grant; DRAGON-WEX grant; Korea Polar Research Institute [PE22020]; Australian Antarctic Science project [4445]; NASA's Heliophysics Guest Investigator Program [NNH19ZDA001N-HGIO]; NERC [NE/R001235/1] Funding Source: UKRI</t>
  </si>
  <si>
    <t>NASA SSO program; NESC assessment; University of La Plata(National University of La Plata); Catholic University of America; Natural Environment Research Council (NERC)(UK Research &amp; Innovation (UKRI)Natural Environment Research Council (NERC)); SGWEX grant; DRAGON-WEX grant; Korea Polar Research Institute(Korea Polar Research Institute of Marine Research Placement (KOPRI)); Australian Antarctic Science project; NASA's Heliophysics Guest Investigator Program(National Aeronautics &amp; Space Administration (NASA)); NERC(UK Research &amp; Innovation (UKRI)Natural Environment Research Council (NERC))</t>
  </si>
  <si>
    <t>Dr. John McCormack provided the NAVGEM-HA analysis and contributed to the evaluation of the data and the drafting of the manuscript. We thank him for valuable discussions and suggestions. The operation of the SAAMER radar at Tierra del Feugo is supported by NASA SSO program and NESC assessment T1-17-0120. The authors appreciate the invaluable support of Jose Luis Hormaechea, Carlos Ferrer, Gerardo Connon, Luis Barbero, and Leandro Mazlov with the operation of SAAMER. SAAMER operations are partially supported through a Memorandum of Understanding between the University of La Plata and the Catholic University of America. We would like to thank the government of South Georgia and the South Sandwich Islands for their cooperation. The King Edward Point (KEP) and Rothera radars were supported by the Natural Environment Research Council (NERC) under Grants NE/K015117/1, NE/R001235/1, NE/R001391/1, and NE/K012614. The South Georgia meteor radar at KEP was installed by N. J. Mitchell and BAS in 2016, and it was supported by the SGWEX and DRAGON-WEX grants for which N. J. Mitchell and T. Moffat-Griffin were investigators. J.-H. Kim and C. Lee were supported by the Grant PE22020 from Korea Polar Research Institute. Support for the operation of the Davis meteor radar has been provided through Australian Antarctic Science project 4445. J. Ma was partially supported by NASA's Heliophysics Guest Investigator Program NNH19ZDA001N-HGIO.</t>
  </si>
  <si>
    <t>e2021JA030177</t>
  </si>
  <si>
    <t>10.1029/2021JA030177</t>
  </si>
  <si>
    <t>0E2LK</t>
  </si>
  <si>
    <t>WOS:000776515200027</t>
  </si>
  <si>
    <t>Pearson, LE; Weitzner, EL; Tomanek, L; Liwanag, HEM</t>
  </si>
  <si>
    <t>Pearson, Linnea E.; Weitzner, Emma L.; Tomanek, Lars; Liwanag, Heather E. M.</t>
  </si>
  <si>
    <t>Metabolic cost of thermoregulation decreases after the molt in developing Weddell seal pups</t>
  </si>
  <si>
    <t>Leptonychotes weddellii; Resting metabolic rate; Metabolism; Thermal development; Phocid; Antarctica</t>
  </si>
  <si>
    <t>NORTHERN FUR-SEAL; THERMAL-PROPERTIES; HARBOR SEALS; FATTY-ACIDS; EREBUS BAY; MAMMALIAN INSULATION; INDIRECT CALORIMETRY; CALLORHINUS-URSINUS; BODY-COMPOSITION; ENERGETIC COSTS</t>
  </si>
  <si>
    <t>Allocation of energy to thermoregulation greatly contributes to the metabolic cost of endothermy, especially in extreme ambient conditions. Weddell seal (Leptonychotes weddellii) pups born in Antarctica must survive both on ice and in water, two environments with very different thermal conductivities. This disparity likely requires pups to allocate additional energy toward thermoregulation rather than growth or development of swimming capabilities required for independent foraging. We measured longitudinal changes in resting metabolic rate (RMR) for Weddell seal pups (n=8) in air and water from one to seven weeks of age, using open-flow respirometry. Concurrently, we collected molt, morphometric and dive behavior data. Absolute metabolic rate (MR) in air followed the expected allometric relationship with mass. Absolute MR in water was not allometric with mass, despite a 3-fold increase in mass between one and seven weeks of age. Developmental stage (or molting stage), rather than calendar age, determined when pups were thermally capable of being in the water. We consistently observed post-molt pups had lower RMR in air and water (6.67 +/- 1.4 and 7.90 +/- 2.38 ml O-2 min(-1) kg(-1), respectively) than pre-molt (air: 9.37 +/- 2.42 ml O-2 min(-1) kg(-1), water: 13.40 +/- 3.46 ml O-2 min(-1) kg(-1)) and molting pups (air: 8.45 +/- 2.05 ml O-2 min(-1) kg(-1), water: 10.4 +/- 1.63 ml O-2 min(-1) kg(-1)). RMR in air and water were equivalent only for post-molt pups. Despite the increased energy cost, molting pups spent three times longer in the water than other pups. These results support the idea of an energetic trade-off during early development; pups expend more energy for thermoregulation in water, yet gain experience needed for independence.</t>
  </si>
  <si>
    <t>[Pearson, Linnea E.; Weitzner, Emma L.; Tomanek, Lars; Liwanag, Heather E. M.] Calif Polytech State Univ San Luis Obispo, Dept Biol Sci, San Luis Obispo, CA 93401 USA</t>
  </si>
  <si>
    <t>California State University System; California Polytechnic State University San Luis Obispo</t>
  </si>
  <si>
    <t>Pearson, LE (corresponding author), Calif Polytech State Univ San Luis Obispo, Dept Biol Sci, San Luis Obispo, CA 93401 USA.</t>
  </si>
  <si>
    <t>lepearso@calpol.edu</t>
  </si>
  <si>
    <t>Weitzner, Emma/0000-0002-6871-3678; Liwanag, Heather/0000-0003-3250-2542; Tomanek, Lars/0000-0002-9188-8038</t>
  </si>
  <si>
    <t>National Science Foundation [ANT-1543539]; United States Antarctic Program, Leidos ASC; College of Science and Mathematics at California Polytechnic State University, San Luis Obispo</t>
  </si>
  <si>
    <t>National Science Foundation(National Science Foundation (NSF)); United States Antarctic Program, Leidos ASC; College of Science and Mathematics at California Polytechnic State University, San Luis Obispo</t>
  </si>
  <si>
    <t>This research was funded by the National Science Foundation (ANT-1543539 to H.E. M.L., L.T. and L.E.P.), with field support by the United States Antarctic Program, Leidos ASC. The purchase of the field metabolic system was funded by the College of Science and Mathematics at California Polytechnic State University, San Luis Obispo.</t>
  </si>
  <si>
    <t>jeb242773</t>
  </si>
  <si>
    <t>10.1242/jeb.242773</t>
  </si>
  <si>
    <t>0F6OM</t>
  </si>
  <si>
    <t>WOS:000777476400002</t>
  </si>
  <si>
    <t>Costello, DM; Tiegs, SD; Boyero, L; Canhoto, C; Capps, KA; Danger, M; Frost, PC; Gessner, MO; Griffiths, NA; Halvorson, HM; Kuehn, KA; Marcarelli, AM; Royer, T; Mathie, DM; Albariño, RJ; Arango, CP; Aroviita, J; Baxter, C; Bellinger, BJ; Bruder, A; Burdon, FJ; Callisto, M; Camacho, A; Colas, F; Cornut, J; Crespo-Pérez, V; Cross, WF; Derry, AM; Douglas, MM; Elosegi, A; Eyto, E; Ferreira, V; Ferriol, C; Fleituch, T; Shah, JJF; Frainer, A; Garcia, EA; García, L; García, PE; Giling, DP; Gonzales-Pomar, RK; Graça, MAS; Grossart, HP; Guérold, F; Hepp, LU; Higgins, SN; Hishi, T; Iñiguez-Armijos, C; Iwata, T; Kirkwood, AE; Koning, AA; Kosten, S; Laudon, H; Leavitt, PR; da Silva, ALL; Leroux, SJ; LeRoy, CJ; Lisi, PJ; Masese, FO; McIntyre, PB; McKie, BG; Medeiros, AO; Milisa, M; Miyake, Y; Mooney, RJ; Muotka, T; Nimptsch, J; Paavola, R; Pardo, I; Parnikoza, IY; Patrick, CJ; Peeters, ETHM; Pozo, J; Reid, B; Richardson, JS; Rincón, J; Risnoveanu, G; Robinson, CT; Santamans, AC; Simiyu, GM; Skuja, A; Smykla, J; Sponseller, RA; Teixeira-de Mello, F; Vilbaste, S; Villanueva, VD; Webster, JR; Woelfl, S; Xenopoulos, MA; Yates, AG; Yule, CM; Zhang, YX; Zwart, JA</t>
  </si>
  <si>
    <t>Costello, David M.; Tiegs, Scott D.; Boyero, Luz; Canhoto, Cristina; Capps, Krista A.; Danger, Michael; Frost, Paul C.; Gessner, Mark O.; Griffiths, Natalie A.; Halvorson, Halvor M.; Kuehn, Kevin A.; Marcarelli, Amy M.; Royer, Todd, V; Mathie, Devan M.; Albarino, Ricardo J.; Arango, Clay P.; Aroviita, Jukka; Baxter, Colden, V; Bellinger, Brent J.; Bruder, Andreas; Burdon, Francis J.; Callisto, Marcos; Camacho, Antonio; Colas, Fanny; Cornut, Julien; Crespo-Perez, Veronica; Cross, Wyatt F.; Derry, Alison M.; Douglas, Michael M.; Elosegi, Arturo; Eyto, Elvira; Ferreira, Veronica; Ferriol, Carmen; Fleituch, Tadeusz; Shah, Jennifer J. Follstad; Frainer, Andre; Garcia, Erica A.; Garcia, Liliana; Garcia, Pavel E.; Giling, Darren P.; Gonzales-Pomar, R. Karina; Graca, Manuel A. S.; Grossart, Hans-Peter; Guerold, Francois; Hepp, Luiz U.; Higgins, Scott N.; Hishi, Takuo; Iniguez-Armijos, Carlos; Iwata, Tomoya; Kirkwood, Andrea E.; Koning, Aaron A.; Kosten, Sarian; Laudon, Hjalmar; Leavitt, Peter R.; Lemes da Silva, Aurea L.; Leroux, Shawn J.; LeRoy, Carri J.; Lisi, Peter J.; Masese, Frank O.; McIntyre, Peter B.; McKie, Brendan G.; Medeiros, Adriana O.; Milisa, Marko; Miyake, Yo; Mooney, Robert J.; Muotka, Timo; Nimptsch, Jorge; Paavola, Riku; Pardo, Isabel; Parnikoza, Ivan Y.; Patrick, Christopher J.; Peeters, Edwin T. H. M.; Pozo, Jesus; Reid, Brian; Richardson, John S.; Rincon, Jose; Risnoveanu, Geta; Robinson, Christopher T.; Santamans, Anna C.; Simiyu, Gelas M.; Skuja, Agnija; Smykla, Jerzy; Sponseller, Ryan A.; Teixeira-de Mello, Franco; Vilbaste, Sirje; Villanueva, Veronica D.; Webster, Jackson R.; Woelfl, Stefan; Xenopoulos, Marguerite A.; Yates, Adam G.; Yule, Catherine M.; Zhang, Yixin; Zwart, Jacob A.</t>
  </si>
  <si>
    <t>Global Patterns and Controls of Nutrient Immobilization on Decomposing Cellulose in Riverine Ecosystems</t>
  </si>
  <si>
    <t>nutrient cycling; cotton strip assay; nitrogen; phosphorus; ecological stoichiometry; organic matter</t>
  </si>
  <si>
    <t>N-P STOICHIOMETRY; ORGANIC-MATTER; LEAF-LITTER; STREAM ECOSYSTEM; WOODLAND STREAM; NITROGEN; PHOSPHORUS; CARBON; SOIL; DYNAMICS</t>
  </si>
  <si>
    <t>Microbes play a critical role in plant litter decomposition and influence the fate of carbon in rivers and riparian zones. When decomposing low-nutrient plant litter, microbes acquire nitrogen (N) and phosphorus (P) from the environment (i.e., nutrient immobilization), and this process is potentially sensitive to nutrient loading and changing climate. Nonetheless, environmental controls on immobilization are poorly understood because rates are also influenced by plant litter chemistry, which is coupled to the same environmental factors. Here we used a standardized, low-nutrient organic matter substrate (cotton strips) to quantify nutrient immobilization at 100 paired stream and riparian sites representing 11 biomes worldwide. Immobilization rates varied by three orders of magnitude, were greater in rivers than riparian zones, and were strongly correlated to decomposition rates. In rivers, P immobilization rates were controlled by surface water phosphate concentrations, but N immobilization rates were not related to inorganic N. The N:P of immobilized nutrients was tightly constrained to a molar ratio of 10:1 despite wide variation in surface water N:P. Immobilization rates were temperature-dependent in riparian zones but not related to temperature in rivers. However, in rivers nutrient supply ultimately controlled whether microbes could achieve the maximum expected decomposition rate at a given temperature. Collectively, we demonstrated that exogenous nutrient supply and immobilization are critical control points for decomposition of organic matter.</t>
  </si>
  <si>
    <t>[Costello, David M.; Mathie, Devan M.] Kent State Univ, Dept Biol Sci, Kent, OH 44242 USA; [Costello, David M.] Kent State Univ, Environm Sci &amp; Design Res Inst, Kent, OH 44242 USA; [Tiegs, Scott D.] Oakland Univ, Dept Biol Sci, Rochester, MI 48309 USA; [Boyero, Luz; Elosegi, Arturo; Pozo, Jesus] Univ Basque Country, Dept Plant Biol &amp; Ecol, Bilbao, Spain; [Boyero, Luz] Ikerbasque, Bilbao, Spain; [Canhoto, Cristina] Univ Coimbra, Ctr Funct Ecol, Dept Life Sci, Coimbra, Portugal; [Capps, Krista A.] Univ Georgia, Odum Sch Ecol, Athens, GA 30602 USA; [Capps, Krista A.] Univ Georgia, Savannah River Ecol Lab, Athens, GA 30602 USA; [Danger, Michael; Guerold, Francois] Univ Lorraine, LIEC CNRS, Metz, France; [Frost, Paul C.; Xenopoulos, Marguerite A.] Trent Univ, Dept Biol, Peterborough, ON, Canada; [Gessner, Mark O.; Giling, Darren P.; Grossart, Hans-Peter] Leibniz Inst Freshwater Ecol &amp; Inland Fisheries I, Dept Expt Limnol, Stechlin, Germany; [Gessner, Mark O.] Berlin Inst Technol TU Berlin, Dept Ecol, Berlin, Germany; [Griffiths, Natalie A.] Oak Ridge Natl Lab, Climate Change Sci Inst, Oak Ridge, TN USA; [Griffiths, Natalie A.] Oak Ridge Natl Lab, Div Environm Sci, POB 2008, Oak Ridge, TN 37831 USA; [Halvorson, Halvor M.] Univ Cent Arkansas, Dept Biol, Conway, AR USA; [Kuehn, Kevin A.] Univ Southern Mississippi, Sch Biol Environm &amp; Earth Sci, Hattiesburg, MS 39406 USA; [Marcarelli, Amy M.] Michigan Technol Univ, Dept Biol Sci, Houghton, MI 49931 USA; [Royer, Todd, V] Indiana Univ, ONeill Sch Publ &amp; Environm Affairs, Bloomington, IN USA; [Albarino, Ricardo J.; Villanueva, Veronica D.] Univ Nacl Comahue CONICET, INIBIOMA, San Carlos De Bariloche, Rio Negro, Argentina; [Arango, Clay P.] Cent Washington Univ, Dept Biol Sci, Ellensburg, WA USA; [Aroviita, Jukka] Finnish Environm Inst SYKE, Freshwater Ctr, Helsinki, Finland; [Baxter, Colden, V] Idaho State Univ, Dept Biol Sci, Stream Ecol Ctr, Pocatello, ID 83209 USA; [Bellinger, Brent J.] City Austin, Watershed Protect Dept, Austin, TX USA; [Bruder, Andreas] Univ Appl Sci &amp; Arts Southern Switzerland, Inst Microbiol, Canobbio, Switzerland; [Burdon, Francis J.; Robinson, Christopher T.] Eawag Swiss Fed Inst Aquat Sci &amp; Technol, Dept Aquat Ecol, Dubendorf, Switzerland; [Callisto, Marcos] Univ Fed Minas Gerais, Genet Ecol &amp; Evolut Dept, Inst Biol Sci, Belo Horizonte, MG, Brazil; [Camacho, Antonio; Santamans, Anna C.] Univ Valencia, Cavanilles Inst Biodivers &amp; Evolutionary Biol, Paterna, Spain; [Colas, Fanny] Univ Claude Bernard Lyon 1, ENTPE, Villeurbanne, France; [Cornut, Julien] Univ Appl Sci &amp; Arts Southern Switzerland, Inst Earth Sci, Manno, Switzerland; [Crespo-Perez, Veronica] Zool Museum QCAZ I, Limnol Lab, Quito, Ecuador; [Crespo-Perez, Veronica] Pontifical Catholic Univ Ecuador, Sch Biol Sci, Quito, Ecuador; [Cross, Wyatt F.] Montana State Univ, Dept Ecol, Bozeman, MT 59717 USA; [Derry, Alison M.] Univ Quebec Montreal, Dept Biol Sci, Montreal, PQ, Canada; [Douglas, Michael M.] Univ Western Australia, Sch Biol Sci, Perth, WA, Australia; [Eyto, Elvira] Marine Inst, Galway, Ireland; [Ferreira, Veronica; Graca, Manuel A. S.] Univ Coimbra, Marine &amp; Environm Sci Ctr MARE, Dept Life Sci, Coimbra, Portugal; [Ferriol, Carmen] Univ Valencia, Dept Microbiol &amp; Ecol, Valencia, Spain; [Fleituch, Tadeusz; Smykla, Jerzy] Polish Acad Sci, Inst Nat Conservat, Krakow, Poland; [Shah, Jennifer J. Follstad] Univ Utah, Dept Geog, Salt Lake City, UT USA; [Frainer, Andre] UiT Arctic Univ Norway, Dept Arctic &amp; Marine Biol, Tromso, Norway; [Frainer, Andre] Univ Tromso, Norwegian Inst Nat Res NINA, Tromso, Norway; [Garcia, Erica A.] Charles Darwin Univ, Res Inst Environm &amp; Livelihoods, Casuarina, NT, Australia; [Garcia, Liliana; Pardo, Isabel] Univ Vigo, Dept Ecol &amp; Anim Biol, Vigo, Spain; [Garcia, Pavel E.] Univ San Carlos, Escuela Biol, Guatemala City, Guatemala; [Garcia, Pavel E.] Univ Montana, Ecol &amp; Evolut Program, Missoula, MT 59812 USA; [Giling, Darren P.] Univ Canberra, Ctr Appl Water Sci, Inst Appl Ecol, Canberra, ACT, Australia; [Giling, Darren P.] CSIRO Land &amp; Water, Canberra, ACT, Australia; [Gonzales-Pomar, R. Karina] Univ Mayor San Andres, Inst Ecol, La Paz, Bolivia; [Grossart, Hans-Peter] Potsdam Univ, Inst Biochem &amp; Biol, Potsdam, Germany; [Hepp, Luiz U.] Univ Fed Mato Grosso do Sul, Campus Tres Lagoas, Campo Grande, MS, Brazil; [Higgins, Scott N.] Int Inst Sustainable Dev, Winnipeg, MB, Canada; [Hishi, Takuo] Kyushu Univ, Shiiba Res Forest, Kyushu, Japan; [Iniguez-Armijos, Carlos] Univ Tecn Particular Loja, Dept Ciencias Biol, Loja, Ecuador; [Iwata, Tomoya] Univ Yamanashi, Dept Environm Sci, Kofu, Yamanashi, Japan; [Kirkwood, Andrea E.] Ontario Tech Univ, Fac Sci, Oshawa, ON, Canada; [Koning, Aaron A.] Univ Nevada, Global Water Ctr, Reno, NV 89557 USA; [Kosten, Sarian] Radboud Univ Nijmegen, Dept Aquat Ecol &amp; Environm Biol, Nijmegen, Netherlands; [Kosten, Sarian] Radboud Univ Nijmegen, Inst Water &amp; Wetland Res, Nijmegen, Netherlands; [Laudon, Hjalmar] Swedish Univ Agr Sci, Forest Ecol &amp; Management, Umea, Sweden; [Leavitt, Peter R.] Univ Regina, Dept Biol, Regina, SK, Canada; [Lemes da Silva, Aurea L.] Univ Fed Santa Catarina, Dept Ecol &amp; Zool, Florianopolis, SC, Brazil; [Leroux, Shawn J.] Mem Univ Newfoundland, Dept Biol, St John, NL, Canada; [LeRoy, Carri J.] Evergreen State Coll, Environm Studies Program, Olympia, WA 98505 USA; [Lisi, Peter J.; Mooney, Robert J.] Univ Wisconsin, Ctr Limnol, Madison, WI 53706 USA; [Masese, Frank O.] Univ Eldoret, Dept Fisheries &amp; Aquat Sci, Eldoret, Kenya; [McIntyre, Peter B.] Cornell Univ, Dept Nat Resources &amp; Environm, Ithaca, NY USA; [McKie, Brendan G.] Swedish Univ Agr Sci, Dept Aquat Sci &amp; Assessment, Uppsala, Sweden; [Medeiros, Adriana O.] Fed Univ Bahia UFBA, Inst Biol, Salvador, BA, Brazil; [Milisa, Marko] Univ Zagreb, Fac Sci, Dept Biol, Zagreb, Croatia; [Miyake, Yo] Ehime Univ, Grad Sch Sci &amp; Engn, Matsuyama, Ehime, Japan; [Muotka, Timo] Univ Oulu, Dept Ecol &amp; Genet, Oulu, Finland; [Nimptsch, Jorge; Woelfl, Stefan] Univ Austral Chile, Inst Ciencias Marinas &amp; Limnol, Valdivia, Chile; [Paavola, Riku] Univ Oulu, Oulanka Res Stn, Oulu, Finland; [Parnikoza, Ivan Y.] Natl Antarctic Sci Ctr Ukraine, Kiev, Ukraine; [Parnikoza, Ivan Y.] Natl Inst Sci Ukraine, Inst Mol Biol &amp; Genet, Kiev, Ukraine; [Patrick, Christopher J.] Virginia Inst Marine Sci, Coll William &amp; Mary, Dept Biol Sci, Gloucester Point, VA 23062 USA; [Peeters, Edwin T. H. M.] Wageningen Univ, Aquat Ecol &amp; Water Qual Management Grp, Wageningen, Netherlands; [Reid, Brian] Ctr Invest Ecosistemas Patagonia, Res Ctr Ecosyst Patagonia, Valdivia, Chile; [Richardson, John S.] Univ British Columbia, Dept Forest &amp; Conservat Sci, Vancouver, BC, Canada; [Rincon, Jose] Univ Zulia, Dept Biol, Maracaibo, Venezuela; [Risnoveanu, Geta] Univ Bucharest, Dept Syst Ecol &amp; Sustainabil, Bucharest, Romania; [Simiyu, Gelas M.] Univ Eldoret, Sch Environm Studies, Eldoret, Kenya; [Skuja, Agnija] Univ Latvia, Inst Biol, Riga, Latvia; [Sponseller, Ryan A.] Umea Univ, Dept Ecol &amp; Environm Sci, Umea, Sweden; [Teixeira-de Mello, Franco] Univ Republ CURE, Dept Ecol &amp; Gest Ambiental, Maldonado, Uruguay; [Vilbaste, Sirje] Estonian Univ Life Sci, Inst Agr &amp; Environm Sci, Tartu, Estonia; [Webster, Jackson R.] Virginia Tech, Dept Biol Sci, Blacksburg, VA USA; [Yates, Adam G.] Univ Waterloo, Dept Biol, Waterloo, ON, Canada; [Yates, Adam G.] Canadian Rivers Inst, St John, NB, Canada; [Yule, Catherine M.] Univ Sunshine Coast, Sch Sci Technol &amp; Engn, Maroochydore, Qld, Australia; [Zhang, Yixin] Soochow Univ, Dept Landscape Architecture, Suzhou, Peoples R China; [Zhang, Yixin] Univ Hong Kong, Zhejiang Inst Res &amp; Innovat, Kowloon, Hong Kong, Peoples R China; [Zwart, Jacob A.] US Geol Survey, Integrated Informat Disseminat Div, 959 Natl Ctr, Reston, VA 22092 USA</t>
  </si>
  <si>
    <t>University System of Ohio; Kent State University; Kent State University Kent; Kent State University Salem; University System of Ohio; Kent State University; Kent State University Kent; Kent State University Salem; Oakland University; University of Basque Country; Universidade de Coimbra; University System of Georgia; University of Georgia; University System of Georgia; University of Georgia; United States Department of Energy (DOE); Savannah River Ecology Laboratory; Universite de Lorraine; Trent University; Leibniz Institut fur Gewasserokologie und Binnenfischerei (IGB); Technical University of Berlin; United States Department of Energy (DOE); Oak Ridge National Laboratory; United States Department of Energy (DOE); Oak Ridge National Laboratory; University of Central Arkansas; University of Southern Mississippi; Michigan Technological University; Indiana University System; Indiana University Bloomington; Consejo Nacional de Investigaciones Cientificas y Tecnicas (CONICET); Universidad Nacional del Comahue; Central Washington University; Finnish Environment Institute; Idaho; Idaho State University; Swiss Federal Institutes of Technology Domain; Swiss Federal Institute of Aquatic Science &amp; Technology (EAWAG); Universidade Federal de Minas Gerais; University of Valencia; Universite Claude Bernard Lyon 1; Pontificia Universidad Catolica del Ecuador; Montana State University System; Montana State University Bozeman; University of Quebec; University of Quebec Montreal; University of Western Australia; Marine Institute Ireland; Universidade de Coimbra; University of Valencia; Polish Academy of Sciences; Utah System of Higher Education; University of Utah; UiT The Arctic University of Tromso; UiT The Arctic University of Tromso; Norwegian Institute Nature Research; Charles Darwin University; Universidade de Vigo; Universidad de San Carlos de Guatemala; University of Montana System; University of Montana; University of Canberra; Commonwealth Scientific &amp; Industrial Research Organisation (CSIRO); CSIRO Land &amp; Water; Universidad Mayor de San Andres; University of Potsdam; Universidade Federal de Mato Grosso do Sul; Kyushu University; Universidad Tecnica Particular de Loja; University of Yamanashi; Nevada System of Higher Education (NSHE); University of Nevada Reno; Radboud University Nijmegen; Radboud University Nijmegen; Swedish University of Agricultural Sciences; University of Regina; Universidade Federal de Santa Catarina (UFSC); Memorial University Newfoundland; University of Wisconsin System; University of Wisconsin Madison; Cornell University; Swedish University of Agricultural Sciences; Universidade Federal da Bahia; University of Zagreb; Ehime University; University of Oulu; Universidad Austral de Chile; University of Oulu; Ministry of Education &amp; Science of Ukraine; State Institution National Antarctic Scientific Center; National Academy of Sciences Ukraine; Institute of Molecular Biology &amp; Genetics of NASU; William &amp; Mary; Virginia Institute of Marine Science; Wageningen University &amp; Research; University of British Columbia; University of Bucharest; University of Latvia; Umea University; Estonian University of Life Sciences; Virginia Polytechnic Institute &amp; State University; University of Waterloo; University of the Sunshine Coast; Soochow University - China; University of Hong Kong; United States Department of the Interior; United States Geological Survey</t>
  </si>
  <si>
    <t>Costello, DM (corresponding author), Kent State Univ, Dept Biol Sci, Kent, OH 44242 USA.;Costello, DM (corresponding author), Kent State Univ, Environm Sci &amp; Design Res Inst, Kent, OH 44242 USA.;Tiegs, SD (corresponding author), Oakland Univ, Dept Biol Sci, Rochester, MI 48309 USA.</t>
  </si>
  <si>
    <t>dcaste13@kent.edu; tiegs@oekland.edu</t>
  </si>
  <si>
    <t>Graca, Manuel A.S./A-5785-2013; Callisto, Marcos/O-4930-2015; Kirkwood, Andrea E/B-2738-2013; Ferreira, Verónica/I-6457-2013; Burdon, Francis/ABC-2827-2020; McKie, Brendan G/C-9376-2013; Garcia, Lara/KFT-2745-2024; GARCIA, LILIANA SARAHI/HKO-4860-2023; Masese, Frank/C-1265-2010; Richardson, John S/G-1513-2012; Pardo, Isabel/AAN-4795-2020; Elosegi, Arturo/B-7796-2009; LeRoy, Carri J./AFM-0888-2022; Aroviita, Jukka/GQP-6335-2022; Garcia, Erica A/B-4142-2012; Laudon, Hjalmar/J-3074-2013; NIMPTSCH, JORGE/O-4030-2018; Garcia, Lara/JZT-3470-2024; Muotka, Timo/JED-5466-2023; Higgins, Scott N/J-2044-2014; Griffiths, Natalie A/C-3087-2012; Risnoveanu, Geta/Q-3790-2019; Kosten, Sarian/D-7550-2011; Douglas, Michael M/I-3149-2012; Paavola, Riku/G-4813-2011; Capps, Krista/JVN-6116-2024; tiegs, scott/JXM-6032-2024; Parnikoza, Ivan/I-2398-2016; Yates, Adam Gordon/Y-1532-2019; Bruder, Andreas/AFC-9051-2022; Boyero, Luz/N-1719-2019; Marcarelli, Amy/J-3017-2012; Smykla, Jerzy/N-3288-2014; Costello, David/A-2694-2010; Camacho, Antonio/I-3417-2015; Iniguez Armijos, Carlos/I-8920-2014; Canhoto, Cristina/M-4211-2014</t>
  </si>
  <si>
    <t>Callisto, Marcos/0000-0003-2341-4700; Ferreira, Verónica/0000-0001-7688-2626; Burdon, Francis/0000-0002-5398-4993; Masese, Frank/0000-0002-5912-5049; Pardo, Isabel/0000-0002-4553-1310; Elosegi, Arturo/0000-0001-8809-8484; LeRoy, Carri J./0000-0002-1185-4437; Aroviita, Jukka/0000-0003-3330-0731; NIMPTSCH, JORGE/0000-0001-5419-7361; Garcia, Lara/0000-0001-9803-4708; Risnoveanu, Geta/0000-0002-5194-5448; Kosten, Sarian/0000-0003-2031-0965; Paavola, Riku/0000-0002-4708-1413; Yates, Adam Gordon/0000-0002-2239-9046; Bruder, Andreas/0000-0002-4591-491X; Boyero, Luz/0000-0001-7366-9299; Marcarelli, Amy/0000-0002-4175-9211; Mathie, Devan/0000-0003-2651-8580; Peeters, Edwin T.H.M./0000-0003-2541-1829; Smykla, Jerzy/0000-0001-8228-6695; McIntyre, Peter/0000-0003-1809-7552; Milisa, Marko/0000-0003-3339-0044; Tiegs, Scott/0000-0003-1660-5816; Griffiths, Natalie/0000-0003-0068-7714; Reid, Brian/0000-0002-4274-3350; Frost, Paul C./0000-0002-8267-1726; Giling, Darren P./0000-0002-9843-4362; Zhang, Yixin/0000-0003-1546-4150; Fleituch, Tadeusz/0000-0001-9362-2703; Costello, David/0000-0002-1532-5399; Camacho, Antonio/0000-0003-0841-2010; Iniguez Armijos, Carlos/0000-0002-9787-3451; Gessner, Mark O./0000-0003-2516-7416; Canhoto, Cristina/0000-0003-3343-8757; Lemes da Silva, Aurea Luiza/0000-0001-8176-8983</t>
  </si>
  <si>
    <t>Ecuadorian Ministry of Science (Secretaria de Educacion Superior Ciencia, Tecnologia e Innovacion, SENESCYT); Oakland University Research Development Grant program; Huron Mountain Wildlife Foundation; U.S. Department of Energy's Office of Science, Biological and Environmental Research; U.S. Department of Energy [DE-AC05-00OR22725]; NSERC; Canada Research Chair programs</t>
  </si>
  <si>
    <t>Ecuadorian Ministry of Science (Secretaria de Educacion Superior Ciencia, Tecnologia e Innovacion, SENESCYT); Oakland University Research Development Grant program; Huron Mountain Wildlife Foundation; U.S. Department of Energy's Office of Science, Biological and Environmental Research(United States Department of Energy (DOE)); U.S. Department of Energy(United States Department of Energy (DOE)); NSERC(Natural Sciences and Engineering Research Council of Canada (NSERC)); Canada Research Chair programs(Canada Research Chairs)</t>
  </si>
  <si>
    <t>We thank a large number of assistants who helped field work, G. Moeen and M. Moeen for preparing cotton strips, and N. Johnson, A. Minerovic, and C. Blackwood for help with C:N analysis. This research was supported by awards to S.D.T. from the Ecuadorian Ministry of Science (Secretaria de Educacion Superior Ciencia, Tecnologia e Innovacion, SENESCYT) through the PROMETEO scholar-exchange program, the Oakland University Research Development Grant program, and a Huron Mountain Wildlife Foundation research grant. N.A.G. was supported by the U.S. Department of Energy's Office of Science, Biological and Environmental Research. Oak Ridge National Laboratory is managed by UT-Battelle, LLC, for the U.S. Department of Energy under contract DE-AC05-00OR22725. PRL was supported by NSERC and Canada Research Chair programs. Any use of trade, firm, or product names is for descriptive purposes only and does not imply endorsement by the U.S. Government.</t>
  </si>
  <si>
    <t>e2021GB007163</t>
  </si>
  <si>
    <t>10.1029/2021GB007163</t>
  </si>
  <si>
    <t>0E3GC</t>
  </si>
  <si>
    <t>Green Published, Bronze, Green Submitted</t>
  </si>
  <si>
    <t>WOS:000776569800001</t>
  </si>
  <si>
    <t>Burchard, H; Bolding, K; Jenkins, A; Losch, M; Reinert, M; Umlauf, L</t>
  </si>
  <si>
    <t>Burchard, Hans; Bolding, Karsten; Jenkins, Adrian; Losch, Martin; Reinert, Markus; Umlauf, Lars</t>
  </si>
  <si>
    <t>The Vertical Structure and Entrainment of Subglacial Melt Water Plumes</t>
  </si>
  <si>
    <t>basal melt; entrainment; subglacial plume; water-column model</t>
  </si>
  <si>
    <t>TURBULENCE CLOSURE MODELS; ICE-SHELF; GRAVITY CURRENTS; MASS-TRANSFER; CIRCULATION; TOPOGRAPHY; DYNAMICS; TEMPERATURE; GREENLAND; LAYERS</t>
  </si>
  <si>
    <t>Basal melting of marine-terminating glaciers, through its impact on the forces that control the flow of the glaciers, is one of the major factors determining sea level rise in a world of global warming. Detailed quantitative understanding of dynamic and thermodynamic processes in melt-water plumes underneath the ice-ocean interface is essential for calculating the subglacial melt rate. The aim of this study is therefore to develop a numerical model of high spatial and process resolution to consistently reproduce the transports of heat and salt from the ambient water across the plume into the glacial ice. Based on boundary layer relations for momentum and tracers, stationary analytical solutions for the vertical structure of subglacial non-rotational plumes are derived, including entrainment at the plume base. These solutions are used to develop and test convergent numerical formulations for the momentum and tracer fluxes across the ice-ocean interface. After implementation of these formulations into a water-column model coupled to a second-moment turbulence closure model, simulations of a transient rotational subglacial plume are performed. The simulated entrainment rate of ambient water entering the plume at its base is compared to existing entrainment parameterizations based on bulk properties of the plume. A sensitivity study with variations of interfacial slope, interfacial roughness and ambient water temperature reveals substantial performance differences between these bulk formulations. An existing entrainment parameterization based on the Froude number and the Ekman number proves to have the highest predictive skill. Recalibration to subglacial plumes using a variable drag coefficient further improves its performance.</t>
  </si>
  <si>
    <t>[Burchard, Hans; Reinert, Markus; Umlauf, Lars] Leibniz Inst Baltic Sea Res Warnemunde, Rostock, Germany; [Bolding, Karsten] Bolding &amp; Bruggeman ApS, Asperup, Denmark; [Jenkins, Adrian] NERC, British Antarctic Survey, Cambridge, England; [Jenkins, Adrian] Northumbria Univ, Dept Geog &amp; Environm Sci, Newcastle Upon Tyne, Tyne &amp; Wear, England; [Losch, Martin] Helmholtz Zentrum Polar &amp; Meeresforsch, Alfred Wegener Inst, Bremerhaven, Germany</t>
  </si>
  <si>
    <t>Leibniz Institut fur Ostseeforschung Warnemunde; UK Research &amp; Innovation (UKRI); Natural Environment Research Council (NERC); NERC British Antarctic Survey; Northumbria University; Helmholtz Association; Alfred Wegener Institute, Helmholtz Centre for Polar &amp; Marine Research</t>
  </si>
  <si>
    <t>Burchard, H (corresponding author), Leibniz Inst Baltic Sea Res Warnemunde, Rostock, Germany.</t>
  </si>
  <si>
    <t>hans.burchard@io-warnemuende.de</t>
  </si>
  <si>
    <t>Reinert, Markus/AFK-2103-2022; Jenkins, Adrian/IUN-2406-2023; Losch, Martin/S-5896-2016</t>
  </si>
  <si>
    <t>Reinert, Markus/0000-0002-3761-8029; Losch, Martin/0000-0002-3824-5244; Jenkins, Adrian/0000-0002-9117-0616</t>
  </si>
  <si>
    <t>GROCE (Greenland Ice Sheet Ocean Interaction) - German Federal Ministry of Research and Education [03F0855E]; Leibniz Institute of Baltic Sea Research Warnemunde; Bolding &amp; Bruggeman ApS in Denmark; Projekt DEAL</t>
  </si>
  <si>
    <t>GROCE (Greenland Ice Sheet Ocean Interaction) - German Federal Ministry of Research and Education; Leibniz Institute of Baltic Sea Research Warnemunde; Bolding &amp; Bruggeman ApS in Denmark; Projekt DEAL</t>
  </si>
  <si>
    <t>The work of this study has been supported by the collaborative project GROCE (Greenland Ice Sheet Ocean Interaction) funded by the German Federal Ministry of Research and Education under the Grant No. 03F0855E. The implementation of the additional subglacial plume processes into GOTM has been financially supported by the Leibniz Institute of Baltic Sea Research Warnemunde through a contract with Bolding &amp; Bruggeman ApS in Denmark. Much of HB's work for this study has been carried out during a sabbatical visit at the Scottish Association of Marine Science in Oban (Scotland). The authors are grateful for the constructive comments by Knut Klingbeil (Warnemunde, Germany) and two anonymous reviewers on an earlier version of the manuscript. Open access funding enabled and organized by Projekt DEAL.</t>
  </si>
  <si>
    <t>e2021MS002925</t>
  </si>
  <si>
    <t>10.1029/2021MS002925</t>
  </si>
  <si>
    <t>0E1TB</t>
  </si>
  <si>
    <t>gold, Green Accepted, Green Submitted, Green Published</t>
  </si>
  <si>
    <t>WOS:000776466100002</t>
  </si>
  <si>
    <t>Huth, A; Adcroft, A; Sergienko, O</t>
  </si>
  <si>
    <t>Huth, A.; Adcroft, A.; Sergienko, O.</t>
  </si>
  <si>
    <t>Parameterizing Tabular-Iceberg Decay in an Ocean Model</t>
  </si>
  <si>
    <t>iceberg breakup; footloose mechanism; edge-wasting</t>
  </si>
  <si>
    <t>INTERACTIVE ICEBERGS; ICE-SHEET; CLIMATE; CONSEQUENCES; MELT</t>
  </si>
  <si>
    <t>Large tabular icebergs account for the majority of ice mass calved from Antarctic ice shelves, but are omitted from climate models. Specifically, these models do not account for iceberg breakup and as a result, modeled large icebergs could drift to low latitudes. Here, we develop a physically based parameterization of iceberg breakup based on the footloose mechanism suitable for climate models. This mechanism describes breakup of ice pieces from the iceberg edges triggered by buoyancy forces associated with a submerged ice foot fringing the iceberg. This foot develops as a result of ocean-induced melt and erosion of the iceberg freeboard explicitly parameterized in the model. We then use an elastic beam model to determine when the foot is large enough to trigger calving, as well as the size of each child iceberg, which is controlled with the ice stiffness parameter. We test the breakup parameterization with a realistic large iceberg calving-size distribution in the Geophysical Fluid Dynamics Laboratory OM4 ocean/sea-ice model and obtain simulated iceberg trajectories and areas that closely match observations. Thus, the footloose mechanism appears to play a major role in iceberg decay that was previously unaccounted for in iceberg models. We also find that varying the size of the broken ice bits can influence the iceberg meltwater distribution more than physically realistic variations to the footloose decay rate.</t>
  </si>
  <si>
    <t>[Huth, A.; Adcroft, A.; Sergienko, O.] Princeton Univ, Atmospher &amp; Ocean Sci, Princeton, NJ 08544 USA</t>
  </si>
  <si>
    <t>Princeton University</t>
  </si>
  <si>
    <t>Huth, A (corresponding author), Princeton Univ, Atmospher &amp; Ocean Sci, Princeton, NJ 08544 USA.</t>
  </si>
  <si>
    <t>ahuth@princeton.edu</t>
  </si>
  <si>
    <t>Huth, Alex/GPP-1333-2022; Adcroft, Alistair/E-5949-2010; Sergienko, Olga/HII-8500-2022; Huth, Alex/HNI-9516-2023</t>
  </si>
  <si>
    <t>Huth, Alex/0000-0002-7590-3525; Adcroft, Alistair/0000-0001-9413-1017; Sergienko, Olga/0000-0002-5764-8815; Huth, Alex/0000-0002-7590-3525</t>
  </si>
  <si>
    <t>NSF [1744800]; National Oceanic and Atmospheric Administration, U.S. Department of Commerce [NA18OAR4320123]; Directorate For Geosciences; Office of Polar Programs (OPP) [1744800] Funding Source: National Science Foundation</t>
  </si>
  <si>
    <t>NSF(National Science Foundation (NSF)); National Oceanic and Atmospheric Administration, U.S. Department of Commerce(National Oceanic Atmospheric Admin (NOAA) - USA); Directorate For Geosciences; Office of Polar Programs (OPP)(National Science Foundation (NSF)NSF - Directorate for Geosciences (GEO))</t>
  </si>
  <si>
    <t>A. Huth was supported by the NSF Grant No. 1744800. A. Adcroft and O. Sergienko were supported by award NA18OAR4320123 from the National Oceanic and Atmospheric Administration, U.S. Department of Commerce. Special thanks to Till Wagner, Mark England, and Ian Eisenman, who contributed to this study through many helpful conversations. The authors also thank Michael Winton and Mitch Bushuk for critical feedback on early drafts of this manuscript. The statements, findings, conclusions, and recommendations are those of the authors and do not necessarily reflect the views of the National Oceanic and Atmospheric Administration, or the U.S. Department of Commerce. The authors acknowledge GFDL resources made available for this research.</t>
  </si>
  <si>
    <t>e2021MS002869</t>
  </si>
  <si>
    <t>10.1029/2021MS002869</t>
  </si>
  <si>
    <t>WOS:000776466100023</t>
  </si>
  <si>
    <t>Kokkaliari, S; Pham, K; Shahbazi, N; Calcul, L; Wojtas, L; Wilson, NG; Crawford, AD; Baker, BJ</t>
  </si>
  <si>
    <t>Kokkaliari, Sofia; Pham, Kim; Shahbazi, Nargess; Calcul, Laurent; Wojtas, Lukasz; Wilson, Nerida G.; Crawford, Alexander D.; Baker, Bill J.</t>
  </si>
  <si>
    <t>Australindolones, New Aminopyrimidine Substituted Indolone Alkaloids from an Antarctic Tunicate Synoicum sp.</t>
  </si>
  <si>
    <t>ascidians; indole alkaloids; zebrafish; meridianins</t>
  </si>
  <si>
    <t>NATURAL-PRODUCTS; ZEBRAFISH; APLIDIUM; ASCIDIANS; IDENTIFICATION; DRUGS</t>
  </si>
  <si>
    <t>Five new alkaloids have been isolated from the lipophilic extract of the Antarctic tunicate Synoicum sp. Deep-sea specimens of Synoicum sp. were collected during a 2011 cruise of the R/V Nathanial B. Palmer to the southern Scotia Arc, Antarctica. Crude extracts from the invertebrates obtained during the cruise were screened in a zebrafish-based phenotypic assay. The Synoicum sp. extract induced embryonic dysmorphology characterized by axis truncation, leading to the isolation of aminopyrimidine substituted indolone (1-4) and indole (5-12) alkaloids. While the primary bioactivity tracked with previously reported meridianins A-G (5-11), further investigation resulted in the isolation and characterization of australindolones A-D (1-4) and the previously unreported meridianin H (12).</t>
  </si>
  <si>
    <t>[Kokkaliari, Sofia; Pham, Kim; Calcul, Laurent; Wojtas, Lukasz; Baker, Bill J.] Univ S Florida, Dept Chem, 4202 E Fowler Ave,CHE205, Tampa, FL 33620 USA; [Shahbazi, Nargess; Crawford, Alexander D.] Norwegian Univ Life Sci NMBU, Dept Preclin Sci &amp; Pathol, N-1430 As, Norway; [Wilson, Nerida G.] Western Australian Museum, Res &amp; Collect, 49 Kew St, Welshpool, WA 6106, Australia; [Wilson, Nerida G.] Univ Western Australia, Sch Biol Sci, 35 Stirling Highway, Crawley, WA 6009, Australia; [Crawford, Alexander D.; Baker, Bill J.] Inst Arctic &amp; Antarctic Biodiscovery, Medford, OR 97504 USA; [Shahbazi, Nargess] Univ Innsbruck, Inst Mol Biol, A-6020 Innsbruck, Austria</t>
  </si>
  <si>
    <t>State University System of Florida; University of South Florida; Norwegian University of Life Sciences; Western Australian Museum; University of Western Australia; University of Innsbruck</t>
  </si>
  <si>
    <t>Baker, BJ (corresponding author), Univ S Florida, Dept Chem, 4202 E Fowler Ave,CHE205, Tampa, FL 33620 USA.</t>
  </si>
  <si>
    <t>skokkaliari@cop.ufl.edu; kim.pham@ochsner.org; nargess.shahbazi@uibk.ac.at; calcul@usf.edu; lwojtas@usf.edu; nerida.wilson@museum.wa.gov.au; crawford@biodiscoveryinstitute.org; bjbaker@usf.edu</t>
  </si>
  <si>
    <t>Baker, Bill/N-4312-2019; Wilson, Nerida/G-8433-2011</t>
  </si>
  <si>
    <t>Baker, Bill/0000-0003-3033-5779; Wilson, Nerida/0000-0002-0784-0200; shahbazi, nargess/0000-0002-4400-1561; Kokkaliari, Sofia/0000-0002-4618-5640</t>
  </si>
  <si>
    <t>US National Science Foundation from the Antarctic Organisms and Ecosystems [ANT-1043749, ANT-0838776, PLR-1341339]</t>
  </si>
  <si>
    <t>US National Science Foundation from the Antarctic Organisms and Ecosystems</t>
  </si>
  <si>
    <t>This research was funded by the US National Science Foundation awards ANT-1043749 (N.G.W.) and ANT-0838776 and PLR-1341339 (B.J.B.) from the Antarctic Organisms and Ecosystems.</t>
  </si>
  <si>
    <t>10.3390/md20030196</t>
  </si>
  <si>
    <t>0C0ER</t>
  </si>
  <si>
    <t>WOS:000774997300001</t>
  </si>
  <si>
    <t>Brown, EJE; Svoboda, F; Meredith, NP; Lane, N; Horne, RB</t>
  </si>
  <si>
    <t>Brown, Edward J. E.; Svoboda, Filip; Meredith, Nigel P.; Lane, Nicholas; Horne, Richard B.</t>
  </si>
  <si>
    <t>Attention-Based Machine Vision Models and Techniques for Solar Wind Speed Forecasting Using Solar EUV Images</t>
  </si>
  <si>
    <t>machine learning; solar wind speed; solar images; computer vision; vision transformer; coronal holes</t>
  </si>
  <si>
    <t>CORONAL HOLES; PREDICTION; DRIVEN</t>
  </si>
  <si>
    <t>Extreme ultraviolet images taken by the Atmospheric Imaging Assembly on board the Solar Dynamics Observatory make it possible to use deep vision techniques to forecast solar wind speed-a difficult, high-impact, and unsolved problem. At a 4 day time horizon, this study uses attention-based models and a set of methodological improvements to deliver an 11.1% lower RMSE and a 17.4% higher prediction correlation compared to the previous work testing on the period from 2010 to 2018. Our analysis shows that attention-based models combined with our pipeline consistently outperform convolutional alternatives. Our study shows a large performance improvement by using a 30 min as opposed to a daily sampling frequency. Our model has learned relationships between coronal holes' characteristics and the speed of their associated high-speed streams, agreeing with empirical results. Our study finds a strong dependence of our best model on the phase of the solar cycle, with the best performance occurring in the declining phase.</t>
  </si>
  <si>
    <t>[Brown, Edward J. E.; Svoboda, Filip; Lane, Nicholas] Univ Cambridge, Dept Comp Sci &amp; Technol, Cambridge, England; [Brown, Edward J. E.; Meredith, Nigel P.; Horne, Richard B.] British Antarctic Survey, NERC, Space Weather &amp; Atmosphere Team, Cambridge, England; [Brown, Edward J. E.] British Antarctic Survey, NERC, BAS AI Lab, Cambridge, England; [Lane, Nicholas] Samsung AI Ctr, Cambridge, England</t>
  </si>
  <si>
    <t>University of Cambridge; UK Research &amp; Innovation (UKRI); Natural Environment Research Council (NERC); NERC British Antarctic Survey; UK Research &amp; Innovation (UKRI); Natural Environment Research Council (NERC); NERC British Antarctic Survey</t>
  </si>
  <si>
    <t>Brown, EJE (corresponding author), Univ Cambridge, Dept Comp Sci &amp; Technol, Cambridge, England.;Brown, EJE (corresponding author), British Antarctic Survey, NERC, Space Weather &amp; Atmosphere Team, Cambridge, England.;Brown, EJE (corresponding author), British Antarctic Survey, NERC, BAS AI Lab, Cambridge, England.</t>
  </si>
  <si>
    <t>ejeb4@cam.ac.uk</t>
  </si>
  <si>
    <t>Horne, Richard B/0000-0002-0412-6407; , Edward/0000-0002-4719-9518; Meredith, Nigel/0000-0001-5032-3463</t>
  </si>
  <si>
    <t>NERC [NE/V00249X/1, NE/R016038/1]</t>
  </si>
  <si>
    <t>For this study, the authors acknowledge extensive use of the SDOML (Galvez et al., 2019) data set. These images are processed versions of images taken by the AIA instrument aboard the SDO. Furthermore, the authors acknowledge the use of the OMNIWeb service and their provided measurements of the solar wind speed at L1. Regarding software, the authors acknowledge extensive use of python and the python packages NumPy (Harris et al., 2020) and PyTorch (Paszke et al., 2019). For experiment tracking and general project organization, the authors acknowledge extensive use of the software provided by Weights and Biases (Biewald, 2020). Additionally, the authors would like to thank the BAS AI Lab and BAS IT team for their computing facilities and general advice/support. N. P. Meredith and R. B. Horne would like to acknowledge support from the NERC grants NE/V00249X/1 (Sat-Risk) and NE/R016038/1.</t>
  </si>
  <si>
    <t>e2021SW002976</t>
  </si>
  <si>
    <t>10.1029/2021SW002976</t>
  </si>
  <si>
    <t>0E3OE</t>
  </si>
  <si>
    <t>WOS:000776591600004</t>
  </si>
  <si>
    <t>Liu, Y; Deng, ZX; Xu, T; Kong, J; Zhou, C; Yao, YB; Tang, Q; Zhao, ZY</t>
  </si>
  <si>
    <t>Liu, Yi; Deng, Zhongxin; Xu, Tong; Kong, Jian; Zhou, Chen; Yao, Yibin; Tang, Qiong; Zhao, Zhengyu</t>
  </si>
  <si>
    <t>Daytime F Region Echoes at Equatorial Ionization Anomaly Crest During Geomagnetic Quiet Period: Observations From Multi-Instruments</t>
  </si>
  <si>
    <t>TRAVELING IONOSPHERIC DISTURBANCES; ATMOSPHERIC GRAVITY-WAVES; SPREAD-F; RADAR INTERFEROMETRY; IRREGULARITIES; STORM</t>
  </si>
  <si>
    <t>By using Qujing very high frequency radar (25.6 degrees N, 103.7 degrees E, magnetic latitude 16.1 degrees N, magnetic longitude 177.0 degrees E), daytime F region echoes were reported at equatorial ionization anomaly crest on 26 June 2020. Radar interferometry experiment was performed during the observation period. The observed results show that the spatial distributions of daytime F region echo pattern were about 150 km, 200 km, and 180 km in the zonal, meridional, and height extents, respectively. In addition, we observed a remarkable eastward drift of F region echoes with a mean velocity of about 50 m/s. To investigate the possible generation mechanism of daytime F region echoes, simultaneous occurrences of ionospheric disturbance and atmospheric gravity wave activities were presented by combining with the observations of ionosonde, global position system stations and FY-4A satellite. The existence of gravity wave from the deep convective activities in the lower atmosphere was confirmed by using FY-4A satellite measurements. The gravity wave signatures were also observed in the time series of virtual height deviations of sporadic E (dhE(S)) and total electron content near the region where the F region echoes. We surmise that ionospheric disturbance in the F region could be excited during atmospheric gravity wave activities. Then the large-scale ionospheric disturbance could further evolve into small-scale irregularity producing radar echoes through the non-linear cascade process. Plain Language Summary F region echoes associated with small-scale irregularity are generally observed during nighttime by very high frequency (VHF) radar. During daytime, some cases of F region echoes were reported for the past several decades. The possible reason of the daytime F region echoes generation is still unclear. By using Qujing VHF radar, we observed daytime F region echo phenomena at equatorial ionization anomaly crest. Simultaneous observations of ionospheric disturbance and atmospheric gravity wave activities revealed that daytime F region echoes could be excited by ionospheric disturbance during the strong atmospheric gravity wave activities. Our results provided the observational evidence of links among different ionospheric disturbance in the daytime region of China.</t>
  </si>
  <si>
    <t>[Liu, Yi; Zhou, Chen] Wuhan Univ, Sch Elect Informat, Dept Space Phys, Wuhan, Peoples R China; [Deng, Zhongxin; Xu, Tong] China Res Inst Radiowave Propagat, Natl Key Lab Electromagnet Environm, Qingdao, Peoples R China; [Kong, Jian] Wuhan Univ, Chinese Antarctic Ctr Surveying &amp; Mapping, Wuhan, Peoples R China; [Yao, Yibin] Wuhan Univ, Sch Geodesy &amp; Geomat, Wuhan, Peoples R China; [Tang, Qiong; Zhao, Zhengyu] Harbin Inst Technol, Inst Space Sci &amp; Appl Technol, Shenzhen, Peoples R China</t>
  </si>
  <si>
    <t>Wuhan University; Wuhan University; Wuhan University; Harbin Institute of Technology</t>
  </si>
  <si>
    <t>Zhou, C (corresponding author), Wuhan Univ, Sch Elect Informat, Dept Space Phys, Wuhan, Peoples R China.</t>
  </si>
  <si>
    <t>chenzhou@whu.edu.cn</t>
  </si>
  <si>
    <t>zhou, chen/KBC-4023-2024; Liu, Yi/JFA-3191-2023; Yao, Yibin/B-1395-2013</t>
  </si>
  <si>
    <t>Yao, Yibin/0000-0002-7723-4601</t>
  </si>
  <si>
    <t>foundation of National Key Laboratory of Electromagnetic Environment [20200101]; Fundamental Research Funds for the Central Universities [2042021kf0022]; Stable-Support Scientific Project of China Research Institute of Radiowave Propagation [A132102W06]; National Natural Science Foundation of China [41774162, 42074187]; National Key R&amp;D Program of China [2018YFC1503506]; Excellent Youth Foundation of Hubei Provincial Natural Science Foundation [2019CFA054]; Stable Support Project of Basic Scientific Research Institutes [A131901W10]</t>
  </si>
  <si>
    <t>foundation of National Key Laboratory of Electromagnetic Environment; Fundamental Research Funds for the Central Universities(Fundamental Research Funds for the Central Universities); Stable-Support Scientific Project of China Research Institute of Radiowave Propagation; National Natural Science Foundation of China(National Natural Science Foundation of China (NSFC)); National Key R&amp;D Program of China; Excellent Youth Foundation of Hubei Provincial Natural Science Foundation; Stable Support Project of Basic Scientific Research Institutes</t>
  </si>
  <si>
    <t>This work was supported by the foundation of National Key Laboratory of Electromagnetic Environment (Grant No. 20200101), the Fundamental Research Funds for the Central Universities (Grant No. 2042021kf0022), the Stable-Support Scientific Project of China Research Institute of Radiowave Propagation (Grant No. A132102W06), the National Natural Science Foundation of China (Grant No. 41774162, 42074187), the National Key R&amp;D Program of China (Grant No. 2018YFC1503506), the Excellent Youth Foundation of Hubei Provincial Natural Science Foundation (Grant No. 2019CFA054), and Stable Support Project of Basic Scientific Research Institutes (Grant No. A131901W10).</t>
  </si>
  <si>
    <t>e2021SW003002</t>
  </si>
  <si>
    <t>10.1029/2021SW003002</t>
  </si>
  <si>
    <t>WOS:000776591600007</t>
  </si>
  <si>
    <t>Alekseev, I; Kraev, G; Shein, A; Petrov, P</t>
  </si>
  <si>
    <t>Alekseev, Ivan; Kraev, Gleb; Shein, Aleksandr; Petrov, Pavel</t>
  </si>
  <si>
    <t>Soil Organic Matter in Soils of Suburban Landscapes of Yamal Region: Humification Degree and Mineralizing Risks</t>
  </si>
  <si>
    <t>ENERGIES</t>
  </si>
  <si>
    <t>Yamal; permafrost; Arctic warming; soil organic matter; humification; C-13-NMR spectroscopy</t>
  </si>
  <si>
    <t>C-13 NMR; PERMAFROST CARBON; HUMIC SUBSTANCES; HUMUS PROFILES; ACCUMULATION; SPECTROSCOPY; STABILITY; INSIGHTS</t>
  </si>
  <si>
    <t>Various research issues related to soil organic matter in permafrost soils are still poorly investigated. At the same time, numerous investigations have shown the importance of permafrost soils, as they serve as a huge reservoir of organic matter. This work is aimed at the investigation of permafrost-affected soils in the southern part of the Yamal region, namely at the assessment of composition (fractional, elemental and molecular) of soil organic matter in topsoils formed under different biogeoclimatogenic conditions in tundra and forest tundra. Special attention was given to assessment of potential vulnerability of soil organic matter in the context of Arctic warming. Results showed the predominance of fulvic acids in the humus of the studied soils, which indicates mineralization risks in the humic substances system of Arctic soils under conditions of further warming. The C-13-NMR analysis of humic acids revealed that all the studied soils are characterized by higher portions of aliphatic groups of carbon and decreased portions of aromatic groups and revealed early stages of the humification process in studied soils. These results contribute to scarcely distributed research of soil organic matter in permafrost soils of the Arctic. Moreover, our research provided new data on the vulnerability of soil organic matter and its possible mineralization risks under pronounced climate change in the Arctic using the modern instrumental technique.</t>
  </si>
  <si>
    <t>[Alekseev, Ivan] Arctic &amp; Antarctic Res Inst, Otto Schmidt Lab Polar &amp; Marine Res, St Petersburg 199397, Russia; [Kraev, Gleb; Shein, Aleksandr] Yamal Nenets Ctr Arctic Res, Salekhard 629008, Russia; [Petrov, Pavel] Ogarev Mordovia State Univ, Inst Phys &amp; Chem, Saransk 430005, Russia</t>
  </si>
  <si>
    <t>Arctic &amp; Antarctic Research Institute; Mordovian State University</t>
  </si>
  <si>
    <t>Alekseev, I (corresponding author), Arctic &amp; Antarctic Res Inst, Otto Schmidt Lab Polar &amp; Marine Res, St Petersburg 199397, Russia.</t>
  </si>
  <si>
    <t>alekseevivan95@gmail.com; kraevgn@yanao.ru; a.n.shein@yandex.ru; petrovps83@gmail.com</t>
  </si>
  <si>
    <t>Kraev, Gleb/K-1235-2015; Shein, Alexandr N./K-2041-2013; Alekseev, Ivan/H-5338-2016; Petrov, Pavel/N-7564-2016</t>
  </si>
  <si>
    <t>Kraev, Gleb/0000-0002-3565-8641; Shein, Alexandr N./0000-0002-6520-0551; Alekseev, Ivan/0000-0002-0512-3849; Petrov, Pavel/0000-0001-7232-0335</t>
  </si>
  <si>
    <t>Project Office of Development of the Arctic (Russia); Arctic Research Centre of Yamal-Nenets Autonomous region (Salekhard); Project Office for Arctic Development [263-G]</t>
  </si>
  <si>
    <t>Project Office of Development of the Arctic (Russia); Arctic Research Centre of Yamal-Nenets Autonomous region (Salekhard); Project Office for Arctic Development</t>
  </si>
  <si>
    <t>This research was partly funded by the Project Office of Development of the Arctic (Russia) and Arctic Research Centre of Yamal-Nenets Autonomous region (Salekhard). The research has been partially supported by the Project Office for Arctic Development, grant 263-G.</t>
  </si>
  <si>
    <t>1996-1073</t>
  </si>
  <si>
    <t>Energies</t>
  </si>
  <si>
    <t>10.3390/en15062301</t>
  </si>
  <si>
    <t>Energy &amp; Fuels</t>
  </si>
  <si>
    <t>0E7DL</t>
  </si>
  <si>
    <t>WOS:000776837600001</t>
  </si>
  <si>
    <t>Hoffman, JI; Chen, RS; Vendrami, DLJ; Paijmans, AJ; Dasmahapatra, KK; Forcada, J</t>
  </si>
  <si>
    <t>Hoffman, Joseph, I; Chen, Rebecca S.; Vendrami, David L. J.; Paijmans, Anna J.; Dasmahapatra, Kanchon K.; Forcada, Jaume</t>
  </si>
  <si>
    <t>Demographic Reconstruction of Antarctic Fur Seals Supports the Krill Surplus Hypothesis</t>
  </si>
  <si>
    <t>Arctocephalus gazella; Antarctic fur seal; RAD sequencing; demographic modelling; bottleneck; krill surplus hypothesis; marine mammal; baleen whales; pinnipeds</t>
  </si>
  <si>
    <t>ALLELE FREQUENCY-SPECTRUM; EFFECTIVE POPULATION-SIZE; ARCTOCEPHALUS-GAZELLA; CLIMATE-CHANGE; WHOLE-GENOME; HISTORY; WHALES; INFERENCE; PARAMETERS; PATTERNS</t>
  </si>
  <si>
    <t>Much debate surrounds the importance of top-down and bottom-up effects in the Southern Ocean, where the harvesting of over two million whales in the mid twentieth century is thought to have produced a massive surplus of Antarctic krill. This excess of krill may have allowed populations of other predators, such as seals and penguins, to increase, a top-down hypothesis known as the 'krill surplus hypothesis'. However, a lack of pre-whaling population baselines has made it challenging to investigate historical changes in the abundance of the major krill predators in relation to whaling. Therefore, we used reduced representation sequencing and a coalescent-based maximum composite likelihood approach to reconstruct the recent demographic history of the Antarctic fur seal, a pinniped that was hunted to the brink of extinction by 18th and 19th century sealers. In line with the known history of this species, we found support for a demographic model that included a substantial reduction in population size around the time period of sealing. Furthermore, maximum likelihood estimates from this model suggest that the recovered, post-sealing population at South Georgia may have been around two times larger than the pre-sealing population. Our findings lend support to the krill surplus hypothesis and illustrate the potential of genomic approaches to shed light on long-standing questions in population biology.</t>
  </si>
  <si>
    <t>[Hoffman, Joseph, I; Chen, Rebecca S.; Vendrami, David L. J.; Paijmans, Anna J.] Univ Bielefeld, Dept Anim Behav, POB 100131, D-33615 Bielefeld, Germany; [Hoffman, Joseph, I; Forcada, Jaume] British Antarctic Survey, Madingley Rd, Cambridge CB3 0ET, England; [Dasmahapatra, Kanchon K.] Univ York, Dept Biol, York YO10 5DD, N Yorkshire, England</t>
  </si>
  <si>
    <t>University of Bielefeld; UK Research &amp; Innovation (UKRI); Natural Environment Research Council (NERC); NERC British Antarctic Survey; University of York - UK</t>
  </si>
  <si>
    <t>Hoffman, JI (corresponding author), Univ Bielefeld, Dept Anim Behav, POB 100131, D-33615 Bielefeld, Germany.;Hoffman, JI (corresponding author), British Antarctic Survey, Madingley Rd, Cambridge CB3 0ET, England.</t>
  </si>
  <si>
    <t>joseph.hoffman@uni-bielefeld.de; rebecca.chen@uni-bielefeld.de; david.vendrami@edu.unife.it; a.paijmans@uni-bielefeld.de; kanchon.dasmahapatra@york.ac.uk; jfor@bas.ac.uk</t>
  </si>
  <si>
    <t>Dasmahapatra, Kanchon/AAT-3179-2021; Forcada, Jaume/GYU-0677-2022; Chen, Rebecca Shuhua/KBB-0523-2024; Hoffman, Joseph/K-7725-2012</t>
  </si>
  <si>
    <t>Chen, Rebecca Shuhua/0000-0002-9364-3771; Dasmahapatra, Kanchon Kumar/0000-0002-2840-7019; Vendrami, David L. J./0000-0001-9409-4084; Paijmans, A.J./0000-0002-5481-7337; Hoffman, Joseph/0000-0001-5895-8949</t>
  </si>
  <si>
    <t>German Research Foundation (DFG) [SPP 1158, 424119118, SFB TRR 212, 316099922, 396774617]; Natural Environment Research Council, UKRI; DFG; Bielefeld University</t>
  </si>
  <si>
    <t>German Research Foundation (DFG)(German Research Foundation (DFG)); Natural Environment Research Council, UKRI(UK Research &amp; Innovation (UKRI)Natural Environment Research Council (NERC)); DFG(German Research Foundation (DFG)); Bielefeld University</t>
  </si>
  <si>
    <t>This research was funded by the German Research Foundation (DFG) as part of the priority program Antarctic Research with Comparative Investigations in Arctic Ice Areas SPP 1158 (project number 424119118, awarded to J.I.H) and the SFB TRR 212 (NC3) (project numbers 316099922 and 396774617, awarded to J.I.H). It was also supported by core funding from the Natural Environment Research Council, UKRI, to the British Antarctic Survey's Ecosystems Program (awarded to J.F.). Support for the Article Processing Charge was granted by the DFG and the Open Access Publication Fund of Bielefeld University.</t>
  </si>
  <si>
    <t>10.3390/genes13030541</t>
  </si>
  <si>
    <t>0C4QY</t>
  </si>
  <si>
    <t>WOS:000775301000001</t>
  </si>
  <si>
    <t>Jacobs, SS; Giulivi, CF; Dutrieux, P</t>
  </si>
  <si>
    <t>Jacobs, S. S.; Giulivi, C. F.; Dutrieux, P.</t>
  </si>
  <si>
    <t>Persistent Ross Sea Freshening From Imbalance West Antarctic Ice Shelf Melting</t>
  </si>
  <si>
    <t>CIRCUMPOLAR DEEP-WATER; PINE ISLAND GLACIER; BOTTOM WATER; SOUTHERN-OCEAN; LEVEL RISE; MIXED-LAYER; LAND COAST; SHEET; DRIVEN; CIRCULATION</t>
  </si>
  <si>
    <t>A 63-year observational record in the southwest Ross Sea shows a continuing, near-linear salinity decrease of 0.170 and slight warming of 0.013 degrees C through 2020. That freshening exceeded any increase in sea ice production and brine release from stronger southerly winds, while melting and freezing at the Ross Ice Shelf base contributed little to the salinity change. The parallel seawater density decline appears not to have enhanced warm deep water intrusions onto the continental shelf (CS). Confirming prior inferences, the salinity change has been mainly caused by a growing imbalance in the meltwater available from thinning ice shelves and increased iceberg calving in the upstream Amundsen and Bellingshausen Seas. Shorter-term salinity variability has tracked winds near the Amundsen Sea CS break, in turn coherent with a broader Pacific climate variability index, and with salinity reversals on and seaward of the Ross CS. The melt driven freshening is positively correlated with global atmospheric CO2 and temperature increases, and adds to the rise in sea level from increased glacier flow into weakened ice shelves. Continued erosion of those ice shelves could end the production of high salinity shelf and bottom waters, as defined in the Ross Sea, by the 2050s. Plain Language Summary Prior reports of salinity change in the Ross Sea have relied on selected observations over a limited area, and assumptions about a probable cause. In this study we documented freshening over 63 years, accompanied by slight warming, from measurements obtained during 43 summers in a wider region on the southwest Ross continental shelf. Minor net melting under the adjacent Ross Ice Shelf may have helped to offset additional brine release by sea ice formation under stronger surface winds. However, most of the freshening has resulted from an increasing volume of West Antarctic ice shelf and iceberg meltwater transported westward by coastal and slope currents. Seawater density is dominated by salinity at cold temperatures, parameters that began to reveal change similar to 50 years ago as a shifting atmospheric circulation increased warm deep water access to vulnerable ice shelves. Downstream freshening of the Ross Sea and its Antarctic Bottom Water then resulted from meltwater sources that have increased by more than 10 billion tons each year, a remote impact of anthropogenic climate change with regional to global effects on ocean properties and sea level.</t>
  </si>
  <si>
    <t>[Jacobs, S. S.; Giulivi, C. F.; Dutrieux, P.] Columbia Univ, Lamont Doherty Earth Observ, Palisades, NY 10964 USA; [Dutrieux, P.] British Antarctic Survey, Cambridge, England</t>
  </si>
  <si>
    <t>Columbia University; UK Research &amp; Innovation (UKRI); Natural Environment Research Council (NERC); NERC British Antarctic Survey</t>
  </si>
  <si>
    <t>Jacobs, SS (corresponding author), Columbia Univ, Lamont Doherty Earth Observ, Palisades, NY 10964 USA.</t>
  </si>
  <si>
    <t>sjacobs@ldeo.columbia.edu</t>
  </si>
  <si>
    <t>; Dutrieux, Pierre/B-7568-2012</t>
  </si>
  <si>
    <t>Giulivi, Claudia/0000-0003-0461-2875; Dutrieux, Pierre/0000-0002-8066-934X</t>
  </si>
  <si>
    <t>NSF [OPP-1644159]; TIAA; SSA; NASA [80NSSC20K1158]</t>
  </si>
  <si>
    <t>NSF(National Science Foundation (NSF)); TIAA; SSA; NASA(National Aeronautics &amp; Space Administration (NASA))</t>
  </si>
  <si>
    <t>We thank the agencies and individuals who have financed, acquired, processed, reported or provided the data used in this study. Investigators and other personnel associated with the support of numerous ships, ice platforms and drifting floats were also essential in obtaining the existing observations. We have benefitted from anonymous and editorial reviews, and from assistance and discussions with the late T. Amos and J. Ardai, and with G. Budillon, R. Dunbar, R. Guerrero, R. Locarnini, F. Nitsche, S. O'Hara, D. Porter, N. Robinson, W. Smethie, S. Stammerjohn, C. Stewart and X. Yuan. The authors declare no financial conflicts of interest in this work, which was supported by the NSF (OPP-1644159), TIAA, SSA and NASA (80NSSC20K1158).</t>
  </si>
  <si>
    <t>e2021JC017808</t>
  </si>
  <si>
    <t>10.1029/2021JC017808</t>
  </si>
  <si>
    <t>0E2IP</t>
  </si>
  <si>
    <t>WOS:000776507900024</t>
  </si>
  <si>
    <t>Oliver, B; Veitch, J; Reason, CJC</t>
  </si>
  <si>
    <t>Oliver, Benjamin; Veitch, Jennifer; Reason, Chris J. C.</t>
  </si>
  <si>
    <t>Variability in High Wave Energy Events Around the Southern African Coast</t>
  </si>
  <si>
    <t>wave energy flux; SAM; ENSO; SAO; climate variability; ERA5</t>
  </si>
  <si>
    <t>ANNULAR MODE; EL-NINO; PART I; HEMISPHERE; CLIMATE; ENSO; CIRCULATION; IMPACTS; TRENDS; MODULATION</t>
  </si>
  <si>
    <t>The wave energy flux along the southern African coastline often reaches extreme levels, seriously impacting coastal communities, infrastructure, as well as near-coast and offshore marine operations. Understanding the drivers behind past high wave energy events and their frequency is key to forecasting future events. Using in-situ wave buoy data recorded by the Council for Scientific and Industrial Research (CSIR), the ERA5 and CACWR global wave model products are evaluated. The better-performing ERA5 product is used to assess long-term variability and trends around the coastline between 1979 and 2020. There are significant increasing trends in offshore flux for all seasons, with spring having the strongest coastal trends. Substantial interannual variability exists in wave energy flux and direction. Possible drivers, the Southern Annular Mode (SAM), El Nino Southern Oscillation (ENSO), and the semi-annual oscillation (SAO), were assessed to find that SAM appears to show the strongest relationship overall. Negative (positive) SAM is associated with above (below) average and westerly (easterly) anomalies in both flux and direction. ENSO directly impacts the summer wave climate while the SAO indirectly impacts the wave energy flux over spring and winter. During many seasons, more than one climate mode is active. It is found the strongest significant near-coast positive westerly anomalies occurred under negative SAM and negative SAO, with more intense offshore anomalies under El Nino, whereas the strongest significant negative east-northeasterly anomalies occurred under a combination of La Nina with positive SAM and SAO phases.</t>
  </si>
  <si>
    <t>[Oliver, Benjamin; Veitch, Jennifer; Reason, Chris J. C.] Univ Cape Town, Dept Oceanog, Rondebosch, South Africa; [Veitch, Jennifer] South African Environm Observat Network, Cape Town, South Africa</t>
  </si>
  <si>
    <t>University of Cape Town; National Research Foundation - South Africa; South African Environmental Observation Network (SAEON)</t>
  </si>
  <si>
    <t>Oliver, B (corresponding author), Univ Cape Town, Dept Oceanog, Rondebosch, South Africa.</t>
  </si>
  <si>
    <t>OLVBEN001@myuct.ac.za</t>
  </si>
  <si>
    <t>Reason, Christopher/0000-0002-3224-5243; Oliver, Benjamin/0000-0001-6212-4656</t>
  </si>
  <si>
    <t>South African National Antarctic Programme of NRF; South African Environmental Observation Network</t>
  </si>
  <si>
    <t>South African National Antarctic Programme of NRF; South African Environmental Observation Network(National Research Foundation - South Africa)</t>
  </si>
  <si>
    <t>The South African National Antarctic Programme of NRF and the South African Environmental Observation Network are thanked for funding the MSc thesis of the first author. The authors are also very grateful to various national and international institutions for providing the wave and atmospheric data analysed herein (CSIR South Africa, CAWCR Australia, and ECMWF EU).</t>
  </si>
  <si>
    <t>e2021JC018255</t>
  </si>
  <si>
    <t>10.1029/2021JC018255</t>
  </si>
  <si>
    <t>WOS:000776507900041</t>
  </si>
  <si>
    <t>Craig, TJ; Methley, P; Sandiford, D</t>
  </si>
  <si>
    <t>Craig, T. J.; Methley, P.; Sandiford, D.</t>
  </si>
  <si>
    <t>Imbalanced Moment Release Within Subducting Plates During Initial Bending and Unbending</t>
  </si>
  <si>
    <t>geophysics; subduction; intraslab; seismicity</t>
  </si>
  <si>
    <t>OUTER-RISE SEISMICITY; FOCAL MECHANISMS; GLOBAL SURVEY; LOWER PLANES; FLAT-SLAB; FORE-ARC; EARTHQUAKES; STRESS; LITHOSPHERE; BOUNDARY</t>
  </si>
  <si>
    <t>Internal deformation within the downgoing plate in subduction zones to accommodate the bending of the plate as it starts to subduct is reflected in widespread intraplate seismicity. This seismicity, extending from the outer rise and outer trench slope down to intermediate depths within the slab, exhibits a wide variety of focal mechanism types, often indicative of the accumulation and recovery of down-dip curvature through the combination of normal-faulting and thrust-faulting earthquakes. In the idealized case, where the bulk internal deformation is recovered and slabs descend as a straight plate into the deeper mantle, we might expect the seismic moment released in both extension and compression to balance. However, a number of factors may complicate this: the thermal, compositional, and rheological evolution of the slab as it subducts, changes in the proportion of deformation accommodated seismically, and whether the slab undergoes any permanent deformation. These factors may result in intraslab deformation and seismicity unrelated to the slab curvature. Here, we assess earthquake moment release in intraslab settings around the world, focusing on those subduction systems with relatively simple slab geometries. Consideration of several regions around the western Pacific and eastern Indian Ocean indicates that substantially more deformation is accommodated seismically during bending than during unbending, and that in both settings, significantly more moment release reflects down-dip extension than down-dip compression. This suggests that, although the location of seismicity is clearly related to changes in slab curvature, there is a component of permanent, unrecovered down-dip extension in many subducting slabs.</t>
  </si>
  <si>
    <t>[Craig, T. J.; Methley, P.] Univ Leeds, Sch Earth &amp; Environm, Inst Geophys &amp; Tecton, COMET, Leeds, W Yorkshire, England; [Methley, P.] Univ Cambridge, Dept Earth Sci, Cambridge, England; [Sandiford, D.] Univ Tasmania, Inst Marine &amp; Antarctic Studies, Hobart, Tas, Australia</t>
  </si>
  <si>
    <t>University of Leeds; University of Cambridge; University of Tasmania</t>
  </si>
  <si>
    <t>Craig, TJ (corresponding author), Univ Leeds, Sch Earth &amp; Environm, Inst Geophys &amp; Tecton, COMET, Leeds, W Yorkshire, England.</t>
  </si>
  <si>
    <t>t.j.craig@leeds.ac.uk</t>
  </si>
  <si>
    <t>Craig, Timothy/0000-0003-2198-9172; Sandiford, Dan/0000-0002-2207-6837; Methley, Peter/0000-0002-2346-9309</t>
  </si>
  <si>
    <t>Royal Society [URF\R1\180088]; COMET, the UK Natural Environment Research Council's Centre for the Observation and Modeling of Earthquakes, Volcanoes, and Tectonics</t>
  </si>
  <si>
    <t>Royal Society(Royal Society); COMET, the UK Natural Environment Research Council's Centre for the Observation and Modeling of Earthquakes, Volcanoes, and Tectonics</t>
  </si>
  <si>
    <t>Timothy James Craig and Peter Methley were supported in this work by the Royal Society under URF\R1\180088. Timothy James Craig was also supported through COMET, the UK Natural Environment Research Council's Centre for the Observation and Modeling of Earthquakes, Volcanoes, and Tectonics. We thank Andrew Walker for useful discussions.</t>
  </si>
  <si>
    <t>e2021JB023658</t>
  </si>
  <si>
    <t>10.1029/2021JB023658</t>
  </si>
  <si>
    <t>0E2JP</t>
  </si>
  <si>
    <t>WOS:000776510500008</t>
  </si>
  <si>
    <t>Zhou, ZY; Wiens, DA; Shen, WS; Aster, RC; Nyblade, A; Wilson, TJ</t>
  </si>
  <si>
    <t>Zhou, Zhengyang; Wiens, Douglas A.; Shen, Weisen; Aster, Richard C.; Nyblade, Andrew; Wilson, Terry J.</t>
  </si>
  <si>
    <t>Radial Anisotropy and Sediment Thickness of West and Central Antarctica Estimated From Rayleigh and Love Wave Velocities</t>
  </si>
  <si>
    <t>UPPER-MANTLE STRUCTURE; MARIE BYRD LAND; SEISMIC AMBIENT NOISE; TRANSANTARCTIC MOUNTAINS; STRUCTURE BENEATH; RECEIVER FUNCTIONS; RIFT SYSTEM; CONTINENTAL-CRUST; JOINT INVERSION; VICTORIA LAND</t>
  </si>
  <si>
    <t>Many recent Antarctic seismic structure studies use Rayleigh wave data and thus determine only the SV structure. Love waves provide greater resolution for shallow structure, and coupled with Rayleigh waves, can constrain radial anisotropy by comparing vertically (V-SV) and horizontally (V-SH) polarized shear velocities. In this study, we jointly analyze Rayleigh and Love wave phase and group velocities from ambient noise to develop a new radially anisotropic velocity model for West and Central Antarctica with an improved shallow crustal resolution using all broadband data collected in Antarctica over the past 20 years. Group and phase velocity maps for Rayleigh and Love waves are estimated and inverted for shear wave velocity structure using a Monte Carlo method. We determine a new sediment distribution map that reveals a thick sedimentary basin (similar to 4 km) beneath the Southeastern Ross Embayment. Sediment thicknesses at interior basins such as the Polar Subglacial Basin and Bentley Subglacial Trench are modest (&lt;1.5 km), suggesting that these basins are sediment-starved. The shallow crust as well as the mid-to-lower crust in several places shows strong positive anisotropy (V-SH &gt; V-SV), likely due to lattice preferred orientation of mica-bearing rocks. However, large regions of the mid-to-lower crust show negative anisotropy, likely due to lattice preferred orientation of plagioclase. The uppermost mantle is characterized by strong positive radial anisotropy (4%-8%) in West Antarctica, with the largest anisotropy beneath the Transantarctic and Whitmore Mountains, likely resulting from horizontal olivine preferred orientation due to tectonic activity. Plain Language Summary The crust and upper mantle structure of Antarctica have been poorly understood until recent studies, due to the remote location and thick ice cover. Seismic anisotropy, the directional dependence of seismic wave propagation, represents a probe to understand the deformation history of the crust and mantle. In this study, we use all broadband seismic records collected in Antarctica over the past 20 years to investigate the shear wave radial anisotropy structure. In addition, the improved shallow resolution allows us to determine a new continental-scale sediment thickness map, which reveals a thick sediment layer beneath the Southeastern Ross Embayment. Basins on the interior of the continent show limited sediment cover, likely due to sediment-starved conditions through much of their history. We find positive anisotropy (V-SH &gt; V-SV) in the shallow crust and a few places in the mid-to-lower crust, likely due to the orientation of the mica-bearing rocks. Much of the lower crust shows negative anisotropy (V-SH &lt; V-SV), likely due to the lattice preferred orientation of plagioclase. The uppermost mantle generally has positive anisotropy, with the largest magnitudes beneath the Transantarctic and Whitmore Mountains, where it likely results from the tectonic activity.</t>
  </si>
  <si>
    <t>[Zhou, Zhengyang; Wiens, Douglas A.] Washington Univ, Dept Earth &amp; Planetary Sci, St Louis, MO 63130 USA; [Shen, Weisen] SUNY Stony Brook, Dept Geosci, Stony Brook, NY 11794 USA; [Aster, Richard C.] Colorado State Univ, Dept Geosci, Ft Collins, CO 80523 USA; [Aster, Richard C.] Colorado State Univ, Warner Coll Nat Resources, Ft Collins, CO 80523 USA; [Nyblade, Andrew] Penn State Univ, Dept Geosci, University Pk, PA 16802 USA; [Wilson, Terry J.] Ohio State Univ, Sch Earth Sci, Columbus, OH 43210 USA</t>
  </si>
  <si>
    <t>Washington University (WUSTL); State University of New York (SUNY) System; State University of New York (SUNY) Stony Brook; Colorado State University; Colorado State University; Pennsylvania Commonwealth System of Higher Education (PCSHE); Pennsylvania State University; Pennsylvania State University - University Park; University System of Ohio; Ohio State University</t>
  </si>
  <si>
    <t>Zhou, ZY (corresponding author), Washington Univ, Dept Earth &amp; Planetary Sci, St Louis, MO 63130 USA.</t>
  </si>
  <si>
    <t>zhou.z@wustl.edu</t>
  </si>
  <si>
    <t>Aster, Richard/E-5067-2013; Wiens, Douglas A/J-9259-2016</t>
  </si>
  <si>
    <t>Aster, Richard/0000-0002-0821-4906; Wilson, Terry/0000-0001-9371-8158; Zhou, Zhengyang/0000-0002-7248-1849; Shen, Weisen/0000-0002-3766-632X</t>
  </si>
  <si>
    <t>National Science Foundation [OPP-1744889, OPP-1744852, OPP-1945693, OPP-1945856, EAR-1600087]; Seismological Facilities for the Advancement of Geoscience (SAGE) Award of the National Science Foundation [EAR-1851048]</t>
  </si>
  <si>
    <t>National Science Foundation(National Science Foundation (NSF)); Seismological Facilities for the Advancement of Geoscience (SAGE) Award of the National Science Foundation</t>
  </si>
  <si>
    <t>The authors would like to thank the support of all field teams who collected the data, especially Patrick Shore and Andrew J. Lloyd. This work is supported by the National Science Foundation under grants OPP-1744889 (Douglas A. Wien), OPP-1744852 (Douglas A. Wien), OPP-1945693 (Douglas A. Wien), OPP-1945856 (Weisen Shen) and EAR-1600087 (Weisen Shen). Seismic instruments and field support were provided by the Incorporated Research Institutions for Seismology (IRIS) through the PASSCAL Instrument Center at New Mexico Tech. Data collected will be available through the IRIS Data Management Center. The facilities of IRIS Data Management Center (https://ds.iris.edu/ds/nodes/dmc/) were used for access data used in this study. IRIS Data Services are funded through the Seismological Facilities for the Advancement of Geoscience (SAGE) Award of the National Science Foundation under Cooperative Support Agreement EAR-1851048.</t>
  </si>
  <si>
    <t>e2021JB022857</t>
  </si>
  <si>
    <t>10.1029/2021JB022857</t>
  </si>
  <si>
    <t>WOS:000776510500018</t>
  </si>
  <si>
    <t>Sakerin, SM; Golobokova, LP; Kabanov, DM; Khuriganowa, OI; Pol'kin, VV; Radionov, VF; Sidorova, OR; Turchinovich, YS</t>
  </si>
  <si>
    <t>Sakerin, Sergey M.; Golobokova, Liudmila P.; Kabanov, Dmitry M.; Khuriganowa, Olga, I; Pol'kin, Viktor V.; Radionov, Vladimir F.; Sidorova, Olga R.; Turchinovich, Yuri S.</t>
  </si>
  <si>
    <t>Spatial Distribution of Aerosol Characteristics over the South Atlantic and Southern Ocean Using Multiyear (2004-2021) Measurements from Russian Antarctic Expeditions</t>
  </si>
  <si>
    <t>aerosol; black carbon; ionic composition; spatial distribution; Southern Ocean; South Atlantic</t>
  </si>
  <si>
    <t>ATMOSPHERIC BLACK CARBON; OPTICAL DEPTH; CHEMICAL-COMPOSITION; SIZE DISTRIBUTION; SUN PHOTOMETERS; REANALYSIS; SUMMER; CRUISE; LAYER</t>
  </si>
  <si>
    <t>Since 2004, we have carried out yearly measurements of physicochemical aerosol characteristics onboard research vessels at Southern Hemisphere high latitudes (34-72 degrees S; 45 degrees W-110 degrees E). In this work, we statistically generalize the results from multiyear (2004-2021) measurements in this area of the aerosol optical depth (AOD) of the atmosphere, concentrations of aerosol and equivalent black carbon (EBC), as well as the ionic composition of aerosol. A common regularity was that the aerosol characteristics decreased with increasing latitude up to the Antarctic coast, where the aerosol content corresponded to the global background level. Between Africa and Antarctica, AOD decreased from 0.07 to 0.024, the particle volume decreased from 5.5 to 0.55 mu m(3)/cm(3), EBC decreased from 68.1 to 17.4 ng/m(3), and the summed ion concentration decreased from 24.5 to 2.5 mu g/m(3). Against the background of the common tendency of the latitude decrease in aerosol characteristics, we discerned a secondary maximum (AOD and ion concentrations) or a plateau (aerosol and EBC concentrations). The obtained spatial distribution of aerosol characteristics qualitatively agreed with the model-based MERRA-2 reanalysis data, but showed quantitative differences: the model AOD values were overestimated (by 0.015, on average); while the EBC concentrations were underestimated (by 21.7 ng/m(3)). An interesting feature was found in the aerosol spatial distribution in the region of Antarctic islands: at a distance of 300 km from the islands, the concentrations of EBC decreased on average by 29%, while the aerosol content increased by a factor of 2.5.</t>
  </si>
  <si>
    <t>[Sakerin, Sergey M.; Kabanov, Dmitry M.; Khuriganowa, Olga, I; Pol'kin, Viktor V.; Turchinovich, Yuri S.] Russian Acad Sci, VE Zuev Inst Atmospher Opt, Siberian Branch, Academician Zuev Sq 1, Tomsk 634021, Russia; [Golobokova, Liudmila P.; Khuriganowa, Olga, I] Russian Acad Sci, Limnol Inst, Siberian Branch, Ulan Batorskaya 3, Irkutsk 664033, Russia; [Radionov, Vladimir F.; Sidorova, Olga R.] Arctic &amp; Antarctic Reserch Inst, 38 Bering Str, St Petersburg 199397, Russia</t>
  </si>
  <si>
    <t>Russian Academy of Sciences; Zuev Institute of Atmospheric Optics, Siberian Branch of the Russian Academy of Sciences; Irkutsk Science Centre of the Russian Academy of Sciences; Russian Academy of Sciences; Limnological Institute SB RAS</t>
  </si>
  <si>
    <t>Sakerin, SM; Kabanov, DM (corresponding author), Russian Acad Sci, VE Zuev Inst Atmospher Opt, Siberian Branch, Academician Zuev Sq 1, Tomsk 634021, Russia.</t>
  </si>
  <si>
    <t>sms@iao.ru; lg@lin.irk.ru; dkab@iao.ru; khuriganowa@mail.ru; victor@iao.ru; vradion@aari.ru; olsid@aari.ru; tus@iao.ru</t>
  </si>
  <si>
    <t>Radionov, Vladimir F./O-3038-2017; Kabanov, Dmitry/A-4871-2014; Kabanov, Dmitry M./A-5805-2014; Sakerin, Sergey/A-6508-2014; Golobokova, Liudmila/J-4361-2018</t>
  </si>
  <si>
    <t>Golobokova, Liudmila/0000-0002-4960-8135; Sakerin, Sergey/0000-0002-0419-4979</t>
  </si>
  <si>
    <t>Russian Science Foundation [21-77-20025]; Russian Science Foundation [21-77-20025] Funding Source: Russian Science Foundation</t>
  </si>
  <si>
    <t>This work was supported by the Russian Science Foundation (Grant No. 21-77-20025).</t>
  </si>
  <si>
    <t>10.3390/atmos13030427</t>
  </si>
  <si>
    <t>0D2YB</t>
  </si>
  <si>
    <t>WOS:000775865200001</t>
  </si>
  <si>
    <t>Cook, KM; Yamagiwa, H; Beger, M; Masucci, GD; Ross, S; Lee, HYT; Stuart-Smith, RD; Reimer, JD</t>
  </si>
  <si>
    <t>Cook, Katie M.; Yamagiwa, Hirotaka; Beger, Maria; Masucci, Giovanni Diego; Ross, Stuart; Lee, Hui Yian Theodora; Stuart-Smith, Rick D.; Reimer, James Davis</t>
  </si>
  <si>
    <t>A community and functional comparison of coral and reef fish assemblages between four decades of coastal urbanisation and thermal stress</t>
  </si>
  <si>
    <t>coastal reefs; community turnover; functional traits; Okinawa; temporal change; Urbanization</t>
  </si>
  <si>
    <t>GREAT-BARRIER-REEF; RESILIENCE; BIODIVERSITY; GENERALISTS; DYNAMICS; HABITAT</t>
  </si>
  <si>
    <t>Urbanized coral reefs experience anthropogenic disturbances caused by coastal development, pollution, and nutrient runoff, resulting in turbid, marginal conditions in which only certain species can persist. Mortality effects are exacerbated by increasingly regular thermal stress events, leading to shifts towards novel communities dominated by habitat generalists and species with low structural complexity. There is limited data on the turnover processes that occur due to this convergence of anthropogenic stressors, and how novel urban ecosystems are structured both at the community and functional levels. As such, it is unclear how they will respond to future disturbance events. Here, we examine the patterns of coral reef community change and determine whether ecosystem functions provided by specialist species are lost post-disturbance. We present a comparison of community and functional trait-based changes for scleractinian coral genera and reef fish species assemblages subject to coastal development, coastal modification, and mass bleaching between two time periods, 1975-1976 and 2018, in Nakagusuku Bay, Okinawa, Japan. We observed an increase in fish habitat generalists, a dominance shift from branching to massive/sub-massive corals and increasing site-based coral genera richness between years. Fish and coral communities significantly reassembled, but functional trait-based multivariate space remained constant, indicating a turnover of species with similar traits. A compression of coral habitat occurred, with shallow (&lt;5 m) and deep (&gt;8 m) coral genera shifting towards the mid-depths (5-8 m). We show that although reef species assemblages altered post disturbance, new communities retained similar ecosystem functions. This result could be linked to the stressors experienced by urban reefs, which reflect those that will occur at an increasing frequency globally in the near future. Yet, even after shifts to disturbed communities, these fully functioning reef systems may maintain high conservation value.</t>
  </si>
  <si>
    <t>[Cook, Katie M.; Beger, Maria; Ross, Stuart] Univ Leeds, Fac Biol Sci, Sch Biol, Leeds LS2 9JT, W Yorkshire, England; [Yamagiwa, Hirotaka; Masucci, Giovanni Diego; Lee, Hui Yian Theodora; Reimer, James Davis] Univ Ryukyus, Grad Sch Engn &amp; Sci, Mol Invertebrate Systemat &amp; Ecol Lab, Nishihara, Okinawa, Japan; [Beger, Maria] Univ Queensland, Ctr Biodivers &amp; Conservat Sci, Sch Biol Sci, Brisbane, Qld, Australia; [Lee, Hui Yian Theodora] Natl Univ Singapore, Dept Biol Sci, Expt Marine Ecol Lab, Singapore, Singapore; [Stuart-Smith, Rick D.] Univ Tasmania, Inst Marine &amp; Antarctic Studies, Taroona, Tas, Australia; [Reimer, James Davis] Univ Ryukyus, Trop Biosphere Res Ctr, Nishihara, Okinawa, Japan</t>
  </si>
  <si>
    <t>University of Leeds; University of the Ryukyus; University of Queensland; National University of Singapore; University of Tasmania; University of the Ryukyus</t>
  </si>
  <si>
    <t>Cook, KM (corresponding author), Univ Leeds, Fac Biol Sci, Sch Biol, Leeds LS2 9JT, W Yorkshire, England.</t>
  </si>
  <si>
    <t>bskmc@leeds.ac.uk</t>
  </si>
  <si>
    <t>Stuart-Smith, Rick/I-5214-2019; Beger, Maria/ABC-5975-2022; Reimer, James Davis/AAP-1331-2020</t>
  </si>
  <si>
    <t>Stuart-Smith, Rick/0000-0002-8874-0083; Beger, Maria/0000-0003-1363-3571; Cook, Katie/0000-0002-2401-3522; /0000-0002-8942-1711</t>
  </si>
  <si>
    <t>Japan Society for the Promotion of Science; Winifred Violet Scott Estate; Research Institute of Marine Invertebrates; University of Leeds; European Union [TRIM-DLV-747102]; IDEA WILD; Narishige Zoological Science Award</t>
  </si>
  <si>
    <t>Japan Society for the Promotion of Science(Ministry of Education, Culture, Sports, Science and Technology, Japan (MEXT)Japan Society for the Promotion of Science); Winifred Violet Scott Estate; Research Institute of Marine Invertebrates; University of Leeds; European Union(European Union (EU)); IDEA WILD; Narishige Zoological Science Award</t>
  </si>
  <si>
    <t>Japan Society for the Promotion of Science; Winifred Violet Scott Estate; The Research Institute of Marine Invertebrates; University of Leeds; European Union Horizon 2020 Marie Sklodowska-Curie grant agreement, Grant/Award Number: TRIM-DLV-747102; IDEA WILD; JDR was supported in part by the Narishige Zoological Science Award.</t>
  </si>
  <si>
    <t>e8736</t>
  </si>
  <si>
    <t>10.1002/ece3.8736</t>
  </si>
  <si>
    <t>0B7YN</t>
  </si>
  <si>
    <t>WOS:000774845900001</t>
  </si>
  <si>
    <t>Blazsek, S; Escribano, A</t>
  </si>
  <si>
    <t>Blazsek, Szabolcs; Escribano, Alvaro</t>
  </si>
  <si>
    <t>Robust Estimation and Forecasting of Climate Change Using Score-Driven Ice-Age Models</t>
  </si>
  <si>
    <t>ECONOMETRICS</t>
  </si>
  <si>
    <t>climate change; ice-ages and inter-glacial periods; global ice volume; atmospheric CO2; Antarctic land surface temperature; dynamic conditional score; generalized autoregressive score</t>
  </si>
  <si>
    <t>GRAND SOLAR MINIMUM; TIME-SERIES</t>
  </si>
  <si>
    <t>We use data on the following climate variables for the period of the last 798 thousand years: global ice volume (Ice(t)), atmospheric carbon dioxide level (CO2,t), and Antarctic land surface temperature (Temp(t)). Those variables are cyclical and are driven by the following strongly exogenous orbital variables: eccentricity of the Earth's orbit, obliquity, and precession of the equinox. We introduce score-driven ice-age models which use robust filters of the conditional mean and variance, generalizing the updating mechanism and solving the misspecification of a recent climate-econometric model (benchmark ice-age model). The score-driven models control for omitted exogenous variables and extreme events, using more general dynamic structures and heteroskedasticity. We find that the score-driven models improve the performance of the benchmark ice-age model. We provide out-of-sample forecasts of the climate variables for the last 100 thousand years. We show that during the last 10-15 thousand years of the forecasting period, for which humanity influenced the Earth's climate, (i) the forecasts of Ice t are above the observed Ice(t), (ii) the forecasts of CO2,t level are below the observed CO2,t, and (iii) the forecasts of Temp(t) are below the observed Temp(t). The forecasts for the benchmark ice-age model are reinforced by the score-driven models.</t>
  </si>
  <si>
    <t>[Blazsek, Szabolcs] Univ Francisco Marroquin, Sch Business, Guatemala City 01010, Guatemala; [Escribano, Alvaro] Univ Carlos III Madrid, Dept Econ, Calle Madrid 126, Getafe 28903, Spain</t>
  </si>
  <si>
    <t>Universidad Carlos III de Madrid</t>
  </si>
  <si>
    <t>Escribano, A (corresponding author), Univ Carlos III Madrid, Dept Econ, Calle Madrid 126, Getafe 28903, Spain.</t>
  </si>
  <si>
    <t>sblazsek@ufm.edu; alvaroe@eco.uc3m.es</t>
  </si>
  <si>
    <t>ESCRIBANO, ALVARO/H-7997-2015</t>
  </si>
  <si>
    <t>ESCRIBANO, ALVARO/0000-0003-4401-0887; Blazsek, Szabolcs/0000-0002-0394-1258</t>
  </si>
  <si>
    <t>Universidad Francisco Marroquin; Ministerio de Economia, Industria y Competitividad [ECO2016-00105-001, MDM 2014-0431]; Comunidad de Madrid [MadEco-CM S2015/HUM-3444]; Agencia Estatal de Investigacion [2019/00419/001]</t>
  </si>
  <si>
    <t>Universidad Francisco Marroquin; Ministerio de Economia, Industria y Competitividad(Spanish Government); Comunidad de Madrid(Comunidad de Madrid); Agencia Estatal de Investigacion</t>
  </si>
  <si>
    <t>Blazsek acknowledges funding from Universidad Francisco Marroquin. Escribano acknowledges funding from Ministerio de Economia, Industria y Competitividad (ECO2016-00105-001 and MDM 2014-0431), Comunidad de Madrid (MadEco-CM S2015/HUM-3444), and Agencia Estatal de Investigacion (2019/00419/001).</t>
  </si>
  <si>
    <t>2225-1146</t>
  </si>
  <si>
    <t>Econometrics</t>
  </si>
  <si>
    <t>10.3390/econometrics10010009</t>
  </si>
  <si>
    <t>Economics</t>
  </si>
  <si>
    <t>Business &amp; Economics</t>
  </si>
  <si>
    <t>0C7IC</t>
  </si>
  <si>
    <t>WOS:000775481700001</t>
  </si>
  <si>
    <t>Vishwakarma, BD; Horwath, M; Groh, A; Bamber, JL</t>
  </si>
  <si>
    <t>Vishwakarma, Bramha Dutt; Horwath, Martin; Groh, Andreas; Bamber, Jonathan L.</t>
  </si>
  <si>
    <t>Accounting for GIA signal in GRACE products</t>
  </si>
  <si>
    <t>Global change from geodesy; Satellite geodesy; Time variable gravity</t>
  </si>
  <si>
    <t>SEA-LEVEL RISE; SURFACE; EARTH; MODEL</t>
  </si>
  <si>
    <t>The Gravity Recovery and Climate Experiment (GRACE) observes gravitational potential anomalies that include the effects of present-day surface mass change (PDSMC)- and glacial isostatic adjustment (GIA)-driven solid Earth mass redistribution. Therefore, GIA estimates from a forward model are commonly removed from GRACE to estimate PDSMC. There are several GIA models and to facilitate users in using a GIA model of their choice, both GRACE and GIA products are made available in terms of global gridded fields representing mass anomaly. GRACE-observed gravitational potential anomalies are represented in terms of equivalent water height (EWH) with a relation that accounts for an elastic solid Earth deformation due to PDSMC. However, for obtaining GIA EWH fields from GIA gravitational potential fields, two relations are being used: one that is similar to that being used for GRACE EWH and the other that does not include an elastic deformation effect. This leaves users with the possibility of obtaining different values for PDSMC with a given GRACE and GIA field. In this paper, we discuss the impact of this problem on regional mass change estimates and highlight the need for consistent treatment of GIA signals in GRACE observations.</t>
  </si>
  <si>
    <t>[Vishwakarma, Bramha Dutt; Bamber, Jonathan L.] Univ Bristol, Sch Geog Sci, Bristol BS8 1RL, Avon, England; [Vishwakarma, Bramha Dutt] Indian Inst Sci, Interdisciplinary Ctr Water Res, Bangalore 560012, Karnataka, India; [Horwath, Martin; Groh, Andreas] Tech Univ Dresden, Inst Plandare Geodasie, D-01062 Dresden, Germany; [Bamber, Jonathan L.] Tech Univ Munich, AI4EO Future Lab, D-80333 Munich, Germany</t>
  </si>
  <si>
    <t>University of Bristol; Indian Institute of Science (IISC) - Bangalore; Technische Universitat Dresden; Technical University of Munich</t>
  </si>
  <si>
    <t>Vishwakarma, BD (corresponding author), Univ Bristol, Sch Geog Sci, Bristol BS8 1RL, Avon, England.;Vishwakarma, BD (corresponding author), Indian Inst Sci, Interdisciplinary Ctr Water Res, Bangalore 560012, Karnataka, India.</t>
  </si>
  <si>
    <t>bd.vishwakarma@bristol.ac.uk</t>
  </si>
  <si>
    <t>Bamber, Jonathan/C-7608-2011</t>
  </si>
  <si>
    <t>Bamber, Jonathan/0000-0002-2280-2819; Horwath, Martin/0000-0001-5797-244X; Vishwakarma, Bramha Dutt/0000-0003-4787-8470</t>
  </si>
  <si>
    <t>Marie Sklodowska-Curie Individual Fellowship (MSCA-IF) [841407]; ESA through the Climate Change Initiative (CCI) project Sea-level Budget Closure CCI [4000119910/17/I-NB]; ESA through the Climate Change Initiative (CCI) project Antarctic Ice Sheet CCI+ [4000126813/19/I-NB]; ESA through the Climate Change Initiative (CCI) project Greenland Ice Sheet CCI+ [4000126523/19/I-NB]; European Research Council (ERC) under the European Union [694188]; Leverhulme Trust [RF-2016-718]; Royal Society Wolfson Research Merit Award; Marie Curie Actions (MSCA) [841407] Funding Source: Marie Curie Actions (MSCA)</t>
  </si>
  <si>
    <t>Marie Sklodowska-Curie Individual Fellowship (MSCA-IF); ESA through the Climate Change Initiative (CCI) project Sea-level Budget Closure CCI; ESA through the Climate Change Initiative (CCI) project Antarctic Ice Sheet CCI+; ESA through the Climate Change Initiative (CCI) project Greenland Ice Sheet CCI+; European Research Council (ERC) under the European Union(European Research Council (ERC)); Leverhulme Trust(Leverhulme Trust); Royal Society Wolfson Research Merit Award(Royal Society); Marie Curie Actions (MSCA)(Marie Curie Actions)</t>
  </si>
  <si>
    <t>BDV was supported by the Marie Sklodowska-Curie Individual Fellowship (MSCA-IF) under grant agreement number 841407 (CLOSeR). AG was supported by ESA through the Climate Change Initiative (CCI) projects Sea-level Budget Closure CCI (contract number 4000119910/17/I-NB), Antarctic Ice Sheet CCI+ (contract number 4000126813/19/I-NB) and Greenland Ice Sheet CCI+ (contract number 4000126523/19/I-NB). JLB was supported by European Research Council (ERC) under the European Union's Horizon 2020 -Research and Innovation Framework Programme under grant agreement number 694188, the GlobalMass project (globalmass.eu). JLB was additionally supported through a Leverhulme Trust Fellowship (RF-2016-718) and a Royal Society Wolfson Research Merit Award https://royalsociety.org/grants-scheme s-awards/grants/wolfson-research-merit/.</t>
  </si>
  <si>
    <t>10.1093/gji/ggab464</t>
  </si>
  <si>
    <t>0D8GD</t>
  </si>
  <si>
    <t>WOS:000776226200017</t>
  </si>
  <si>
    <t>Deng, SK; Shen, ZQ; Chen, SL; Wang, RX</t>
  </si>
  <si>
    <t>Deng, Shaokun; Shen, Zheqi; Chen, Shengli; Wang, Renxi</t>
  </si>
  <si>
    <t>Comparison of Perturbation Strategies for the Initial Ensemble in Ocean Data Assimilation with a Fully Coupled Earth System Model</t>
  </si>
  <si>
    <t>initial ensemble; perturbation; ensemble Kalman filter</t>
  </si>
  <si>
    <t>SEQUENTIAL DATA ASSIMILATION; KALMAN FILTER; METEOROLOGICAL OBSERVATIONS; PART I; PREDICTION; SEA; IMPACT; SIMULATION; FRAMEWORK; CCSM4</t>
  </si>
  <si>
    <t>It is widely recognized that the initial ensemble describes the uncertainty of the variables and, thus, affects the performance of ensemble-based assimilation techniques, which is investigated in this paper with experiments using the Community Earth System Model (CESM) and the Data Assimilation Research Testbed (DART) assimilation software. Five perturbation strategies involving adding noises of different patterns and with/without extra integration are compared in the observation system simulation experiments framework, in which the SST is assimilated with the ensemble adjustment Kalman filter method. The comparison results show that for the observed variables (sea surface temperature), the differences in the initial ensemble lead to different rate of convergence in the assimilation, but all experiments reach convergence after three months. However, other variables (sea surface height and sea surface salinity) are more sensitive to the initial ensemble. The analysis of variance results reveal that the white-noise perturbation scheme has the largest RMSE. After excluding the effect of the white noise perturbation scheme, it can be found that the difference in the effect of different initial ensembles on the SSH with only assimilated SST is concentrated in the region of the Antarctic Circumpolar Current, which is related to the spread of the covariance between the SSH and the SST.</t>
  </si>
  <si>
    <t>[Deng, Shaokun; Chen, Shengli] Tsinghua Univ, Shenzhen Int Grad Sch, Inst Ocean Engn, Shenzhen 518055, Peoples R China; [Shen, Zheqi; Wang, Renxi] Hohai Univ, Coll Oceanog, Nanjing 210024, Peoples R China; [Shen, Zheqi] Hohai Univ, Key Lab Marine Hazards Forecasting, Minist Nat Resources, Nanjing 210024, Peoples R China; [Shen, Zheqi] Southern Marine Sci &amp; Engn Guangdong Lab Zhuhai, Zhuhai 519080, Peoples R China</t>
  </si>
  <si>
    <t>Tsinghua University; Hohai University; Ministry of Natural Resources of the People's Republic of China; Hohai University; Southern Marine Science &amp; Engineering Guangdong Laboratory; Southern Marine Science &amp; Engineering Guangdong Laboratory (Zhuhai)</t>
  </si>
  <si>
    <t>Chen, SL (corresponding author), Tsinghua Univ, Shenzhen Int Grad Sch, Inst Ocean Engn, Shenzhen 518055, Peoples R China.;Shen, ZQ (corresponding author), Hohai Univ, Coll Oceanog, Nanjing 210024, Peoples R China.;Shen, ZQ (corresponding author), Hohai Univ, Key Lab Marine Hazards Forecasting, Minist Nat Resources, Nanjing 210024, Peoples R China.;Shen, ZQ (corresponding author), Southern Marine Sci &amp; Engn Guangdong Lab Zhuhai, Zhuhai 519080, Peoples R China.</t>
  </si>
  <si>
    <t>dengsk21@mails.tsinghua.edu.cn; zqshen@hhu.edu.cn; shenglichen@sz.tsinghua.edu.cn; 211311040044@hhu.edu.cn</t>
  </si>
  <si>
    <t>SHEN, Zheqi/AAT-5817-2020</t>
  </si>
  <si>
    <t>SHEN, Zheqi/0000-0002-3457-0832; Deng, Shaokun/0000-0003-4029-5379</t>
  </si>
  <si>
    <t>Shenzhen University Sustainable Support Plan [WDZC20200819105831001]; Shenzhen Peacock Plan [KQJSCX20170720174016789]; Fundamental Research Funds for the Central Universities [B210201022]; National Natural Science Foundation of China [42176003, 41690124]; Scientific Research Start-up Funds [QD2021021C]</t>
  </si>
  <si>
    <t>Shenzhen University Sustainable Support Plan; Shenzhen Peacock Plan; Fundamental Research Funds for the Central Universities(Fundamental Research Funds for the Central Universities); National Natural Science Foundation of China(National Natural Science Foundation of China (NSFC)); Scientific Research Start-up Funds</t>
  </si>
  <si>
    <t>Many thanks to Youmin Tang for his advice on this study and for providing high performance computing resources. This research was funded by the Shenzhen University Sustainable Support Plan under grant number WDZC20200819105831001, the Shenzhen Peacock Plan under grant number KQJSCX20170720174016789, the Fundamental Research Funds for the Central Universities under grant number B210201022, and the National Natural Science Foundation of China under grant number 42176003 and 41690124. Shengli is supported by the Scientific Research Start-up Funds (QD2021021C).</t>
  </si>
  <si>
    <t>10.3390/jmse10030412</t>
  </si>
  <si>
    <t>0B7ZX</t>
  </si>
  <si>
    <t>WOS:000774849500001</t>
  </si>
  <si>
    <t>Pnyushkov, AV; Alekseev, GV; Smirnov, AV</t>
  </si>
  <si>
    <t>Pnyushkov, Andrey, V; Alekseev, Genrikh, V; Smirnov, Alexander, V</t>
  </si>
  <si>
    <t>On the Interplay between Freshwater Content and Hydrographic Conditions in the Arctic Ocean in the 1990s-2010s</t>
  </si>
  <si>
    <t>freshwater content; Arctic Ocean; climate changes and feedback</t>
  </si>
  <si>
    <t>EURASIAN BASIN; BOUNDARY CURRENT; HEAT FLUXES; SEA-ICE; VARIABILITY; HALOCLINE; SURFACE</t>
  </si>
  <si>
    <t>We investigated liquid freshwater content (FWC) in the upper 100 m layer of the Arctic Ocean using oceanographic observations covering the period from 1990 through 2018. Our analysis revealed two opposite tendencies in freshwater balance-the freshening in the Canada Basin at the mean rate of 2.04 +/- 0.64 m/decade and the salinization of the eastern Eurasian Basin (EB) at the rate of 0.96 +/- 0.86 m/decade. In line with this, we found that the Arctic Ocean gained an additional 19,000 +/- 1000 km(3) of freshwater over the 1990-2018 period. FWC changes in the EB since 1990 demonstrate an intermittent pattern with the most rapid decrease (from similar to 5.5 to 3.8 m) having occurred between 2000 and 2005. The 1990-2018 FWC changes in the upper ocean were concurrent with prominent changes of the thermohaline properties of the intermediate Atlantic Water (AW)-the main source of salt and heat for the Arctic Basin. In the eastern EB, we found a 50 m rise of the upper AW boundary accompanied by a similar to 0.5 degrees C increase in the AW core temperature. The close relationship (R &gt; 0.7 +/- 0.2) between available potential energy in the layer above the AW and FWC in the eastern EB suggests a positive feedback mechanism that links the amount of freshwater with the intensity of vertical heat and salt exchange in the halocline and upper AW layers. Together with other mechanisms of Atlantification, this feedback creates a complex picture of interactions behind the observed changes in the hydrological and ice regimes of the Eurasian sector of the Arctic Ocean.</t>
  </si>
  <si>
    <t>[Pnyushkov, Andrey, V] Univ Alaska Fairbanks, Int Arctic Res Ctr, 2160 Koyukuk Dr, Fairbanks, AK 99775 USA; [Pnyushkov, Andrey, V] Hokkaido Univ, Global Inst Collaborat Res &amp; Educ, Sapporo, Hokkaido 0600808, Japan; [Alekseev, Genrikh, V; Smirnov, Alexander, V] Russian Federat Arctic &amp; Antarctic, State Sci Ctr, St Petersburg 199397, Russia</t>
  </si>
  <si>
    <t>University of Alaska System; University of Alaska Fairbanks; Hokkaido University</t>
  </si>
  <si>
    <t>Pnyushkov, AV (corresponding author), Univ Alaska Fairbanks, Int Arctic Res Ctr, 2160 Koyukuk Dr, Fairbanks, AK 99775 USA.;Pnyushkov, AV (corresponding author), Hokkaido Univ, Global Inst Collaborat Res &amp; Educ, Sapporo, Hokkaido 0600808, Japan.</t>
  </si>
  <si>
    <t>avpnyushkov@alaska.edu; alexgv@aari.ru; alexander.vic.smirnov@gmail.com</t>
  </si>
  <si>
    <t>Smirnov, Alexander/J-5935-2014; Alekseev, Genrikh/R-8785-2016</t>
  </si>
  <si>
    <t>Smirnov, Alexander/0000-0003-3231-7283; Pnyushkov, Andrey/0000-0001-9112-6458; Alekseev, Genrikh/0000-0001-5630-647X</t>
  </si>
  <si>
    <t>NSF [AON-1203473, AON-1338948, AON-1724523]; RFBR [18-05-60107]</t>
  </si>
  <si>
    <t>NSF(National Science Foundation (NSF)); RFBR(Russian Foundation for Basic Research (RFBR))</t>
  </si>
  <si>
    <t>We thank the Academic Editor, Lars Chresten Lund-Hansen, and three anonymous reviewers for their valuable comments and help with the manuscript. Analysis presented in this paper was carried out within the framework of the Nansen and Amundsen Basins Observational Program (NABOS) project, with support from the NSF (grants AON-1203473, AON-1338948, and AON-1724523). G.A., A.S. were supported by RFBR grant 18-05-60107 'Changes in the freshwater balance of the Arctic Ocean during global warming, their impact on sea ice and amplification of the warming in the Arctic'.</t>
  </si>
  <si>
    <t>10.3390/jmse10030401</t>
  </si>
  <si>
    <t>0B7ES</t>
  </si>
  <si>
    <t>WOS:000774794300001</t>
  </si>
  <si>
    <t>Kang, TS; Kong, C; Yoo, HJ</t>
  </si>
  <si>
    <t>Kang, Tae-Seob; Kong, ChangHwan; Yoo, Hyun Jae</t>
  </si>
  <si>
    <t>Analysis of man-made signals recorded at a temporary seismograph station at the Jang Bogo Station, Terra Nova Bay, Antarctica</t>
  </si>
  <si>
    <t>JOURNAL OF THE GEOLOGICAL SOCIETY OF KOREA</t>
  </si>
  <si>
    <t>Korean</t>
  </si>
  <si>
    <t>Antarctic Jang Hugo Station; ice-breaking research vessel Araon; seismic records; spectral analysis; man-made signals</t>
  </si>
  <si>
    <t>The characteristics of man-made signals were identified by analyzing the records of a temporary seismograph station installed at the Jang Bogo Station in Terra Nova Bay, Antarctica. during the activities of the second overwinter party. The records were from March 8, 2015, when the icebreaker Araon was anchored near the isolated station to provide necessary supplies and winter personnel change. While the Araon was in the anchorage, various man-made signals were generated at the station. Representative sources of such signals include machinery such as generators essential to operate the station and the Araon as well as helicopters and vehicles that transport personnel and materials. Since the machinery uses engine or motor, they generate signals at specific frequency bands. Characteristics of such man-made signals were identified from seismic records. They were then compared to the frequency bands of signals that could be calculated using the specifications of known mechanical devices. The signal computed for each device was an exact match for the signal observed, and could be used to obtain information about the operating times, movements, and paths of the sources. Thus, these results showed that seismic records can be used to investigate the causes of man-made signals.</t>
  </si>
  <si>
    <t>[Kang, Tae-Seob] Pukyong Natl Univ, Div Earth Environm Syst Sci, Pusan 48513, South Korea; [Kong, ChangHwan] Minist Natl Def, Anyang 14047, South Korea; [Yoo, Hyun Jae] Pukyong Natl Univ, Inst Environm GeoSci, Pusan 48513, South Korea</t>
  </si>
  <si>
    <t>Pukyong National University; Pukyong National University</t>
  </si>
  <si>
    <t>Kang, TS (corresponding author), Pukyong Natl Univ, Div Earth Environm Syst Sci, Pusan 48513, South Korea.</t>
  </si>
  <si>
    <t>tskang@pknu.ac.kr</t>
  </si>
  <si>
    <t>Kang, Tae-Seob/J-1946-2014</t>
  </si>
  <si>
    <t>Kang, Tae-Seob/0000-0002-0894-1468</t>
  </si>
  <si>
    <t>GEOLOGICAL SOC KOREA</t>
  </si>
  <si>
    <t>KOREA SCIENCE &amp; TECHNOLOGY CTR, RM 813, 7 GIL 22, TEHERAN- RO, GANGNAM-GUNA, SEOUL, 06130, SOUTH KOREA</t>
  </si>
  <si>
    <t>0435-4036</t>
  </si>
  <si>
    <t>2288-7377</t>
  </si>
  <si>
    <t>J GEOL SOC KOREA</t>
  </si>
  <si>
    <t>J. Geol. Soc. Korea</t>
  </si>
  <si>
    <t>10.14770/jgsk.2022.58.1.67</t>
  </si>
  <si>
    <t>0D4TV</t>
  </si>
  <si>
    <t>WOS:000775990500001</t>
  </si>
  <si>
    <t>Shi, Y; Evtushevsky, O; Milinevsky, G; Klekociuk, A; Han, W; Ivaniha, O; Andrienko, Y; Shulga, V; Zhang, CN</t>
  </si>
  <si>
    <t>Shi, Yu; Evtushevsky, Oleksandr; Milinevsky, Gennadi; Klekociuk, Andrew; Han, Wei; Ivaniha, Oksana; Andrienko, Yulia; Shulga, Valery; Zhang, Chenning</t>
  </si>
  <si>
    <t>Zonal Asymmetry of the Stratopause in the 2019/2020 Arctic Winter</t>
  </si>
  <si>
    <t>stratopause; mesosphere; sudden stratospheric warming; polar vortex; zonal wind; quasi-biennial oscillation; planetary wave</t>
  </si>
  <si>
    <t>STRATOSPHERIC SUDDEN WARMINGS; CONVECTIVE GRAVITY-WAVES; EQUATORIAL WAVES; PLANETARY-WAVES; CLIMATOLOGY; EVENTS; TEMPERATURE; PROPAGATION; MESOSPHERE; ATMOSPHERE</t>
  </si>
  <si>
    <t>The aim of this work is to study the zonally asymmetric stratopause that occurred in the Arctic winter of 2019/2020, when the polar vortex was particularly strong and there was no sudden stratospheric warming. Aura Microwave Limb Sounder temperature data were used to analyze the evolution of the stratopause with a particular focus on its zonally asymmetric wave 1 pattern. There was a rapid descent of the stratopause height below 50 km in the anticyclone region in mid-December 2019. The descended stratopause persisted until mid-January 2020 and was accompanied by a slow descent of the higher stratopause in the vortex region. The results show that the stratopause in this event was inclined and lowered from the mesosphere in the polar vortex to the stratosphere in the anticyclone. It was found that the vertical amplification of wave 1 between 50 km and 60 km closely coincides in time with the rapid stratopause descent in the anticyclone. Overall, the behavior contrasts with the situation during sudden stratospheric warmings when the stratopause reforms at higher altitudes following wave amplification events. We link the mechanism responsible for coupling between the vertical wave 1 amplification and this form of zonally asymmetric stratopause descent to the unusual disruption of the quasi-biennial oscillation that occurred in late 2019.</t>
  </si>
  <si>
    <t>[Shi, Yu; Milinevsky, Gennadi; Han, Wei; Shulga, Valery; Zhang, Chenning] Jilin Univ, Coll Phys, Int Ctr Future Sci, Changchun 130012, Peoples R China; [Evtushevsky, Oleksandr; Milinevsky, Gennadi; Ivaniha, Oksana; Andrienko, Yulia] Taras Shevchenko Natl Univ Kyiv, Phys Fac, UA-01601 Kiev, Ukraine; [Milinevsky, Gennadi; Ivaniha, Oksana] Natl Antarctic Sci Ctr, Dept Atmosphere Phys &amp; Geospace, UA-01601 Kiev, Ukraine; [Klekociuk, Andrew] Australian Antarctic Div, Antarctic Climate Program, Kingston, NF 7050, Australia; [Klekociuk, Andrew] Univ Adelaide, Dept Phys, Adelaide, SA 5005, Australia; [Shulga, Valery] Natl Acad Sci Ukraine, Inst Radio Astron, Dept Millimeter Radio Astron, UA-61002 Kharkiv, Ukraine</t>
  </si>
  <si>
    <t>Jilin University; Ministry of Education &amp; Science of Ukraine; Taras Shevchenko National University of Kyiv; Ministry of Education &amp; Science of Ukraine; State Institution National Antarctic Scientific Center; Australian Antarctic Division; University of Adelaide; National Academy of Sciences Ukraine; Institute of Radio Astronomy of the National Academy of Sciences of Ukraine</t>
  </si>
  <si>
    <t>Milinevsky, G (corresponding author), Jilin Univ, Coll Phys, Int Ctr Future Sci, Changchun 130012, Peoples R China.;Milinevsky, G (corresponding author), Taras Shevchenko Natl Univ Kyiv, Phys Fac, UA-01601 Kiev, Ukraine.;Milinevsky, G (corresponding author), Natl Antarctic Sci Ctr, Dept Atmosphere Phys &amp; Geospace, UA-01601 Kiev, Ukraine.</t>
  </si>
  <si>
    <t>shiyu18@mails.liu.edu.cn; evtush@univ.kiev.ua; gmilin@univ.kiev.ua; andrew.klekociuk@awe.gov.au; whan@jlu.edu.cn; oksanaivaniha@univ.net.ua; andrienko.yu@univ.kiev.ua; shulga@rian.kharkov.ua; zhangcn19@mails.jlu.edu.cn</t>
  </si>
  <si>
    <t>Han, Wei/N-7151-2018; Klekociuk, Andrew R/A-4498-2015; Andrienko, Yulia/ACF-6867-2022; Evtushevsky, Oleksandr O.M./F-2065-2017; Milinevsky, Gennadi/AAD-8801-2019</t>
  </si>
  <si>
    <t>Han, Wei/0000-0002-4830-3487; Andrienko, Yulia/0000-0002-4735-467X; Evtushevsky, Oleksandr O.M./0000-0003-0582-559X; Milinevsky, Gennadi/0000-0002-2342-2615; Shi, Yu/0000-0001-6972-2122; Ivaniha, Oksana/0000-0003-2897-2736; Shulga, Valery/0000-0001-6529-5610</t>
  </si>
  <si>
    <t>College of Physics, International Center of Future Science, Jilin University, China; Ministry of Education and Science of Ukraine [BN-06]; Taras Shevchenko National University of Kyiv [20BF051-02]</t>
  </si>
  <si>
    <t>College of Physics, International Center of Future Science, Jilin University, China; Ministry of Education and Science of Ukraine; Taras Shevchenko National University of Kyiv</t>
  </si>
  <si>
    <t>This work was partially supported by the College of Physics, International Center of Future Science, Jilin University, China, and by the Ministry of Education and Science of Ukraine with the grant BN-06 for prospective development of a scientific direction Mathematical sciences and natural sciences and the project 20BF051-02 at Taras Shevchenko National University of Kyiv. This work contributed to the National Antarctic Scientific Center of Ukraine research objectives, and contributed to Project 4293 of the Australian Antarctic Program. The MERRA-2 global reanalysis and Aura Microwave Limb Sounder (MLS) data were obtained from the Goddard Earth Sciences Data and Information Services Center. The temperature mean data were obtained from the National Oceanic and Atmospheric Administration National Centers for Environmental Prediction, Global Data Assimilation System-Climate Prediction Center.</t>
  </si>
  <si>
    <t>10.3390/rs14061496</t>
  </si>
  <si>
    <t>0B0ZZ</t>
  </si>
  <si>
    <t>WOS:000774373600001</t>
  </si>
  <si>
    <t>Toolsee, T; Lamont, T</t>
  </si>
  <si>
    <t>Toolsee, Tesha; Lamont, Tarron</t>
  </si>
  <si>
    <t>Long-Term Trends and Interannual Variability of Wind Forcing, Surface Circulation, and Temperature around the Sub-Antarctic Prince Edward Islands</t>
  </si>
  <si>
    <t>Southern Ocean; climate change; satellite and reanalysis data; sea surface temperature; wind speed; wind stress curl; geostrophic and Ekman currents</t>
  </si>
  <si>
    <t>SOUTHERN-OCEAN; CIRCUMPOLAR WAVE; CLIMATE-CHANGE; SEA-ICE; MARION; OSCILLATION; ALTIMETRY; DRIVEN</t>
  </si>
  <si>
    <t>In the Southern Ocean, the sub-Antarctic Prince Edward Islands (PEIs) play a significant ecological role by hosting large populations of seasonally breeding marine mammals and seabirds, which are particularly sensitive to changes in the surrounding ocean environment. In order to better understand climate variability at the PEIs, this study used satellite and reanalysis data to examine the interannual variability and longer-term trends of Sea Surface Temperature (SST), wind forcing, and surface circulation. Long-term trends were mostly weak and statistically insignificant, possibly due to the restricted length of the data products. While seasonal fluctuations accounted for a substantial portion (50-70%) of SST variability, the strongest variance in wind speed, wind stress curl (WSC), and currents occurred at intra-annual time scales. At a period of about 1 year, SST and geostrophic current variability suggested some influence of the Southern Annular Mode, but correlations were weak and insignificant. Similarly, correlations with El Nino Southern Oscillation variability were also weak and mostly insignificant, probably due to strong local and regional modification of SST, wind, and current anomalies. Significant interannual and decadal-scale variability in SST, WSC, and geostrophic currents, strongest at periods of 3-4 and 7-8 years, corresponded with the variability of the Antarctic Circumpolar Wave. At decadal time scales, there was a strong inverse relationship between SST and geostrophic currents and between SST and wind speed. Warmer-than-usual SST between 1990-2001 and 2009-2020 was related to weaker currents and wind, while cooler-than-usual periods during 1982-1990 and 2001-2009 were associated with relatively stronger winds and currents. Positioned directly in the path of passing atmospheric low-pressure systems and the Antarctic Circumpolar Current, the PEIs experience substantial local and regional atmospheric and oceanic variability at shorter temporal scales, which likely mutes longer-term variations that have been observed elsewhere in the Southern Ocean.</t>
  </si>
  <si>
    <t>[Toolsee, Tesha; Lamont, Tarron] Univ Cape Town, Marine Res Inst, Dept Oceanog, Private Bag X3, ZA-7701 Cape Town, South Africa; [Toolsee, Tesha; Lamont, Tarron] Univ Cape Town, Nansen Tutu Ctr Marine Environm Res, Private Bag X3, ZA-7701 Cape Town, South Africa; [Lamont, Tarron] Oceans &amp; Coasts Res, Dept Forestry Fisheries &amp; Environm, POB 52126, ZA-8000 Cape Town, South Africa; [Lamont, Tarron] Bayworld Ctr Res &amp; Educ, 5 Riesling Rd, ZA-7806 Cape Town, South Africa</t>
  </si>
  <si>
    <t>Toolsee, T (corresponding author), Univ Cape Town, Marine Res Inst, Dept Oceanog, Private Bag X3, ZA-7701 Cape Town, South Africa.;Toolsee, T (corresponding author), Univ Cape Town, Nansen Tutu Ctr Marine Environm Res, Private Bag X3, ZA-7701 Cape Town, South Africa.</t>
  </si>
  <si>
    <t>tlstes001@myuct.ac.za; tlamont@dffe.gov.za</t>
  </si>
  <si>
    <t>Oceans &amp; Coasts Research Branch of the South African Department of Forestry, Fisheries, and the Environment (DFFE); Nansen-Tutu Centre for Marine Environmental Research; Bayworld Centre for Research and Education (BCRE); South African National Research Foundation (NRF grant) [129229]</t>
  </si>
  <si>
    <t>Oceans &amp; Coasts Research Branch of the South African Department of Forestry, Fisheries, and the Environment (DFFE); Nansen-Tutu Centre for Marine Environmental Research; Bayworld Centre for Research and Education (BCRE); South African National Research Foundation (NRF grant)</t>
  </si>
  <si>
    <t>This research was funded by the Oceans &amp; Coasts Research Branch of the South African Department of Forestry, Fisheries, and the Environment (DFFE), the Nansen-Tutu Centre for Marine Environmental Research, the Bayworld Centre for Research and Education (BCRE), and the South African National Research Foundation (NRF grant: 129229).</t>
  </si>
  <si>
    <t>10.3390/rs14061318</t>
  </si>
  <si>
    <t>0E0ZF</t>
  </si>
  <si>
    <t>WOS:000776413300001</t>
  </si>
  <si>
    <t>Nikolaeva, V; Gordeev, E; Nikolaev, A; Rogov, D; Troshichev, O</t>
  </si>
  <si>
    <t>Nikolaeva, Vera; Gordeev, Evgeny; Nikolaev, Alexander; Rogov, Denis; Troshichev, Oleg</t>
  </si>
  <si>
    <t>Auroral Ionosphere Model with PC Index as an Input</t>
  </si>
  <si>
    <t>auroral oval; numerical modeling; substorm; PC index; electron precipitation; E region of ionosphere; electron concentration</t>
  </si>
  <si>
    <t>SPORADIC-E; E-REGION; LAYERS; FIELD; ENERGY</t>
  </si>
  <si>
    <t>Auroral Ionosphere Model (AIM-E) is designed to calculate chemical content in the high-latitude E region ionosphere and takes into account both the solar EUV radiation and the electron precipitation of magnetospheric origin. The latter is extremely important for auroral ionosphere chemistry especially in disturbed conditions. In order to maximize the AIM-E timing accuracy when simulating highly variable periods in the course of geomagnetic storms and substorms, we suggest to parameterize the OVATION-Prime empirical precipitation model with the ground-based Polar Cap (PC) index. This gives an advantage to: (1) perform ionospheric simulation with actual input, since PC index reflects the geoeffective solar wind conditions; (2) promptly assess the current geomagnetic situation, since PC index is available in real-time with 1 min resolution. The simulation results of AIM-E with OVATION-Prime (PC) demonstrate a good agreement with the ground-based incoherent scatter radar data (EISCAT UHF, Tromso) and with the vertical sounding data in the Arctic zone during events of intense particle precipitation. The model reproduces well the electron content calculated in vertical column (90-140 km) and critical frequency of sporadic E layer (f(O)Es) formed by precipitating electrons. The AIM-E (PC) model can be applied to monitor the sporadic E layer in real-time and in the entire high-latitude ionosphere, including the auroral and subauroral zones, which is important for predicting the conditions of radio wave propagation.</t>
  </si>
  <si>
    <t>[Nikolaeva, Vera; Nikolaev, Alexander; Rogov, Denis; Troshichev, Oleg] Arctic &amp; Antarctic Res Inst, Geophys Dept, St Petersburg 199397, Russia; [Gordeev, Evgeny] St Petersburg State Univ, Earths Phys Dept, St Petersburg 199034, Russia</t>
  </si>
  <si>
    <t>Arctic &amp; Antarctic Research Institute; Saint Petersburg State University</t>
  </si>
  <si>
    <t>Nikolaeva, V (corresponding author), Arctic &amp; Antarctic Res Inst, Geophys Dept, St Petersburg 199397, Russia.</t>
  </si>
  <si>
    <t>nikolaeva.vera@gmail.com; evgeny.i.gordeev@spbu.ru; demosfen.spb@gmail.com; rogovdenis@mail.ru; olegtro@aari.ru</t>
  </si>
  <si>
    <t>Nikolaev, Alexander/ABE-4530-2021; Nikolaeva, Vera/AGK-6779-2022; Gordeev, Evgeny/H-8222-2013</t>
  </si>
  <si>
    <t>Nikolaev, Alexander/0000-0002-2138-810X; Nikolaeva, Vera/0000-0003-4987-6452; Gordeev, Evgeny/0000-0002-2687-7287</t>
  </si>
  <si>
    <t>RSF [19-77-10016]; Russian Science Foundation [19-77-10016] Funding Source: Russian Science Foundation</t>
  </si>
  <si>
    <t>RSF(Russian Science Foundation (RSF)); Russian Science Foundation(Russian Science Foundation (RSF))</t>
  </si>
  <si>
    <t>Examination of the AIM-E (PC) model ability to reproduce the dynamics of sporadic ionospheric layers during different magnetosphere-ionosphere interaction regimes was carried out within the framework of RSF grant 19-77-10016. Ionosonde and EISCAT data processing for validation of the modified AIM-E (PC) model was performed within the framework of the RI Roshydromet research and technological working plan, p. 6.1. Development and modernization of technologies for the geophysical situation monitoring over the Russian Federation and the Arctic territory.</t>
  </si>
  <si>
    <t>10.3390/atmos13030402</t>
  </si>
  <si>
    <t>0D7NI</t>
  </si>
  <si>
    <t>WOS:000776177200001</t>
  </si>
  <si>
    <t>Holmes, RM; Groeskamp, S; Stewartu, KD; McDougall, TJ</t>
  </si>
  <si>
    <t>Holmes, R. M.; Groeskamp, S.; Stewartu, K. D.; McDougall, T. J.</t>
  </si>
  <si>
    <t>Sensitivity of a Coarse-Resolution Global Ocean Model to a Spatially Variable Neutral Diffusivity</t>
  </si>
  <si>
    <t>ocean modeling; neutral diffusion; mesoscale mixing; parameterization</t>
  </si>
  <si>
    <t>MERIDIONAL OVERTURNING CIRCULATION; EQUATION-OF-STATE; SEA-ICE MODEL; ENERGETICALLY CONSISTENT; ISONEUTRAL DIFFUSION; MESOSCALE EDDIES; CLIMATE; PARAMETERIZATION; STABILITY; HEAT</t>
  </si>
  <si>
    <t>Motivated by recent advances in mapping mesoscale eddy tracer mixing in the ocean we evaluate the sensitivity of a coarse-resolution global ocean model to a spatially variable neutral diffusion coefficient kappa(n)(x, y, z). We gradually introduce physically motivated models for the horizontal (mixing length theory) and vertical (surface mode theory) structure of kappa(n) along with suppression of mixing by mean flows. Each structural feature influences the ocean's hydrography and circulation to varying extents, with the suppression of mixing by mean flows being the most important factor and the vertical structure being relatively unimportant. When utilizing the full theory (experiment FULL) the interhemispheric overturning cell is strengthened by 2 Sv at 26 degrees N (a similar to 20% increase), bringing it into better agreement with observations. Zonal mean tracer biases are also reduced in FULL. Neutral diffusion impacts circulation through surface temperature-induced changes in surface buoyancy fluxes and nonlinear equation of state effects. Surface buoyancy forcing anomalies are largest in the Southern Ocean where a decreased neutral diffusivity in FULL leads to surface cooling and enhanced dense-to-light surface water mass transformation, reinforced by reductions in cabbeling and thermobaricity. The increased water mass transformation leads to enhanced midlatitude stratification and interhemispheric overturning. The spatial structure for kappa(n) in FULL is important as it enhances the interhemispheric cell without degrading the Antarctic bottom water cell, unlike a spatially uniform reduction in kappa(n). These results highlight the sensitivity of modeled circulation to kappa(n) and motivate the use of physics-based models for its structure.</t>
  </si>
  <si>
    <t>[Holmes, R. M.] Univ Sydney, Sch Geosci, Sydney, NSW, Australia; [Holmes, R. M.] Univ New South Wales, Climate Change Res Ctr, Sydney, NSW, Australia; [Holmes, R. M.; Stewartu, K. D.] Australian Res Council, Ctr Excellence Climate Extremes, Sydney, NSW, Australia; [Holmes, R. M.; McDougall, T. J.] Univ New South Wales, Sch Math &amp; Stat, Sydney, NSW, Australia; [Groeskamp, S.] NIOZ Royal Netherlands Inst Sea Res, Texel, Netherlands; [Stewartu, K. D.] Australian Natl Univ, Res Sch Earth Sci, Canberra, ACT, Australia</t>
  </si>
  <si>
    <t>University of Sydney; University of New South Wales Sydney; University of New South Wales Sydney; Utrecht University; Royal Netherlands Institute for Sea Research (NIOZ); Australian National University</t>
  </si>
  <si>
    <t>Holmes, RM (corresponding author), Univ Sydney, Sch Geosci, Sydney, NSW, Australia.;Holmes, RM (corresponding author), Univ New South Wales, Climate Change Res Ctr, Sydney, NSW, Australia.;Holmes, RM (corresponding author), Australian Res Council, Ctr Excellence Climate Extremes, Sydney, NSW, Australia.;Holmes, RM (corresponding author), Univ New South Wales, Sch Math &amp; Stat, Sydney, NSW, Australia.</t>
  </si>
  <si>
    <t>Holmes, Ryan/J-3024-2019; Stewart, Kial/P-6684-2016</t>
  </si>
  <si>
    <t>Holmes, Ryan/0000-0002-6799-9109; McDougall, Trevor/0000-0003-4582-7741; Stewart, Kial/0000-0002-9947-1958; Groeskamp, Sjoerd/0000-0002-7898-3030</t>
  </si>
  <si>
    <t>Australian Government; Australian Research Council (ARC) [FL150100090]; ARC [DE21010004]</t>
  </si>
  <si>
    <t>Australian Government(Australian Government); Australian Research Council (ARC)(Australian Research Council); ARC(Australian Research Council)</t>
  </si>
  <si>
    <t>We thank J. Zika, S. Griffies, D. Balwada, and two anonymous reviewers for their helpful comments. We thank the Consortium for Ocean and Sea-Ice Modelling in Australia (COSIMA) community for their valuable contributions to ACCESS-OM2 development. Modeling and analysis were undertaken using facilities at the National Computational Infrastructure (NCI), which is supported by the Australian Government. R. M. Holmes and T. J. McDougall gratefully acknowledge Australian Research Council (ARC) support through grant FL150100090. R. M. Holmes acknowledges support from ARC award DE21010004.</t>
  </si>
  <si>
    <t>e2021MS002914</t>
  </si>
  <si>
    <t>10.1029/2021MS002914</t>
  </si>
  <si>
    <t>0C8WN</t>
  </si>
  <si>
    <t>WOS:000775587200001</t>
  </si>
  <si>
    <t>Kim, HR; Golynsky, AV; Golynsky, DA; Yu, H; von Frese, RRB; Hong, JK</t>
  </si>
  <si>
    <t>Kim, H. R.; Golynsky, A., V; Golynsky, D. A.; Yu, H.; von Frese, R. R. B.; Hong, J. K.</t>
  </si>
  <si>
    <t>New Magnetic Anomaly Constraints on the Antarctic Crust</t>
  </si>
  <si>
    <t>DRONNING MAUD LAND; PRINCE-CHARLES-MOUNTAINS; PINE ISLAND GLACIER; MARIE BYRD LAND; EAST ANTARCTICA; WEDDELL SEA; AEROMAGNETIC ANOMALIES; GRENVILLE-AGE; RIFT SYSTEM; U-PB</t>
  </si>
  <si>
    <t>The Antarctic Digital Magnetic Anomaly Project's first-generation magnetic anomaly map (ADMAP-1) was produced for the region south of 60 degrees S from about 1.5 million line-kms of airborne and marine magnetic anomaly data (Golynsky et al., 2001; ). The second-generation ADMAP-2 compilation (Golynsky et al., 2017; ) incorporated an additional roughly 2.0 million line-kms of airborne and marine magnetic anomaly data from international mapping through 2015. The present study integrates satellite magnetic observations from the Swarm mission with the near-surface data of ADMAP-2 to help fill the regional coverage gaps and better define the altitude behavior of the Antarctic's magnetic anomalies for enhanced geological analysis. The resulting satellite magnetic data-supplemented compilation, ADMAP-2s, yields further constraints on the enigmatic geology of the Gamburtsev Subglacial Mountains, Prince Charles Mountains, Wilkes Land, Dronning Maud Land, and other poorly explored Antarctic areas. It offers insights on the global tectonic processes and crustal properties of the Antarctic and helps to unify disparate geologic and geophysical studies by linking widely separated outcrops. It also supports studies on the geological controls of the Antarctic ice sheet, the crustal transitions between Antarctica and the adjacent oceans, and the geodynamic evolution of the Gondwana and Rodinia supercontinents.</t>
  </si>
  <si>
    <t>[Kim, H. R.; Yu, H.] Kongju Natl Univ, Dept Geoenvironm Sci, Gongju, South Korea; [Golynsky, A., V; Golynsky, D. A.] All Russian Sci Inst Geol &amp; Mineral Resources Wor, VNIIOkeangeol, St Petersburg, Russia; [von Frese, R. R. B.] Ohio State Univ, Sch Earth Sci, Columbus, OH USA; [Hong, J. K.] Korea Polar Res Inst, Incheon, South Korea</t>
  </si>
  <si>
    <t>Kongju National University; University System of Ohio; Ohio State University; Korea Polar Research Institute (KOPRI)</t>
  </si>
  <si>
    <t>Kim, HR (corresponding author), Kongju Natl Univ, Dept Geoenvironm Sci, Gongju, South Korea.</t>
  </si>
  <si>
    <t>kimhr@kongju.ac.kr</t>
  </si>
  <si>
    <t>Kim, Hyung Rae/0000-0002-6576-9457; Golynsky, Dmitry/0000-0001-8717-0894; Golynsky, Alexander/0000-0003-2546-4082; Yu, Ha-eun/0000-0003-2052-5683</t>
  </si>
  <si>
    <t>Kongju National University; Republic of Korea's National Research Foundation [NRF2019R-1F1A1051876]; Korean Ministry of Science; SCAR [PM15040, PE17050]; Korea Polar Research Institute (KOPRI)</t>
  </si>
  <si>
    <t>Kongju National University; Republic of Korea's National Research Foundation; Korean Ministry of Science; SCAR; Korea Polar Research Institute (KOPRI)(Korea Polar Research Institute of Marine Research Placement (KOPRI))</t>
  </si>
  <si>
    <t>We thank the members of SCAR's ADMAP expert group and their affiliated institutions for contributing raw and processed magnetic survey data and cooperating in developing the ADMAP-2 compilation. We also thank J. Galindo-Zaldivar and two anonymous reviewers for their constructive comments. Elements of this research were supported by the research grant of Kongju National University in 2021 and the Republic of Korea's National Research Foundation grant (NRF2019R-1F1A1051876) to HRK funded by the Korean Ministry of Science. SCAR supported the activities of the ADMAP expert group, and grants PM15040 and PE17050 from the Korea Polar Research Institute (KOPRI) partially funded aspects of this study at the All-Russian Scientific Research Institute for Geology and Mineral Resources of the World Ocean (VNIIOkeangeologia). Swarm anomalies were obtained from the spherical harmonic model, LCS-1, downloaded from http://www.spacecenter.dk/files/magnetic-models/LCS-1/. This study's anomaly grids can be generated by the ADMAP-2s equivalent magnetic point source model available from http://admap.kopri.re.kr/admapdata/ADMAP_2S_EPS_20km.zip with MATLAB (R) driver codes available from http://admap.kopri.re.kr/admapdata/JGR2022_Kim_etal.zip and its mirrored site at https://admap.kongju.ac.kr.</t>
  </si>
  <si>
    <t>e2021JB023329</t>
  </si>
  <si>
    <t>10.1029/2021JB023329</t>
  </si>
  <si>
    <t>0C8UE</t>
  </si>
  <si>
    <t>WOS:000775581100001</t>
  </si>
  <si>
    <t>Rizzo, C; Lo Giudice, A</t>
  </si>
  <si>
    <t>Rizzo, Carmen; Lo Giudice, Angelina</t>
  </si>
  <si>
    <t>Life from a Snowflake: Diversity and Adaptation of Cold-Loving Bacteria among Ice Crystals</t>
  </si>
  <si>
    <t>cryosphere; ice crystals; cold-adapted bacteria</t>
  </si>
  <si>
    <t>NORTHERN VICTORIA LAND; ANTARCTIC SEA-ICE; 16S RIBOSOMAL-RNA; TERRA-NOVA BAY; ADAPTED BETA-GALACTOSIDASE; PSYCHRERYTHRAEA STRAIN 34H; PERMAFROST-AFFECTED SOILS; MCMURDO DRY VALLEYS; ANTIFREEZE PROTEIN; PSYCHROBACTER-ARCTICUS</t>
  </si>
  <si>
    <t>Incredible as it is, researchers have now the awareness that even the most extreme environment includes special habitats that host several forms of life. Cold environments cover different compartments of the cryosphere, as sea and freshwater ice, glaciers, snow, and permafrost. Although these are very particular environmental compartments in which various stressors coexist (i.e., freeze-thaw cycles, scarce water availability, irradiance conditions, and poorness of nutrients), diverse specialized microbial communities are harbored. This raises many intriguing questions, many of which are still unresolved. For instance, a challenging focus is to understand if microorganisms survive trapped frozen among ice crystals for long periods of time or if they indeed remain metabolically active. Likewise, a look at their site-specific diversity and at their putative geochemical activity is demanded, as well as at the equally interesting microbial activity at subzero temperatures. The production of special molecules such as strategy of adaptations, cryoprotectants, and ice crystal-controlling molecules is even more intriguing. This paper aims at reviewing all these aspects with the intent of providing a thorough overview of the main contributors in investigating the microbial life in the cryosphere, touching on the themes of diversity, adaptation, and metabolic potential.</t>
  </si>
  <si>
    <t>[Rizzo, Carmen] Sicily Marine Ctr, Stn Zool Anton Dohrn, Ecosustainable Marine Biotechnol Dept, Contrada Porticatello 29, I-98167 Messina, Italy; [Rizzo, Carmen; Lo Giudice, Angelina] Natl Res Council CNR ISP, Inst Polar Sci, Spianata S Raineri 86, I-98122 Messina, Italy</t>
  </si>
  <si>
    <t>Stazione Zoologica Anton Dohrn di Napoli; Consiglio Nazionale delle Ricerche (CNR); Istituto di Scienze Polari (ISP-CNR)</t>
  </si>
  <si>
    <t>Rizzo, C (corresponding author), Sicily Marine Ctr, Stn Zool Anton Dohrn, Ecosustainable Marine Biotechnol Dept, Contrada Porticatello 29, I-98167 Messina, Italy.;Rizzo, C (corresponding author), Natl Res Council CNR ISP, Inst Polar Sci, Spianata S Raineri 86, I-98122 Messina, Italy.</t>
  </si>
  <si>
    <t>carmen.rizzo@szn.it; angelina.logiudice@cnr.it</t>
  </si>
  <si>
    <t>Rizzo, Carmen/0000-0002-4340-3833</t>
  </si>
  <si>
    <t>10.3390/cryst12030312</t>
  </si>
  <si>
    <t>0D4MP</t>
  </si>
  <si>
    <t>WOS:000775971600001</t>
  </si>
  <si>
    <t>Liu, DP; Marburg, S; Kessissoglou, N</t>
  </si>
  <si>
    <t>Liu, Daipei; Marburg, Steffen; Kessissoglou, Nicole</t>
  </si>
  <si>
    <t>Non-negative Intensity for Target Strength Identification in Marine Ecosystem Research</t>
  </si>
  <si>
    <t>JOURNAL OF THEORETICAL AND COMPUTATIONAL ACOUSTICS</t>
  </si>
  <si>
    <t>Non-negative intensity; target strength; Antarctic krill</t>
  </si>
  <si>
    <t>KRILL EUPHAUSIA-SUPERBA; ACOUSTIC SCATTERING; SOUND-SCATTERING; FINITE-LENGTH; ZOOPLANKTON; MODEL; CYLINDERS</t>
  </si>
  <si>
    <t>In this paper, we propose non-negative intensity (NNI) as an alternative intensity-based technique for target strength identification in marine ecosystem research. NNI identifies local surface regions of a body with positive-only sound power contributions. NNI is employed for sound scattering by fluid-loaded, fluid-filled elastic structures with weak scattering boundary conditions. Three numerical case studies are presented for which fully coupled fluid-structure interaction models based on the finite element method (FEM) and the boundary element method (BEM) are developed. To validate the three-way coupling between the structural and fluid domains, an elastic shell submerged in water and filled with different internal fluids is initially considered. Results for the scattered acoustic intensity obtained numerically are compared with analytical results from the literature. Models representing Antarctic krill of simple and complex geometry are developed. A 3x3 cylinder array representing a simplified aggregation of krill is also presented. Target strength is calculated using both the scattered intensity and NNI for different incident excitation angles. Results for NNI identify the surface regions of an individual organism or group of organisms with the greatest contribution to the scattered sound at the target strength locations.</t>
  </si>
  <si>
    <t>[Liu, Daipei; Kessissoglou, Nicole] Univ New South Wales, Sch Mech &amp; Mfg Engn, Sydney, NSW 2052, Australia; [Marburg, Steffen] Tech Univ Munich, Dept Mech Engn, Chair Vibroacoust Vehicles &amp; Machines, Boltzmannstr 15, D-85748 Garching, Germany</t>
  </si>
  <si>
    <t>University of New South Wales Sydney; Technical University of Munich</t>
  </si>
  <si>
    <t>Liu, DP (corresponding author), Univ New South Wales, Sch Mech &amp; Mfg Engn, Sydney, NSW 2052, Australia.</t>
  </si>
  <si>
    <t>daipei.liu@unsw.edu.au</t>
  </si>
  <si>
    <t>Marburg, Steffen/AFF-8021-2022; Kessissoglou, Nicole/R-8239-2019</t>
  </si>
  <si>
    <t>Marburg, Steffen/0000-0001-6464-8015; Kessissoglou, Nicole/0000-0002-3714-9437</t>
  </si>
  <si>
    <t>WORLD SCIENTIFIC PUBL CO PTE LTD</t>
  </si>
  <si>
    <t>SINGAPORE</t>
  </si>
  <si>
    <t>5 TOH TUCK LINK, SINGAPORE 596224, SINGAPORE</t>
  </si>
  <si>
    <t>2591-7285</t>
  </si>
  <si>
    <t>2591-7811</t>
  </si>
  <si>
    <t>J THEOR COMPUT ACOUS</t>
  </si>
  <si>
    <t>J. Theor. Comput. Acoust.</t>
  </si>
  <si>
    <t>10.1142/S2591728521500237</t>
  </si>
  <si>
    <t>Acoustics; Mathematics, Interdisciplinary Applications</t>
  </si>
  <si>
    <t>Acoustics; Mathematics</t>
  </si>
  <si>
    <t>0A4GQ</t>
  </si>
  <si>
    <t>WOS:000773915000003</t>
  </si>
  <si>
    <t>La Cono, V; Smedile, F; Crisafi, F; Marturano, L; Toshchakov, SV; La Spada, G; Ban, NK; Yakimov, MM</t>
  </si>
  <si>
    <t>La Cono, Violetta; Smedile, Francesco; Crisafi, Francesca; Marturano, Laura; Toshchakov, Stepan, V; La Spada, Gina; Ninh Khac Ban; Yakimov, Michail M.</t>
  </si>
  <si>
    <t>Wintertime Simulations Induce Changes in the Structure, Diversity and Function of Antarctic Sea Ice-Associated Microbial Communities</t>
  </si>
  <si>
    <t>Antarctica; sea-ice brine; microbial community; SIMCO; sulfate-reducing bacteria; sulfur-oxidizing bacteria; SSU gene amplicon sequencing</t>
  </si>
  <si>
    <t>EASTERN WEDDELL SEA; RNA GENE DATABASE; BACTERIAL COMMUNITIES; DYNAMICS; ALGAE; DMS; HETEROGENEITY; ADAPTATIONS; MICROALGAE; POLAR</t>
  </si>
  <si>
    <t>Antarctic sea-ice is exposed to a wide range of environmental conditions during its annual existence; however, there is very little information describing the change in sea-ice-associated microbial communities (SIMCOs) during the changing seasons. It is well known that during the solar seasons, SIMCOs play an important role in the polar carbon-cycle, by increasing the total photosynthetic primary production of the South Ocean and participating in the remineralization of phosphates and nitrogen. What remains poorly understood is the dynamic of SIMCO populations and their ecological contribution to carbon and nutrient cycling throughout the entire annual life of Antarctic sea-ice, especially in winter. Sea ice at this time of the year is an extreme environment, characterized by complete darkness (which stops photosynthesis), extremely low temperatures in its upper horizons (down to -45 degrees C) and high salinity (up to 150-250 psu) in its brine inclusions, where SIMCOs thrive. Without a permanent station, wintering expeditions in Antarctica are technically difficult; therefore, in this study, the process of autumn freezing was modelled under laboratory conditions, and the resulting 'young ice' was further incubated in cold and darkness for one month. The ice formation experiment was primarily designed to reproduce two critical conditions: (i) total darkness, causing the photosynthesis to cease, and (ii) the presence of a large amount of algae-derived organic matter. As expected, in the absence of photosynthesis, the activity of aerobic heterotrophs quickly created micro-oxic conditions, which caused the emergence of new players, namely facultative anaerobic and anaerobic microorganisms. Following this finding, we can state that Antarctic pack-ice and its surrounding ambient (under-ice seawater and platelet ice) are likely to be very dynamic and can quickly respond to environmental changes caused by the seasonal fluctuations. Given the size of Antarctic pack-ice, even in complete darkness and cessation of photosynthesis, its ecosystem appears to remain active, continuing to participate in global carbon-and-sulfur cycling under harsh conditions.</t>
  </si>
  <si>
    <t>[La Cono, Violetta; Smedile, Francesco; Crisafi, Francesca; Marturano, Laura; La Spada, Gina; Yakimov, Michail M.] CNR, Inst Polar Sci, I-98122 Messina, Italy; [Toshchakov, Stepan, V] NRC Kurchatov Inst, Kurchatov Genome Ctr, Moscow 123098, Russia; [Ninh Khac Ban] VAST, Inst Marine Biochem, Hanoi 10000, Vietnam</t>
  </si>
  <si>
    <t>Consiglio Nazionale delle Ricerche (CNR); Istituto di Scienze Polari (ISP-CNR); National Research Centre - Kurchatov Institute; Vietnam Academy of Science &amp; Technology (VAST)</t>
  </si>
  <si>
    <t>Smedile, F; Yakimov, MM (corresponding author), CNR, Inst Polar Sci, I-98122 Messina, Italy.</t>
  </si>
  <si>
    <t>violetta.lacono@cnr.it; francesca.crisafi@cnr.it; francesco.smedile@cnr.it; l.marturano93@gmail.com; stepan.toshchakoy@gmail.com; gina.laspada@cnr.it; ninhkhacban@vast.vn; mikhail.iakimov@cnr.it</t>
  </si>
  <si>
    <t>La Cono, Violetta/AAY-1416-2020; Crisafi, Francesca/AAB-4467-2021; Crisafi, Francesca/P-3660-2018; Yakimov, Michail/H-1829-2016; La Spada, Gina/P-5207-2018</t>
  </si>
  <si>
    <t>La Cono, Violetta/0000-0002-3306-4938; smedile, francesco/0000-0002-8385-564X; Crisafi, Francesca/0000-0002-4917-893X; Yakimov, Michail/0000-0003-1418-363X; La Spada, Gina/0000-0003-4768-182X; Marturano, Laura/0000-0002-8504-9406; Toshchakov, Stepan/0000-0001-7549-3450</t>
  </si>
  <si>
    <t>Italian National Program of Research in Antarctica (PNRA) [2016/AZ1.18, 2013/AZ1.07]; bilateral Italy-Vietnam CNR-VAST project EXPLO-Halo [QTIT01.01/20-21]</t>
  </si>
  <si>
    <t>Italian National Program of Research in Antarctica (PNRA)(Ministry of Education, Universities and Research (MIUR)); bilateral Italy-Vietnam CNR-VAST project EXPLO-Halo</t>
  </si>
  <si>
    <t>This research was funded by the Italian National Program of Research in Antarctica (PNRA) in the frame of projects SIMPLY (project 2016/AZ1.18) and SIAMO (project 2013/AZ1.07), and the bilateral Italy-Vietnam CNR-VAST project EXPLO-Halo under grant number QTIT01.01/20-21.</t>
  </si>
  <si>
    <t>10.3390/microorganisms10030623</t>
  </si>
  <si>
    <t>0A6WF</t>
  </si>
  <si>
    <t>WOS:000774091500001</t>
  </si>
  <si>
    <t>Thépot, V; Slinger, J; Rimmer, MA; Paul, NA; Campbell, AH</t>
  </si>
  <si>
    <t>Thepot, Valentin; Slinger, Joel; Rimmer, Michael A.; Paul, Nicholas A.; Campbell, Alexandra H.</t>
  </si>
  <si>
    <t>Is the Intestinal Bacterial Community in the Australian Rabbitfish Siganus fuscescens Influenced by Seaweed Supplementation or Geography?</t>
  </si>
  <si>
    <t>functional ingredient; immunity; core microbiome; macroalga and rabbitfish</t>
  </si>
  <si>
    <t>ALGA CAULERPA-TAXIFOLIA; ASPARAGOPSIS-TAXIFORMIS; GUT MICROBIOTA; DIET; AQUACULTURE; BIOACTIVES; STRATEGIES</t>
  </si>
  <si>
    <t>We recently demonstrated that dietary supplementation with seaweed leads to dramatic improvements in immune responses in S. fuscescens, a candidate species for aquaculture development in Asia. Here, to assess whether the immunostimulatory effect was facilitated by changes to the gut microbiome, we investigated the effects of those same seaweed species and four commercial feed supplements currently used in aquaculture on the bacterial communities in the hindgut of the fish. Since we found no correlations between the relative abundance of any particular taxa and the fish enhanced innate immune responses, we hypothesised that S. fuscescens might have a core microbiome that is robust to dietary manipulation. Two recently published studies describing the bacteria within the hindgut of S. fuscescens provided an opportunity to test this hypothesis and to compare our samples to those from geographically distinct populations. We found that, although hindgut bacterial communities were clearly and significantly distinguishable between studies and populations, a substantial proportion (55 of 174 taxa) were consistently detected across all populations. Our data suggest that the importance of gut microbiota to animal health and the extent to which they can be influenced by dietary manipulations might be species-specific or related to an animals' trophic level.</t>
  </si>
  <si>
    <t>[Thepot, Valentin; Rimmer, Michael A.; Paul, Nicholas A.] Univ Sunshine Coast, Sch Sci Technol &amp; Engn, Maroochydore, Qld 4558, Australia; [Slinger, Joel] CSIRO Agr &amp; Food, Bribie Isl Res Ctr, Woorim, Qld 4507, Australia; [Slinger, Joel] Univ Tasmania, Inst Marine &amp; Antarctic Studies, Launceston, Tas 7250, Australia; [Campbell, Alexandra H.] Univ Sunshine Coast, Sch Hlth &amp; Behav Sci, Maroochydore, Qld 4558, Australia</t>
  </si>
  <si>
    <t>University of the Sunshine Coast; Queensland Department of Agriculture &amp; Fisheries; Commonwealth Scientific &amp; Industrial Research Organisation (CSIRO); University of Tasmania; University of the Sunshine Coast</t>
  </si>
  <si>
    <t>Thépot, V (corresponding author), Univ Sunshine Coast, Sch Sci Technol &amp; Engn, Maroochydore, Qld 4558, Australia.</t>
  </si>
  <si>
    <t>valentin.thepot@research.usc.edu.au; joel.slinger@csiro.au; mrimmer@usc.edu.au; npaul@usc.edu.au; acampbe1@usc.edu.au</t>
  </si>
  <si>
    <t>Paul, Nicholas A/B-6496-2009</t>
  </si>
  <si>
    <t>Slinger, Joel/0000-0003-2781-2300; Paul, Nicholas/0000-0002-9275-1535; Rimmer, Michael/0000-0003-2936-0328; Thepot, Valentin/0000-0001-6800-9333</t>
  </si>
  <si>
    <t>University of the Sunshine Coast (USC); Australian Centre for International Agricultural Research (ACIAR) [FIS/2016/130]; Crawford Fund</t>
  </si>
  <si>
    <t>University of the Sunshine Coast (USC); Australian Centre for International Agricultural Research (ACIAR)(Australian Ctr Intl Agr Res); Crawford Fund</t>
  </si>
  <si>
    <t>This work was part of a PhD program funded by the University of the Sunshine Coast (USC) and supported by the Australian Centre for International Agricultural Research (ACIAR) under the project: Accelerating the development of finfish mariculture in Cambodia through southsouth research cooperation with Indonesia (FIS/2016/130). Additional funds (Student Award) were received from the Crawford Fund which supported additional hindgut microbial analyses.</t>
  </si>
  <si>
    <t>10.3390/microorganisms10030497</t>
  </si>
  <si>
    <t>0A7ND</t>
  </si>
  <si>
    <t>WOS:000774135500001</t>
  </si>
  <si>
    <t>Li, WH; Li, F; Shum, CK; Shu, CF; Ming, F; Zhang, SK; Zhang, QC; Chen, W</t>
  </si>
  <si>
    <t>Li, Wenhao; Li, Fei; Shum, C. K.; Shu, Chanfang; Ming, Feng; Zhang, Shengkai; Zhang, Qingchuan; Chen, Wei</t>
  </si>
  <si>
    <t>Assessment of Contemporary Antarctic GIA Models Using High-Precision GPS Time Series</t>
  </si>
  <si>
    <t>GPS; Antarctica; common mode error; noise model; GIA</t>
  </si>
  <si>
    <t>GLACIAL-ISOSTATIC-ADJUSTMENT; PRINCIPAL COMPONENT ANALYSIS; RAPID BEDROCK UPLIFT; ICE-MASS-BALANCE; SEA-LEVEL; MANTLE VISCOSITY; ERROR ANALYSIS; GRACE; ALGORITHMS; GRADIENTS</t>
  </si>
  <si>
    <t>Past redistributions of the Earth's mass resulting from the Earth's viscoelastic response to the cycle of deglaciation and glaciation reflect the process known as glacial isostatic adjustment (GIA). GPS data are effective at constraining GIA velocities, provided that these data are accurate, have adequate spatial coverage, and account for competing geophysical processes, including the elastic loading of ice/snow ablation/accumulation. GPS solutions are significantly affected by common mode errors (CMEs) and the choice of optimal noise model, and they are contaminated by other geophysical signals due primarily to the Earth's elastic response. Here, independent component analysis is used to remove the CMEs, and the Akaike information criterion is used to determine the optimal noise model for 79 GPS stations in Antarctica, primarily distributed across West Antarctica and the Antarctic Peninsula. Next, a high-resolution surface mass variation model is used to correct for elastic deformation. Finally, we use the improved GPS solution to assess the accuracy of seven contemporary GIA forward models in Antarctica. The results show that the maximal GPS crustal displacement velocity deviations reach 4.0 mm yr(-1), and the mean variation is 0.4 mm yr(-1) after removing CMEs and implementing the noise analysis. All GIA model-predicted velocities are found to systematically underestimate the GPS-observed velocities in the Amundsen Sea Embayment. Additionally, the GPS vertical velocities on the North Antarctic Peninsula are larger than those on the South Antarctic Peninsula, and most of the forward models underestimate the GIA impact on the Antarctic Peninsula.</t>
  </si>
  <si>
    <t>[Li, Wenhao; Shu, Chanfang] Nanjing Tech Univ, Sch Geomat Sci &amp; Technol, Nanjing 211816, Peoples R China; [Li, Wenhao; Li, Fei; Zhang, Shengkai; Zhang, Qingchuan] Wuhan Univ, Chinese Antarctic Ctr Surveying &amp; Mapping, Wuhan 430079, Peoples R China; [Li, Fei] Wuhan Univ, State Key Lab Informat Engn Surveying Mapping &amp; R, Wuhan 430079, Peoples R China; [Shum, C. K.; Chen, Wei] Chinese Acad Sci, Inst Geodesy &amp; Geophys, Wuhan 430010, Peoples R China; [Shum, C. K.] Ohio State Univ, Sch Earth Sci, Div Geodet Sci, Columbus, OH 43210 USA; [Shu, Chanfang] CASM, State Key Lab Geoinformat Engn, Beijing 100036, Peoples R China; [Shu, Chanfang] CASM, Key Lab Surveying &amp; Mapping Sci &amp; Geospatial Info, Beijing 100036, Peoples R China; [Ming, Feng] Xian Inst Surveying &amp; Mapping, State Key Lab Geoinformat Engn, Xian 710054, Peoples R China</t>
  </si>
  <si>
    <t>Nanjing Tech University; Wuhan University; Wuhan University; Chinese Academy of Sciences; Innovation Academy for Precision Measurement Science &amp; Technology, CAS; University System of Ohio; Ohio State University</t>
  </si>
  <si>
    <t>Zhang, SK (corresponding author), Wuhan Univ, Chinese Antarctic Ctr Surveying &amp; Mapping, Wuhan 430079, Peoples R China.</t>
  </si>
  <si>
    <t>wh_li@whu.edu.cn; fli@whu.edu.cn; ckshum@osu.edu; shuchanfang@njtech.edu.cn; geodesy_xd@163.com; zskai@whu.edu.cn; zqc@whu.edu.cn; chen.8889@osu.edu</t>
  </si>
  <si>
    <t>Zhang, Shengkai/0000-0001-7436-2504; Shum, C K/0000-0001-9378-4067</t>
  </si>
  <si>
    <t>National Key Research and Development Program of China [2017YFA0603104, 2017YFA0603103]; State Key Program of the National Natural Science Foundation of China [41531069]; National Natural Science Foundation of China [42074006, 41974040]; State Key Laboratory of Geo-Information Engineering, CASM [2021-00-05]; Key Laboratory of Surveying and Mapping Science and Geospatial Information Technology of the Ministry of Natural Resources (MNR), CASM [2021-00-05]; Project of Hydraulic Science and Technology of Jiangsu Province [2018005, 2019001, 2020007, 2021063, 2021074]</t>
  </si>
  <si>
    <t>National Key Research and Development Program of China; State Key Program of the National Natural Science Foundation of China(National Natural Science Foundation of China (NSFC)); National Natural Science Foundation of China(National Natural Science Foundation of China (NSFC)); State Key Laboratory of Geo-Information Engineering, CASM; Key Laboratory of Surveying and Mapping Science and Geospatial Information Technology of the Ministry of Natural Resources (MNR), CASM; Project of Hydraulic Science and Technology of Jiangsu Province</t>
  </si>
  <si>
    <t>This research was funded by the National Key Research and Development Program of China (2017YFA0603104, 2017YFA0603103), the State Key Program of the National Natural Science Foundation of China (41531069), the National Natural Science Foundation of China (42074006, 41974040), the State Key Laboratory of Geo-Information Engineering and Key Laboratory of Surveying and Mapping Science and Geospatial Information Technology of the Ministry of Natural Resources (MNR), CASM (no. 2021-00-05), and the Project of Hydraulic Science and Technology of Jiangsu Province (no. 2018005, no. 2019001, no. 2020007, no. 2021063, and no. 2021074).</t>
  </si>
  <si>
    <t>10.3390/rs14051070</t>
  </si>
  <si>
    <t>0A4AU</t>
  </si>
  <si>
    <t>WOS:000773899700001</t>
  </si>
  <si>
    <t>Shan, JC; Guo, J; Guan, FC; Li, F; Di, CQ</t>
  </si>
  <si>
    <t>Shan, Jicheng; Guo, Jing; Guan, Fucheng; Li, Feng; Di, Chunqiu</t>
  </si>
  <si>
    <t>Characteristics of Sodium Alginate/Antarctic Krill Protein Composite Fiber Based on Cellulose Nanocrystals Modification: Rheology, Hydrogen Bond, Crystallization, Strength, and Water-Resistance</t>
  </si>
  <si>
    <t>GELS</t>
  </si>
  <si>
    <t>cellulose nanocrystals; sodium alginate; antarctic krill protein; structural viscosity index; wet spinning</t>
  </si>
  <si>
    <t>POLYSACCHARIDES; BEHAVIOR</t>
  </si>
  <si>
    <t>The purpose of adding cellulose nanocrystals (CNCs) into sodium alginate (SA) and Antarctic krill protein (AKP) system is to use the ionic cross-linking of SA and AKP and the dynamic hydrogen-bonding between them and CNCs to construct multiple cross-linking structures, to improve the water-resistance and strength of SA/AKP/CNCs composite fiber. Based on the structural viscosity index in rheological theory, the ratio of spinning solution and temperature were optimized by studying the structural viscosity index of the solution under different CNCs content and temperature, then the composite fiber was prepared by wet spinning. We found that when the content of CNCs is 0.8% and 1.2%, the temperature is 45 degrees C and 55 degrees C, the structural viscosity is relatively low. Under the optimal conditions, the intermolecular hydrogen bonds decrease with the increase of temperature. Some of the reduced hydrogen bonds convert into intramolecular hydrogen bonds. Some of them exist as free hydroxyl; increasing CNCs content increases intermolecular hydrogen bonds. With the increase of temperature, the crystallinity of composite fiber increases. The maximum crystallinity reaches 27%; the CNCs content increases from 0.8% to 1.2%, the breaking strength of composite fiber increases by 31%. The water resistance of composite fiber improves obviously, while the swelling rate is only 14%.</t>
  </si>
  <si>
    <t>[Shan, Jicheng; Guo, Jing; Guan, Fucheng; Li, Feng; Di, Chunqiu] Dalian Polytech Univ, Sch Text &amp; Mat Engn, Dalian 116034, Peoples R China; [Guo, Jing] Dalian Polytech Univ, Liaoning Engn Technol Res Ctr Funct Fiber &amp; Its C, Dalian 116034, Peoples R China</t>
  </si>
  <si>
    <t>Guo, J; Guan, FC (corresponding author), Dalian Polytech Univ, Sch Text &amp; Mat Engn, Dalian 116034, Peoples R China.;Guo, J (corresponding author), Dalian Polytech Univ, Liaoning Engn Technol Res Ctr Funct Fiber &amp; Its C, Dalian 116034, Peoples R China.</t>
  </si>
  <si>
    <t>sjc961122@163.com; guojing8161@163.com; gfc6322577@163.com; 15621588215@163.com; dcq89757@163.com</t>
  </si>
  <si>
    <t>guan, fucheng/IXN-7582-2023</t>
  </si>
  <si>
    <t>guan, fucheng/0009-0003-0528-6829</t>
  </si>
  <si>
    <t>National Nature Science Foundation of China [51773024, 51373027]; Innovation Team Foundation of Liaoning [LT2017017]; Nature Science Foundation of Liaoning Province [20180550429]</t>
  </si>
  <si>
    <t>National Nature Science Foundation of China(National Natural Science Foundation of China (NSFC)); Innovation Team Foundation of Liaoning; Nature Science Foundation of Liaoning Province(Natural Science Foundation of Liaoning Province)</t>
  </si>
  <si>
    <t>This work was supported by the National Nature Science Foundation of China (grant number: 51773024 and 51373027), Innovation Team Foundation of Liaoning (grant number: LT2017017), and Nature Science Foundation of Liaoning Province (grant number: 20180550429).</t>
  </si>
  <si>
    <t>2310-2861</t>
  </si>
  <si>
    <t>GELS-BASEL</t>
  </si>
  <si>
    <t>Gels</t>
  </si>
  <si>
    <t>10.3390/gels8030139</t>
  </si>
  <si>
    <t>Polymer Science</t>
  </si>
  <si>
    <t>0C4KJ</t>
  </si>
  <si>
    <t>WOS:000775283800001</t>
  </si>
  <si>
    <t>Nagel, R; Kaiser, S; Stainfield, C; Toscani, C; Fox-Clarke, C; Paijmans, AJ; Castro, CC; Vendrami, DLJ; Forcada, J; Hoffman, JI</t>
  </si>
  <si>
    <t>Nagel, Rebecca; Kaiser, Sylvia; Stainfield, Claire; Toscani, Camille; Fox-Clarke, Cameron; Paijmans, Anneke J.; Castro, Camila Costa; Vendrami, David L. J.; Forcada, Jaume; Hoffman, Joseph, I</t>
  </si>
  <si>
    <t>Low heritability and high phenotypic plasticity of salivary cortisol in response to environmental heterogeneity in a wild pinniped</t>
  </si>
  <si>
    <t>Antarctic fur seal; baseline cortisol; individualization; phenotypic plasticity; pinniped</t>
  </si>
  <si>
    <t>SEAL ARCTOCEPHALUS-GAZELLA; PLASMA-CORTISOL; CLIMATE-CHANGE; INDIVIDUAL-DIFFERENCES; THYROID-HORMONES; STRESS; EVOLUTIONARY; GLUCOCORTICOIDS; ECOLOGY; REPEATABILITY</t>
  </si>
  <si>
    <t>Individuals are unique in how they interact with and respond to their environment. Correspondingly, unpredictable challenges or environmental stressors often produce an individualized response of the hypothalamic-pituitary-adrenal (HPA) axis and its downstream effector cortisol. We used a fully crossed, repeated measures design to investigate the factors shaping individual variation in baseline cortisol in Antarctic fur seal pups and their mothers. Saliva samples were collected from focal individuals at two breeding colonies, one with low and the other with high density, during two consecutive years of contrasting food availability. Mothers and pups were sampled concurrently at birth and shortly before weaning, while pups were additionally sampled every 20 days. We found that heritability was low for baseline cortisol, while within-individual repeatability and among-individual variability were high. A substantial proportion of the variation in baseline cortisol could be explained in pups and mothers by a combination of intrinsic and extrinsic factors including sex, weight, day, season, and colony of birth. Our findings provide detailed insights into the individualization of endocrine phenotypes and their genetic and environmental drivers in a wild pinniped. Furthermore, the strong associations between cortisol and life history traits that we report in fur seals could have important implications for understanding the population dynamics of species impacted by environmental change.</t>
  </si>
  <si>
    <t>[Nagel, Rebecca; Paijmans, Anneke J.; Castro, Camila Costa; Vendrami, David L. J.; Hoffman, Joseph, I] Bielefeld Univ, Dept Anim Behav, D-33501 Bielefeld, Germany; [Kaiser, Sylvia] Univ Munster, Dept Behav Biol, Munster, Germany; [Stainfield, Claire; Toscani, Camille; Fox-Clarke, Cameron; Forcada, Jaume; Hoffman, Joseph, I] British Antarctic Survey, Cambridge, England</t>
  </si>
  <si>
    <t>University of Bielefeld; University of Munster; UK Research &amp; Innovation (UKRI); Natural Environment Research Council (NERC); NERC British Antarctic Survey</t>
  </si>
  <si>
    <t>Nagel, R (corresponding author), Bielefeld Univ, Dept Anim Behav, D-33501 Bielefeld, Germany.</t>
  </si>
  <si>
    <t>rebecca.nagel@uni-bielefeld.de</t>
  </si>
  <si>
    <t>Stainfield, Claire/KBB-0316-2024; Forcada, Jaume/GYU-0677-2022; Hoffman, Joseph/K-7725-2012</t>
  </si>
  <si>
    <t>Vendrami, David L. J./0000-0001-9409-4084; Hoffman, Joseph/0000-0001-5895-8949; Paijmans, A.J./0000-0002-5481-7337; Nagel, Rebecca/0000-0002-2925-1028</t>
  </si>
  <si>
    <t>German Research Foundation (DFG) [316099922, 396774617]; priority program Antarctic Research with Comparative Investigations in Arctic Ice Areas SPP 1158 [424119118]; Natural Environment Research Council</t>
  </si>
  <si>
    <t>German Research Foundation (DFG)(German Research Foundation (DFG)); priority program Antarctic Research with Comparative Investigations in Arctic Ice Areas SPP 1158; Natural Environment Research Council(UK Research &amp; Innovation (UKRI)Natural Environment Research Council (NERC))</t>
  </si>
  <si>
    <t>This work was supported by the German Research Foundation (DFG) as part of the SFB TRR 212 (NC3) ( project numbers 316099922, 396774617). It was also supported by the priority program Antarctic Research with Comparative Investigations in Arctic Ice Areas SPP 1158 (project number 424119118) and core funding from the Natural Environment Research Council to the British Antarctic Survey's Ecosystems Program</t>
  </si>
  <si>
    <t>e8757</t>
  </si>
  <si>
    <t>10.1002/ece3.8757</t>
  </si>
  <si>
    <t>ZZ3YI</t>
  </si>
  <si>
    <t>WOS:000773208200001</t>
  </si>
  <si>
    <t>Cui, LL; Zhu, CK; Wu, YL; Yao, CL; Wang, XL; An, JC; Wei, PZ</t>
  </si>
  <si>
    <t>Cui, Lilu; Zhu, Chengkang; Wu, Yunlong; Yao, Chaolong; Wang, Xiaolong; An, Jiachun; Wei, Pengzhi</t>
  </si>
  <si>
    <t>Natural- and Human-Induced Influences on Terrestrial Water Storage Change in Sichuan, Southwest China from 2003 to 2020</t>
  </si>
  <si>
    <t>GRACE; GRACE-FO; natural factors; human activities; Sichuan; three-cornered hat method</t>
  </si>
  <si>
    <t>GROUNDWATER DEPLETION; GRAVITY RECOVERY; CLIMATE-CHANGE; GRACE DATA; MODELS; EVAPORATION; CLOCKS; EAST</t>
  </si>
  <si>
    <t>A quantitative understanding of changes in water resources is crucial for local governments to enable timely decision-making to maintain water security. Here, we quantified natural-and human-induced influences on the terrestrial water storage change (TWSC) in Sichuan, Southwest China, with intensive water consumption and climate variability, based on the data from the Gravity Recovery and Climate Experiment (GRACE) and its Follow-on (GRACE-FO) during 2003-2020. We combined the TWSC estimates derived from six GRACE/GRACE-FO solutions based on the uncertainties of each solution estimated from the generalized three-cornered hat method. Metrics of correlation coefficient and contribution rate (CR) were used to evaluate the influence of precipitation, evapotranspiration, runoff, reservoir storage, and total water consumption on TWSC in the entire region and its five economic regions. The results showed that a significant improvement in the fused TWSC was found compared to those derived from a single model. The increase in regional water storage with a rate of 3.83 +/- 0.54 mm/a was more influenced by natural factors (CR was 53.17%) compared to human influence (CR was 46.83%). Among the factors, the contribution of reservoir storage was the largest (CR was 42.32%) due to the rapid increase in hydropower stations, followed by precipitation (CR was 35.16%), evapotranspiration (CR was 15.86%), total water consumption (CR was 4.51%), and runoff (CR was 2.15%). Among the five economic regions, natural influence on Chengdu Plain was the highest (CR was 48.21%), while human influence in Northwest Sichuan was the largest (CR was 61.37%). The highest CR of reservoir storage to TWSC was in Northwest Sichuan (61.11%), while the highest CRs of precipitation (35.16%) and evapotranspiration (15.86%) were both in PanXi region. The results suggest that TWSC in Sichuan is affected by natural factors and intense human activities, in particular, the effect of reservoir storage on TWSC is very significant. Our study results can provide beneficial help for the management and assessment of regional water resources.</t>
  </si>
  <si>
    <t>[Cui, Lilu; Zhu, Chengkang] Chengdu Univ, Sch Architecture &amp; Civil Engn, Chengdu 610106, Peoples R China; [Wu, Yunlong] China Earthquake Adm, Key Lab Earthquake Geodesy, Inst Seismol, Wuhan 430071, Peoples R China; [Wu, Yunlong] Natl Observat &amp; Res Stn, Cavitat &amp; Earth Tide, Wuhan 430071, Peoples R China; [Yao, Chaolong] South China Agr Univ, Coll Nat Resources &amp; Environm, Guangzhou 510642, Peoples R China; [Wang, Xiaolong] Nanning Survey &amp; Design Inst Grp Co Ltd, Nanning 530022, Peoples R China; [An, Jiachun] Wuhan Univ, Chinese Antarctic Ctr Surveying &amp; Mapping, Wuhan 430079, Peoples R China; [Wei, Pengzhi] Guilin Univ Technol, Coll Geomat &amp; Geoinformat, Guilin 541006, Peoples R China</t>
  </si>
  <si>
    <t>Chengdu University; China Earthquake Administration; South China Agricultural University; Wuhan University; Guilin University of Technology</t>
  </si>
  <si>
    <t>Wu, YL (corresponding author), China Earthquake Adm, Key Lab Earthquake Geodesy, Inst Seismol, Wuhan 430071, Peoples R China.;Wu, YL (corresponding author), Natl Observat &amp; Res Stn, Cavitat &amp; Earth Tide, Wuhan 430071, Peoples R China.</t>
  </si>
  <si>
    <t>cuililu@cdmedu.cn; lilucui@whu.edu.cn; yunlongwu@gmail.com; clyao@scau.edu.cn; wwxyzwxl@whu.edu.cn; jcan@whu.edu.cn; weipengzhi@glut.edu.cn</t>
  </si>
  <si>
    <t>cui, lilu/IXL-0105-2023; Wu, Jiale/JQV-3750-2023; SUN, YANLING/JTT-9082-2023; wang, jiajun/JRW-6032-2023; Yang, Tian/JFB-1008-2023</t>
  </si>
  <si>
    <t>Wu, Yunlong/0000-0002-5487-5078; An, Jiachun/0000-0002-3106-0714; Wei, Pengzhi/0000-0001-9299-0862; cui, lilu/0000-0002-7694-2972; Wang, Xiaolong/0000-0002-6037-9871</t>
  </si>
  <si>
    <t>National Natural Science Fund of China [41974096, 41931074, 42171141, 42004013]; Foundation of Young Creative Talents in Higher Education of Guangdong Province [2019KQNCX009]; Guangzhou Science and Technology Project [202102020526]</t>
  </si>
  <si>
    <t>National Natural Science Fund of China(National Natural Science Foundation of China (NSFC)); Foundation of Young Creative Talents in Higher Education of Guangdong Province; Guangzhou Science and Technology Project</t>
  </si>
  <si>
    <t>This research was funded by the National Natural Science Fund of China (41974096, 41931074, 42171141, 42004013), the Foundation of Young Creative Talents in Higher Education of Guangdong Province (2019KQNCX009), and the Guangzhou Science and Technology Project (202102020526).</t>
  </si>
  <si>
    <t>10.3390/rs14061369</t>
  </si>
  <si>
    <t>0B2YG</t>
  </si>
  <si>
    <t>WOS:000774505800001</t>
  </si>
  <si>
    <t>Soto, A; Berrueta, A; Oficialdegui, I; Sanchis, P; Ursúa, A</t>
  </si>
  <si>
    <t>Soto, Adrian; Berrueta, Alberto; Oficialdegui, Ignacio; Sanchis, Pablo; Ursua, Alfredo</t>
  </si>
  <si>
    <t>Noninvasive Aging Analysis of Lithium-Ion Batteries in Extreme Cold Temperatures</t>
  </si>
  <si>
    <t>IEEE TRANSACTIONS ON INDUSTRY APPLICATIONS</t>
  </si>
  <si>
    <t>Batteries; Aging; Lithium; Anodes; State of charge; Plating; Lithium-ion batteries; Battery; distribution of relaxation times (DRT); differential voltage analysis (DV); EIS; energy storage; incremental capacity analysis (ICA); lithium-ion; temperature</t>
  </si>
  <si>
    <t>COMPOSITE POSITIVE ELECTRODE; PHYSICAL PRINCIPLES; SELF-DISCHARGE; IMPEDANCE; STATE; CELLS; MODEL; DECONVOLUTION; BEHAVIOR; VOLTAGE</t>
  </si>
  <si>
    <t>This article presents a noninvasive technical analysis of the degradation of four lithium-ion batteries (LIBs) used in extreme frigid weather. In contrast to other studies in which the batteries were tested in laboratory conditions, the LIBs studied in this article were aged in a real application, more specifically in the WindSled project. In this project, an expedition was made using a zero-emission vehicle drawn by kites, covering more than 2500 km on the East Antarctic Plateau. The study performed in this article aims to quantify the degradation of the LIBs during the expedition. The results show a 5% capacity fade, a 30% increase in the internal resistance and no substantial increase in the impedance of the solid electrolyte interface. Moreover, no evidence of dendrite growth at the anode is inferred by the interpretation of the distribution of relaxation times, incremental capacity analysis, and differential voltage analysis. Based on these results, it can be claimed that the LIBs used in the WindSled Project can successfully operate under -50 degrees C. Furthermore, since noninvasive techniques were used to characterize the batteries, they can still be used in upcoming expeditions, with subsequent financial and environmental benefits.</t>
  </si>
  <si>
    <t>[Soto, Adrian; Berrueta, Alberto; Oficialdegui, Ignacio; Sanchis, Pablo; Ursua, Alfredo] Univ Publ Navarra, Inst Smart Cities, Dept Elect Elect &amp; Commun Engn, Pamplona 31006, Spain; [Oficialdegui, Ignacio] WindSled Project, Pamplona 31006, Spain</t>
  </si>
  <si>
    <t>Universidad Publica de Navarra</t>
  </si>
  <si>
    <t>Ursúa, A (corresponding author), Univ Publ Navarra, Inst Smart Cities, Dept Elect Elect &amp; Commun Engn, Pamplona 31006, Spain.</t>
  </si>
  <si>
    <t>adrian.soto@unavarra.es; alberto.berrueta@unavarra.es; ofiignacio@gmail.com; pablo.sanchis@unavarra.es; alfredo.ursua@unavarra.es</t>
  </si>
  <si>
    <t>; Ursua, Alfredo/K-6297-2018</t>
  </si>
  <si>
    <t>Soto, Adrian/0000-0002-2269-3755; Sanchis, Pablo/0000-0002-1201-4827; Ursua, Alfredo/0000-0001-6240-8659; Berrueta, Alberto/0000-0001-6400-7293</t>
  </si>
  <si>
    <t>Spanish State Research Agency [PID2019-111262RB-I00/AEI/10.13039/501100011033]; European Union under the H2020 Project STARDUST [774094]; Public University of Navarre [ReBMSPJUPNA1904]</t>
  </si>
  <si>
    <t>Spanish State Research Agency(Spanish Government); European Union under the H2020 Project STARDUST; Public University of Navarre</t>
  </si>
  <si>
    <t>This work was supported in part by the Spanish State Research Agency under Grant PID2019-111262RB-I00/AEI/10.13039/501100011033, in part by the European Union under the H2020 Project STARDUST under Grant 774094, and in part by the Public University of Navarre through the research project ReBMSPJUPNA1904 and a Ph.D. Scholarship.</t>
  </si>
  <si>
    <t>IEEE-INST ELECTRICAL ELECTRONICS ENGINEERS INC</t>
  </si>
  <si>
    <t>PISCATAWAY</t>
  </si>
  <si>
    <t>445 HOES LANE, PISCATAWAY, NJ 08855-4141 USA</t>
  </si>
  <si>
    <t>0093-9994</t>
  </si>
  <si>
    <t>1939-9367</t>
  </si>
  <si>
    <t>IEEE T IND APPL</t>
  </si>
  <si>
    <t>IEEE Trans. Ind. Appl.</t>
  </si>
  <si>
    <t>MAR-APR</t>
  </si>
  <si>
    <t>10.1109/TIA.2021.3136808</t>
  </si>
  <si>
    <t>Engineering, Multidisciplinary; Engineering, Electrical &amp; Electronic</t>
  </si>
  <si>
    <t>ZX5IW</t>
  </si>
  <si>
    <t>WOS:000771930400100</t>
  </si>
  <si>
    <t>Sivri, Ç; Gül, S; Aksu, OR</t>
  </si>
  <si>
    <t>Sivri, Caglar; Gul, Sait; Aksu, Ozan Ridvan</t>
  </si>
  <si>
    <t>A Novel Pythagorean Fuzzy Extension of DEMATEL and Its Usage on Overcoat Selection Attributes for Antarctic Clothing</t>
  </si>
  <si>
    <t>INTERNATIONAL JOURNAL OF INFORMATION TECHNOLOGY &amp; DECISION MAKING</t>
  </si>
  <si>
    <t>Antarctic clothing; overcoat; comfort; Pythagorean fuzzy sets; DEMATEL</t>
  </si>
  <si>
    <t>CRITERIA DECISION-ANALYSIS; OUTRANKING APPROACH; SIMILARITY MEASURES; TOPSIS; FRAMEWORK; MODEL; SETS; PERFORMANCE; OPERATORS; DISTANCE</t>
  </si>
  <si>
    <t>Scientific explorations and research in the Antarctic region have specific issues which need to be handled with special measures. Clothing of the scientists is one of the main problems. The clothes are expected to be enduring against compelling conditions and they must have certain features to ensure the safety and comfort of the scientists. Polar clothing is a field that is yet to be studied with different engineering approaches. To generate a better understanding, the polar clothing can be approached as a multiple criteria decision-making problem because many criteria such as layer number, material type, and waterproofness should be considered while evaluating the various alternatives. In this evaluation, expert judgments are used because no strict objective rules determine the conditions of the polar clothing. Also, possible influences among these criteria should be revealed and considered while reaching a decision. In order to deal with the uncertainty and vagueness of the expert judgments, this study proposes a Pythagorean fuzzy version of DEMATEL which is one of the well-known multiple criteria decision-making tools with the aim of evaluating the related selection attributes affecting the decision and searching for the potential influences among them. Since Pythagorean fuzzy sets provide a wider preference domain to the experts, this version was developed as a contribution to the literature. Also, the decision process is kept Pythagorean fuzzy until a conclusion is reached so that there is no early defuzzification problem. The method's application on overcoat selection for the Antarctic region reveals the relations among attributes, such as Water Vapor Permeability, All-Weather Protection and Performing Best in Dry/Wet State. A sensitivity analysis is conducted to find the changes in influences.</t>
  </si>
  <si>
    <t>[Sivri, Caglar; Gul, Sait; Aksu, Ozan Ridvan] Bahcesehir Univ, Fac Engn &amp; Nat Sci, Dept Engn Management, TR-34353 Istanbul, Turkey</t>
  </si>
  <si>
    <t>Bahcesehir University</t>
  </si>
  <si>
    <t>Gül, S (corresponding author), Bahcesehir Univ, Fac Engn &amp; Nat Sci, Dept Engn Management, TR-34353 Istanbul, Turkey.</t>
  </si>
  <si>
    <t>caglar.sivri@eng.bau.edu.tr; sait.gul@eng.bau.edu.tr; ozanridvan.aksu@eng.bau.edu.tr</t>
  </si>
  <si>
    <t>Gül, Sait/AAE-9068-2021; Sivri, Çağlar/L-5200-2018</t>
  </si>
  <si>
    <t>Gül, Sait/0000-0002-6011-0848; Sivri, Çağlar/0000-0001-5829-2796</t>
  </si>
  <si>
    <t>0219-6220</t>
  </si>
  <si>
    <t>1793-6845</t>
  </si>
  <si>
    <t>INT J INF TECH DECIS</t>
  </si>
  <si>
    <t>Int. J. Inf. Technol. Decis. Mak.</t>
  </si>
  <si>
    <t>10.1142/S021962202250002X</t>
  </si>
  <si>
    <t>Computer Science, Artificial Intelligence; Computer Science, Information Systems; Computer Science, Interdisciplinary Applications; Operations Research &amp; Management Science</t>
  </si>
  <si>
    <t>Computer Science; Operations Research &amp; Management Science</t>
  </si>
  <si>
    <t>ZX5OX</t>
  </si>
  <si>
    <t>WOS:000771946800013</t>
  </si>
  <si>
    <t>Bai, JH; Zong, XM; Lanconelli, C; Lupi, A; Driemel, A; Vitale, V; Li, KL; Song, T</t>
  </si>
  <si>
    <t>Bai, Jianhui; Zong, Xuemei; Lanconelli, Christian; Lupi, Angelo; Driemel, Amelie; Vitale, Vito; Li, Kaili; Song, Tao</t>
  </si>
  <si>
    <t>Long-Term Variations of Global Solar Radiation and Its Potential Effects at Dome C (Antarctica)</t>
  </si>
  <si>
    <t>INTERNATIONAL JOURNAL OF ENVIRONMENTAL RESEARCH AND PUBLIC HEALTH</t>
  </si>
  <si>
    <t>absorbing and scattering substances; energy balance; air temperature; albedo; climate and climate change</t>
  </si>
  <si>
    <t>AEROSOL OPTICAL DEPTH; CLIMATE-CHANGE; IRRADIANCE MODELS; BVOC EMISSIONS; AIR-POLLUTION; TIME-SERIES; SURFACE; GASES; ATMOSPHERE; PARAMETERIZATION</t>
  </si>
  <si>
    <t>An empirical model to predict hourly global solar irradiance under all-sky conditions as a function of absorbing and scattering factors has been applied at the Dome C station in the Antarctic, using measured solar radiation and meteorological variables. The calculated hourly global solar irradiance agrees well with measurements at the ground in 2008-2011 (the model development period) and at the top of the atmosphere (TOA). This model is applied to compute global solar irradiance at the ground and its extinction in the atmosphere caused by absorbing and scattering substances during the 2006-2016 period. A sensitivity study shows that the responses of global solar irradiance to changes in water vapor and scattering factors (expressed by water vapor pressure and S/G, respectively; S and G are diffuse and global solar irradiance, respectively) are nonlinear and negative, and that global solar irradiance is more sensitive to changes in scattering than to changes in water vapor. Applying this empirical model, the albedos at the TOA and the surface in 2006-2016 are estimated and found to agree with the satellite-based retrievals. During 2006-2016, the annual mean observed and estimated global solar exposures decreased by 0.05% and 0.09%, respectively, and the diffuse exposure increased by 0.68% per year, associated with the yearly increase of the S/G ratio by 0.57% and the water vapor pressure by 1.46%. The annual mean air temperature increased by about 1.80 degrees C over the ten years, and agrees with the warming trends for all of Antarctica. The annual averages were 316.49 Wm(-2) for the calculated global solar radiation, 0.332 for S/G, -46.23 degrees C for the air temperature and 0.10 hPa for the water vapor pressure. The annual mean losses of solar exposure due to absorbing and scattering substances and the total loss were 4.02, 0.19 and 4.21 MJ m(-2), respectively. The annual mean absorbing loss was much larger than the scattering loss; their contributions to the total loss were 95.49% and 4.51%, respectively, indicating that absorbing substances are dominant and play essential roles. The annual absorbing, scattering and total losses increased by 0.01%, 0.39% and 0.28% per year, respectively. The estimated and satellite-retrieved annual albedos increased at the surface. The mechanisms of air-temperature change at two pole sites, as well as a mid-latitude site, are discussed.</t>
  </si>
  <si>
    <t>[Bai, Jianhui; Zong, Xuemei] Chinese Acad Sci, Inst Atmospher Phys, LAGEO, Beijing 100029, Peoples R China; [Lanconelli, Christian] European Commiss, Joint Res Ctr, Via Fermi 2749, I-21027 Ispra, Italy; [Lupi, Angelo; Vitale, Vito] Natl Res Council Italy, Inst Polar Sci CNR ISP, Via P Gobetti 101, I-40129 Bologna, Italy; [Driemel, Amelie] Helmholtz Ctr Polar &amp; Marine Res, Alfred Wegener Inst, Handelshafen 12, D-27570 Bremerhaven, Germany; [Li, Kaili; Song, Tao] Nanjing Zhongkehuaxing Emergency Sci &amp; Technol Re, Nanjing 211899, Peoples R China</t>
  </si>
  <si>
    <t>Chinese Academy of Sciences; Institute of Atmospheric Physics, CAS; European Commission Joint Research Centre; EC JRC ISPRA Site; Consiglio Nazionale delle Ricerche (CNR); Istituto di Scienze Polari (ISP-CNR); Helmholtz Association; Alfred Wegener Institute, Helmholtz Centre for Polar &amp; Marine Research</t>
  </si>
  <si>
    <t>Bai, JH (corresponding author), Chinese Acad Sci, Inst Atmospher Phys, LAGEO, Beijing 100029, Peoples R China.</t>
  </si>
  <si>
    <t>christian.lanconelli@ec.europa.eu; christian.lanconelli@ec.europa.eu; christian.lanconelli@ec.europa.eu; christian.lanconelli@ec.europa.eu; amelie.driemel@awi.de; christian.lanconelli@ec.europa.eu; christian.lanconelli@ec.europa.eu; christian.lanconelli@ec.europa.eu</t>
  </si>
  <si>
    <t>Keyes, Dennis/AAZ-9285-2021; Lanconelli, Christian/Q-5848-2018; li, kaili/IQS-4314-2023</t>
  </si>
  <si>
    <t>Lanconelli, Christian/0000-0002-9545-1255; vitale, vito/0000-0003-0978-8976; Driemel, Amelie/0000-0001-8667-5217; Bai, Jianhui/0000-0002-9463-7242</t>
  </si>
  <si>
    <t>Strategic Priority Research Program of the Chinese Academy of Sciences [XDA19070202]; National Key R&amp;D Program of China [2016YFB 0500602]; National Natural Science Foundation of China [41675032, 32771, 59013]; Nanjing Zhongkehuaxing Emergency Science and Technology Research Institute.</t>
  </si>
  <si>
    <t>Strategic Priority Research Program of the Chinese Academy of Sciences(Chinese Academy of Sciences); National Key R&amp;D Program of China; National Natural Science Foundation of China(National Natural Science Foundation of China (NSFC)); Nanjing Zhongkehuaxing Emergency Science and Technology Research Institute.</t>
  </si>
  <si>
    <t>FundingThis research was supported by the Strategic Priority Research Program of the Chinese Academy of Sciences (grant no. XDA19070202), the National Key R &amp; D Program of China (grant no. 2016YFB 0500602), the National Natural Science Foundation of China (grant no. 41675032, Dragon 4 and 5 projects (ID 32771 and 59013)), and the Nanjing Zhongkehuaxing Emergency Science and Technology Research Institute.</t>
  </si>
  <si>
    <t>1660-4601</t>
  </si>
  <si>
    <t>INT J ENV RES PUB HE</t>
  </si>
  <si>
    <t>Int. J. Environ. Res. Public Health</t>
  </si>
  <si>
    <t>10.3390/ijerph19053084</t>
  </si>
  <si>
    <t>ZW0JR</t>
  </si>
  <si>
    <t>WOS:000770908200001</t>
  </si>
  <si>
    <t>Gallagher, JB; Zhang, K; Chuan, CH</t>
  </si>
  <si>
    <t>Gallagher, John Barry; Zhang, Ke; Chuan, Chee Hoe</t>
  </si>
  <si>
    <t>A Re-evaluation of Wetland Carbon Sink Mitigation Concepts and Measurements: A Diagenetic Solution</t>
  </si>
  <si>
    <t>WETLANDS</t>
  </si>
  <si>
    <t>Blue carbon; Teal carbon; Black carbon; Carbon accumulation; Carbon sequestration; Carbon stocks; Net ecosystem production; Allochthonous recalcitrants; Autochthonous recalcitrants; Protection; Restoration</t>
  </si>
  <si>
    <t>BLUE CARBON; ORGANIC-MATTER; TROPICAL SEAGRASS; ATMOSPHERIC CO2; COASTAL ECOSYSTEMS; ACCUMULATION RATES; SEDIMENT ACCRETION; MARINE-SEDIMENTS; BIOGENIC SILICA; BLACK CARBON</t>
  </si>
  <si>
    <t>The capacity of wetlands to mitigate greenhouse gas (GHG) emissions is the sum of two services: the protection of vulnerable organic stocks from remineralisation, and the capacity to sequester GHGs relative to their anthropogenic replacements. Organic carbon accumulation (CA) down through the sediment column is often taken as the measure of sequestration because of its capacity to record long-term variability and trends. However, we demonstrate that: i) CA is not equivalent to sequestration as net ecosystem production (NEP) for open systems; it requires the subtraction of the initial deposition rate of labile allochthonous carbon sources; ii) CA also requires subtraction of intrinsically allochthonous recalcitrants down through the sediment column, and together with subtraction of autochthonous recalcitrants from organic stock services; iii) CA as a climatic mitigation service also requires a diagenetic correction, as the annual deposition of labile organic carbon continues to remineralise over the long-term; and iv) preserving of a wetland has a significantly greater mitigation potential than restoring one. To address the above concerns, a global diagenetic solution is proposed, applied and tested for a tropical seagrass and mangrove. As expected, traditional CA estimates were disproportionately larger than their respective diagenetically modelled NEPs, and together with stocks fell within the ranges reported in the literature, with a final carbon accreditation highly dependent on the choice of their anthropogenic replacements. The review demonstrates that mitigation concepts and measurements for natural carbon sequestration solutions require re-evaluation to avoid GHG emissions above their capacity or reduce the ability to fulfil emission targets.</t>
  </si>
  <si>
    <t>[Gallagher, John Barry] Univ Tasmania, Inst Marine &amp; Antarctic Studies, 20 Castray Esplanade, Hobart, Tas 7004, Australia; [Zhang, Ke] Chinese Acad Sci, Nanjing Inst Geog &amp; Limnol, State Key Lab Lake Sci &amp; Environm, Nanjing 210008, Peoples R China; [Chuan, Chee Hoe] Univ Malaysia Sabah, Borneo Marine Res Inst, Jalan UMS, Kota Kinabalu 88400, Sabah, Malaysia</t>
  </si>
  <si>
    <t>University of Tasmania; Chinese Academy of Sciences; Nanjing Institute of Geography &amp; Limnology, CAS; Universiti Malaysia Sabah</t>
  </si>
  <si>
    <t>Gallagher, JB (corresponding author), Univ Tasmania, Inst Marine &amp; Antarctic Studies, 20 Castray Esplanade, Hobart, Tas 7004, Australia.</t>
  </si>
  <si>
    <t>johnbarry.gallagher@utas.edu.au</t>
  </si>
  <si>
    <t>Gallagher, John/JVP-1711-2024</t>
  </si>
  <si>
    <t>ZHANG, KE/0000-0002-1841-9016</t>
  </si>
  <si>
    <t>0277-5212</t>
  </si>
  <si>
    <t>1943-6246</t>
  </si>
  <si>
    <t>Wetlands</t>
  </si>
  <si>
    <t>10.1007/s13157-022-01539-5</t>
  </si>
  <si>
    <t>ZT0FY</t>
  </si>
  <si>
    <t>WOS:000768834200001</t>
  </si>
  <si>
    <t>Ade, PAR; Amiri, M; Benton, SJ; Bergman, AS; Bihary, R; Bock, JJ; Bond, JR; Bonetti, JA; Bryan, SA; Chiang, HC; Contaldi, CR; Doré, O; Duivenvoorden, AJ; Eriksen, HK; Farhang, M; Filippini, JP; Fraisse, AA; Freese, K; Galloway, M; Gambrel, AE; Gandilo, NN; Ganga, K; Gualtieri, R; Gudmundsson, JE; Halpern, M; Hartley, J; Hasselfield, M; Hilton, G; Holmes, W; Hristov, VV; Huang, Z; Irwin, KD; Jones, WC; Karakci, A; Kuo, CL; Kermish, ZD; Leung, JSY; Li, S; Mak, DSY; Mason, PV; Megerian, K; Moncelsi, L; Morford, TA; Nagy, JM; Netterfield, CB; Nolta, M; O'Brient, R; Osherson, B; Padilla, IL; Racine, B; Rahlin, AS; Reintsema, C; Ruhl, JE; Runyan, MC; Ruud, TM; Shariff, JA; Shaw, EC; Shiu, C; Soler, JD; Song, X; Trangsrud, A; Tucker, C; Tucker, RS; Turner, AD; van der List, JF; Weber, AC; Wehus, IK; Wen, S; Wiebe, DV; Young, EY</t>
  </si>
  <si>
    <t>Ade, P. A. R.; Amiri, M.; Benton, S. J.; Bergman, A. S.; Bihary, R.; Bock, J. J.; Bond, J. R.; Bonetti, J. A.; Bryan, S. A.; Chiang, H. C.; Contaldi, C. R.; Dore, O.; Duivenvoorden, A. J.; Eriksen, H. K.; Farhang, M.; Filippini, J. P.; Fraisse, A. A.; Freese, K.; Galloway, M.; Gambrel, A. E.; Gandilo, N. N.; Ganga, K.; Gualtieri, R.; Gudmundsson, J. E.; Halpern, M.; Hartley, J.; Hasselfield, M.; Hilton, G.; Holmes, W.; Hristov, V. V.; Huang, Z.; Irwin, K. D.; Jones, W. C.; Karakci, A.; Kuo, C. L.; Kermish, Z. D.; Leung, J. S-Y; Li, S.; Mak, D. S. Y.; Mason, P., V; Megerian, K.; Moncelsi, L.; Morford, T. A.; Nagy, J. M.; Netterfield, C. B.; Nolta, M.; O'Brient, R.; Osherson, B.; Padilla, I. L.; Racine, B.; Rahlin, A. S.; Reintsema, C.; Ruhl, J. E.; Runyan, M. C.; Ruud, T. M.; Shariff, J. A.; Shaw, E. C.; Shiu, C.; Soler, J. D.; Song, X.; Trangsrud, A.; Tucker, C.; Tucker, R. S.; Turner, A. D.; van der List, J. F.; Weber, A. C.; Wehus, I. K.; Wen, S.; Wiebe, D., V; Young, E. Y.</t>
  </si>
  <si>
    <t>SPIDER Collaboration</t>
  </si>
  <si>
    <t>A Constraint on Primordial B-modes from the First Flight of the Spider Balloon-borne Telescope</t>
  </si>
  <si>
    <t>MICROWAVE BACKGROUND DATA; ANGULAR POWER SPECTRUM; CIRCULAR-POLARIZATION; LIKELIHOOD ESTIMATOR; STATISTICAL-ANALYSIS; ANISOTROPY; DESIGN; POLARIMETRY; BOLOMETERS; TRANSITION</t>
  </si>
  <si>
    <t>We present the first linear polarization measurements from the 2015 long-duration balloon flight of Spider, which is an experiment that is designed to map the polarization of the cosmic microwave background (CMB) on degree angular scales. The results from these measurements include maps and angular power spectra from observations of 4.8% of the sky at 95 and 150 GHz, along with the results of internal consistency tests on these data. While the polarized CMB anisotropy from primordial density perturbations is the dominant signal in this region of sky, Galactic dust emission is also detected with high significance. Galactic synchrotron emission is found to be negligible in the Spider bands. We employ two independent foreground-removal techniques to explore the sensitivity of the cosmological result to the assumptions made by each. The primary method uses a dust template derived from Planck data to subtract the Galactic dust signal. A second approach, which constitutes a joint analysis of Spider and Planck data in the harmonic domain, assumes a modified-blackbody model for the spectral energy distribution of the dust with no constraint on its spatial morphology. Using a likelihood that jointly samples the template amplitude and r parameter space, we derive 95% upper limits on the primordial tensor-to-scalar ratio from Feldman-Cousins and Bayesian constructions, finding r &lt; 0.11 and r &lt; 0.19, respectively. Roughly half the uncertainty in r derives from noise associated with the template subtraction. New data at 280 GHz from Spider's second flight will complement the Planck polarization maps, providing powerful measurements of the polarized Galactic dust emission.</t>
  </si>
  <si>
    <t>[Ade, P. A. R.; Tucker, C.] Cardiff Univ, Sch Phys &amp; Astron, Cardiff CF24 3AA, Wales; [Amiri, M.; Halpern, M.; Wiebe, D., V] Univ British Columbia, Dept Phys &amp; Astron, 6224 Agr Rd, Vancouver, BC V6T 1Z1, Canada; [Benton, S. J.; Bergman, A. S.; Duivenvoorden, A. J.; Fraisse, A. A.; Jones, W. C.; Kermish, Z. D.; Li, S.; Shiu, C.; Song, X.; van der List, J. F.] Princeton Univ, Dept Phys, Jadwin Hall, Princeton, NJ 08544 USA; [Bihary, R.; Ruhl, J. E.; Wen, S.] Case Western Reserve Univ, Phys Dept, 10900 Euclid Ave,Rockefeller Bldg, Cleveland, OH 44106 USA; [Bock, J. J.; Dore, O.; Hristov, V. V.; Mason, P., V; Moncelsi, L.; Morford, T. A.; Runyan, M. C.; Trangsrud, A.; Tucker, R. S.] CALTECH, Div Phys Math &amp; Astron, MS 367-17,1200 E Calif Blvd, Pasadena, CA 91125 USA; [Bock, J. J.; Bonetti, J. A.; Dore, O.; Holmes, W.; Megerian, K.; O'Brient, R.; Trangsrud, A.; Turner, A. D.; Weber, A. C.] Jet Prop Lab, Pasadena, CA 91109 USA; [Bond, J. R.; Farhang, M.; Huang, Z.; Nolta, M.; Shariff, J. A.] Univ Toronto, Canadian Inst Theoret Astrophys, 60 St George St, St George, ON M5S 3H8, Canada; [Bryan, S. A.] Arizona State Univ, Sch Elect Comp &amp; Energy Engn, 650 E Tyler Mall, Tempe, AZ 85281 USA; [Chiang, H. C.] McGill Univ, Dept Phys, 3600 Rue Univ, Montreal, PQ H3A 2T8, Canada; [Chiang, H. C.] Univ KwaZulu Natal, Sch Math Stat &amp; Comp Sci, Durban, South Africa; [Contaldi, C. R.; Mak, D. S. Y.] Imperial Coll London, Blackett Lab, London SW7 2AZ, England; [Duivenvoorden, A. J.; Freese, K.; Gudmundsson, J. E.] Stockholm Univ, Oskar Klein Ctr Cosmoparticle Phys, Dept Phys, SE-10691 Stockholm, Sweden; [Eriksen, H. K.; Galloway, M.; Karakci, A.; Racine, B.; Ruud, T. M.; Wehus, I. K.] Univ Oslo, Inst Theoret Astrophys, POB 1029, NO-0315 Oslo, Norway; [Farhang, M.] Shahid Beheshti Univ, Dept Phys, Tehran 1983969411, Iran; [Farhang, M.; Leung, J. S-Y; Netterfield, C. B.; Padilla, I. L.] Univ Toronto, Dept Astron &amp; Astrophys, 50 St George St, Toronto, ON M5S 3H4, Canada; [Filippini, J. P.; Osherson, B.; Shaw, E. C.] Univ Illinois, Dept Phys, 1110 W Green St, Urbana, IL 61801 USA; [Filippini, J. P.] Univ Illinois, Dept Astron, 1002 Green St, Urbana, IL 61801 USA; [Freese, K.] Univ Texas Austin, Dept Phys, 2515 Speedway,C1600, Austin, TX 78712 USA; [Gambrel, A. E.; Rahlin, A. S.] Univ Chicago, Kavli Inst Cosmol Phys, 5640 South Ellis Ave, Chicago, IL 60637 USA; [Gandilo, N. N.] Steward Observ, 933 North Cherry Ave, Tucson, AZ 85721 USA; [Ganga, K.] Univ Paris, CNRS, Astroparticule &amp; Cosmol, F-75013 Paris, France; [Gualtieri, R.] Argonne Natl Lab, High Energy Phys Div, Argonne, IL 60439 USA; [Hartley, J.; Netterfield, C. B.] Univ Toronto, Dept Phys, 60 St George St, Toronto, ON M5S 3H4, Canada; [Hasselfield, M.] Penn State Univ, Dept Astron &amp; Astrophys, 520 Davey Lab, University Pk, PA 16802 USA; [Hilton, G.; Reintsema, C.] NIST, 325 Broadway Mailcode 817-03, Boulder, CO 80305 USA; [Irwin, K. D.; Kuo, C. L.; Young, E. Y.] Stanford Univ, Dept Phys, 382 Via Pueblo Mall, Stanford, CA 94305 USA; [Irwin, K. D.; Young, E. Y.] SLAC Natl Accelerator Lab, 2575 Sand Hill Rd, Menlo Pk, CA 94025 USA; [Leung, J. S-Y] Univ Toronto, Dunlap Inst Astron &amp; Astrophys, 50 St George St, Toronto, ON M5S 3H4, Canada; [Li, S.] Princeton Univ, Dept Mech &amp; Aerosp Engn, Engn Quadrangle, Princeton, NJ 08544 USA; [Nagy, J. M.] Washington Univ, Dept Phys, 1 Brookings Dr, St Louis, MO 63130 USA; [Nagy, J. M.] Washington Univ, McDonnell Ctr Space Sci, 1 Brookings Dr, St Louis, MO 63130 USA; [Padilla, I. L.] Johns Hopkins Univ, Dept Phys &amp; Astron, 3701 San Martin Dr, Baltimore, MD 21218 USA; [Rahlin, A. S.] Fermilab Natl Accelerator Lab, POB 500, Batavia, IL 60510 USA; [Soler, J. D.] Max Planck Inst Astron, Konigstuhl 17, D-69117 Heidelberg, Germany</t>
  </si>
  <si>
    <t>Cardiff University; University of British Columbia; Princeton University; University System of Ohio; Case Western Reserve University; California Institute of Technology; National Aeronautics &amp; Space Administration (NASA); NASA Jet Propulsion Laboratory (JPL); University of Toronto; Arizona State University; Arizona State University-Tempe; McGill University; University of Kwazulu Natal; Imperial College London; Oskar Klein Centre; Stockholm University; University of Oslo; Shahid Beheshti University; University of Toronto; University of Illinois System; University of Illinois Urbana-Champaign; University of Illinois System; University of Illinois Urbana-Champaign; University of Texas System; University of Texas Austin; University of Chicago; Universite PSL; Observatoire de Paris; CEA; Centre National de la Recherche Scientifique (CNRS); Universite Paris Cite; United States Department of Energy (DOE); Argonne National Laboratory; University of Toronto; Pennsylvania Commonwealth System of Higher Education (PCSHE); Pennsylvania State University; Pennsylvania State University - University Park; National Institute of Standards &amp; Technology (NIST) - USA; Stanford University; Stanford University; United States Department of Energy (DOE); SLAC National Accelerator Laboratory; University of Toronto; Princeton University; Washington University (WUSTL); Washington University (WUSTL); Johns Hopkins University; United States Department of Energy (DOE); University of Chicago; Fermi National Accelerator Laboratory; Max Planck Society</t>
  </si>
  <si>
    <t>Benton, SJ; Jones, WC (corresponding author), Princeton Univ, Dept Phys, Jadwin Hall, Princeton, NJ 08544 USA.</t>
  </si>
  <si>
    <t>wejones@princeton.edu; wcjones@princeton.edu</t>
  </si>
  <si>
    <t>Gualtieri, Riccardo/AAH-2961-2019; Moncelsi, Lorenzo/AAU-1009-2020; jones, william C/AGJ-6132-2022; Ruhl, John/HHS-2212-2022; Huang, Zhiqi/JVN-7317-2024</t>
  </si>
  <si>
    <t>Gualtieri, Riccardo/0000-0003-4245-2315; Moncelsi, Lorenzo/0000-0002-4242-3015; jones, william C/0000-0002-3636-1241; Ruhl, John/0000-0001-5875-4751; Huang, Zhiqi/0000-0002-1506-1063; Duivenvoorden, Adri/0000-0003-2856-2382; Irwin, Kent/0000-0002-2998-9743; Leung, Jason/0000-0001-7116-3710; Tucker, Carole/0000-0002-1851-3918; Contaldi, Carlo/0000-0001-7285-0707; Nagy, Johanna/0000-0002-2036-7008; bond, j. richard/0000-0003-2358-9949; Galloway, Mathew/0000-0001-9279-137X; Li, Lun/0000-0002-8896-911X</t>
  </si>
  <si>
    <t>National Aeronautics and Space Administration through the Science Mission Directorate [NNX07AL64G, NNX12AE95G, NNX17AC55G]; National Science Foundation [PLR-1043515]; Natural Sciences and Engineering Research Council; Canadian Space Agency; Research Council of Norway; Swedish Research Council through the Oskar Klein Centre [638-2013-8993]; Swedish Research Council [201993959]; Swedish Space Agency [139/17]; University of Toronto; Canada Foundation for Innovation; British Columbia Knowledge Development Fund; David and Lucile Packard Foundation; UKRI Consolidated Grants [ST/P000762/1, ST/N000838/1, ST/T000791/1]; Canada Foundation for Innovation under the auspices of Compute Canada; Government of Ontario, Ontario Research Fund--Research Excellence; David Dunlap family; STFC [ST/S000372/1, ST/P000762/1, ST/N000838/1, ST/T000791/1] Funding Source: UKRI</t>
  </si>
  <si>
    <t>National Aeronautics and Space Administration through the Science Mission Directorate; National Science Foundation(National Science Foundation (NSF)); Natural Sciences and Engineering Research Council(Natural Sciences and Engineering Research Council of Canada (NSERC)); Canadian Space Agency(Canadian Space Agency); Research Council of Norway(Research Council of Norway); Swedish Research Council through the Oskar Klein Centre(Swedish Research Council); Swedish Research Council(Swedish Research Council); Swedish Space Agency; University of Toronto(University of Toronto); Canada Foundation for Innovation(Canada Foundation for InnovationCGIARSpanish Government); British Columbia Knowledge Development Fund; David and Lucile Packard Foundation(The David &amp; Lucile Packard Foundation); UKRI Consolidated Grants; Canada Foundation for Innovation under the auspices of Compute Canada(Canada Foundation for Innovation); Government of Ontario, Ontario Research Fund--Research Excellence; David Dunlap family; STFC(UK Research &amp; Innovation (UKRI)Science &amp; Technology Facilities Council (STFC))</t>
  </si>
  <si>
    <t>SPIDER is supported in the U.S. by the National Aeronautics and Space Administration under grants NNX07AL64G, NNX12AE95G, and NNX17AC55G issued through the Science Mission Directorate and by the National Science Foundation through PLR-1043515. Logistical support for the Antarctic deployment and operations is provided by the NSF through the U.S. Antarctic Program. Support in Canada is provided by the Natural Sciences and Engineering Research Council and the Canadian Space Agency. Support in Norway is provided by the Research Council of Norway. Support in Sweden is provided by the Swedish Research Council through the Oskar Klein Centre (Contract No. 638-2013-8993) as well as a grant from the Swedish Research Council (dnr. 201993959) and a grant from the Swedish Space Agency (dnr. 139/17). The Dunlap Institute is funded through an endowment established by the David Dunlap family and the University of Toronto. The multiplexing readout electronics were developed with support from the Canada Foundation for Innovation and the British Columbia Knowledge Development Fund. KF holds the Jeff &amp; Gail Kodosky Endowed Chair at UT Austin and is grateful for that support. W.C.J. acknowledges the generous support of the David and Lucile Packard Foundation, which has been crucial to the success of the project. C.R.C. was supported by UKRI Consolidated Grants, ST/P000762/1, ST/N000838/1, and ST/T000791/1.; Some of the results in this paper have been derived using the HEALPix package (Gorski et al. 2005). The computations described in this paper were performed on four computing clusters: Hippo at the University of KwaZulu-Natal, Feynman at Princeton University, and the GPC and Niagara supercomputers at the SciNet HPC Consortium (Loken et al. 2010; Ponce et al. 2019). SciNet is funded by the Canada Foundation for Innovation under the auspices of Compute Canada, the Government of Ontario, Ontario Research Fund--Research Excellence, and the University of Toronto.</t>
  </si>
  <si>
    <t>10.3847/1538-4357/ac20df</t>
  </si>
  <si>
    <t>ZS5ON</t>
  </si>
  <si>
    <t>Green Submitted, Green Accepted, Green Published, gold</t>
  </si>
  <si>
    <t>WOS:000768515600001</t>
  </si>
  <si>
    <t>Nosikova, NS; Yagova, NV; Baddeley, LJ; Lorentzen, DA; Sormakov, DA</t>
  </si>
  <si>
    <t>Nosikova, Nataliya Sergeevna; Yagova, Nadezda Viktorovna; Baddeley, Lisa Jane; Lorentzen, Dag Arne; Sormakov, Dmitriy Anatolyevich</t>
  </si>
  <si>
    <t>An investigation into the spectral parameters of ultra-low-frequency (ULF) waves in the polar caps and magnetotail</t>
  </si>
  <si>
    <t>PULSATIONS; DYNAMICS</t>
  </si>
  <si>
    <t>The present case study is focused on fluctuations at similar to 1.5 mHz observed on open field lines in both of the polar caps in ground-based geomagnetic data and in the electron concentration in the Northern Hemisphere ionosphere. Coherent pulsations with a relatively narrow narrowband-like spectra and a higher fraction of transversal components in the total spectral power are also observed by the Cluster satellites in the magnetotail magnetic field. Interestingly, the pulsations in the magnetotail started after pulsations over a similar frequency range observed in the solar wind dynamic pressure and interplanetary magnetic field (IMF) had been switched off. This suggests evidence of an internal resonant magnetotail mode which is normally masked by a higher-amplitude broadband ultra-low-frequency (ULF) noise of extra-magnetospheric origin.</t>
  </si>
  <si>
    <t>[Nosikova, Nataliya Sergeevna] Natl Res Nucl Univ MEPhI, Dept Gen Phys, Moscow, Russia; [Nosikova, Nataliya Sergeevna; Yagova, Nadezda Viktorovna] Russian Acad Sci IPE RAS, Schmidt Inst Phys Earth, Lab Phys Earths Environm, Moscow, Russia; [Baddeley, Lisa Jane; Lorentzen, Dag Arne] Univ Ctr Svalbard, Arctic Geophys Dept, Svalbard, Norway; [Sormakov, Dmitriy Anatolyevich] Arctic &amp; Antarctic Res Inst AARI, Geophys Dept, St Petersburg, Russia; [Baddeley, Lisa Jane; Lorentzen, Dag Arne] Univ Bergen, Birkeland Ctr Space Sci, Bergen, Norway</t>
  </si>
  <si>
    <t>National Research Nuclear University MEPhI (Moscow Engineering Physics Institute); Russian Academy of Sciences; Schmidt Institute of Physics of the Earth of the Russian Academy of Sciences; University Centre Svalbard (UNIS); Arctic &amp; Antarctic Research Institute; University of Bergen</t>
  </si>
  <si>
    <t>Nosikova, NS (corresponding author), Natl Res Nucl Univ MEPhI, Dept Gen Phys, Moscow, Russia.;Nosikova, NS (corresponding author), Russian Acad Sci IPE RAS, Schmidt Inst Phys Earth, Lab Phys Earths Environm, Moscow, Russia.</t>
  </si>
  <si>
    <t>nsnosikova@mephi.ru</t>
  </si>
  <si>
    <t>Baddeley, Lisa/ABD-4414-2020; Sormakov, Dmitry/K-1695-2014</t>
  </si>
  <si>
    <t>Baddeley, Lisa/0000-0003-1246-0488; Sormakov, Dmitry/0000-0003-2829-5982; Nosikova, Nataliya/0000-0002-1256-5645</t>
  </si>
  <si>
    <t>Research Council of Norway (Norges Forskningsrad) [246725, 309135]; Russian Foundation for Basic Research (RFBR) [20-05-00787 A]</t>
  </si>
  <si>
    <t>Research Council of Norway (Norges Forskningsrad)(Research Council of Norway); Russian Foundation for Basic Research (RFBR)(Russian Foundation for Basic Research (RFBR))</t>
  </si>
  <si>
    <t>This research was partly funded by the Research Council of Norway (Norges Forskningsrad) within the framework of the PolarProg and INTPART research programmes (grant nos. 246725 and 309135 to Nataliya Sergeevna Nosikova, Lisa Jane Baddeley, and Dag Arne Lorentzen) and by the Russian Foundation for Basic Research (RFBR; grant no. 20-05-00787 A to Nadezda Viktorovna Yagova).</t>
  </si>
  <si>
    <t>10.5194/angeo-40-151-2022</t>
  </si>
  <si>
    <t>ZO3RR</t>
  </si>
  <si>
    <t>WOS:000765646000001</t>
  </si>
  <si>
    <t>Pang, XP; Chen, YZ; Ji, Q; Li, GY; Shi, LJ; Lan, MS; Liang, ZY</t>
  </si>
  <si>
    <t>Pang, Xiaoping; Chen, Yizhuo; Ji, Qing; Li, Guoyuan; Shi, Lijian; Lan, Musheng; Liang, Zeyu</t>
  </si>
  <si>
    <t>An Improved Algorithm for the Retrieval of the Antarctic Sea Ice Freeboard and Thickness from ICESat-2 Altimeter Data</t>
  </si>
  <si>
    <t>variable lead proportion; sea ice freeboard; sea ice thickness; Antarctic Ocean; ICESat-2</t>
  </si>
  <si>
    <t>WEDDELL SEA; SNOW DEPTH; VARIABILITY; ICEBRIDGE</t>
  </si>
  <si>
    <t>ICESat-2 altimeter data could be used to estimate sea ice freeboard and thickness values with a higher measuring accuracy than that achievable with data provided by previous altimeter satellites. This study developed an improved algorithm considering variable lead proportions based on the lowest point method to derive the sea surface height for the retrieval of Antarctic sea ice freeboard and thickness values from ICESat-2 ATL-07 data. We first collocated ICESat-2 tracks to corresponding Sentinel-1 SAR images and calculated lead (seawater) proportions along each track to estimate the sea surface height in the Antarctic Ocean. Then, the Antarctic sea ice freeboard and thickness were estimated based on a local sea surface height reference and a static equilibrium equation. Finally, we assessed the accuracy of our improved algorithm and ICESat-2 data product in the retrieval of the Antarctic sea ice thickness by comparing the calculated values to ship-based observational sea ice thickness values acquired during the 35th Chinese Antarctic Research Expedition (CHINARE-35). The results indicate that the Antarctic sea ice freeboard estimated with the improved lowest point method was slightly larger than that estimated with the ICESat-2 data product algorithm. The root mean squared error (RMSE) of the improved lowest point method was 35 cm with the CHINARE-35 measured sea ice thickness, which was smaller than that determined with the ICESat-2 data product algorithm (65 cm). Our improved algorithm could provide more accurate data on the Antarctic sea ice freeboard and thickness, thus supporting Antarctic sea ice monitoring and the evaluation of its change under global effects.</t>
  </si>
  <si>
    <t>[Pang, Xiaoping; Chen, Yizhuo; Ji, Qing; Liang, Zeyu] Wuhan Univ, Chinese Antarctic Ctr Surveying &amp; Mapping, Wuhan 430079, Peoples R China; [Li, Guoyuan] Minist Nat Resources, Land Satellite Remote Sensing Applicat Ctr, Beijing 100048, Peoples R China; [Shi, Lijian] Minist Nat Resources, Natl Satellite Ocean Applicat Serv, Beijing 100081, Peoples R China; [Shi, Lijian] Minist Nat Resources, Key Lab Space Ocean Remote Sensing &amp; Applicat, Beijing 100081, Peoples R China; [Lan, Musheng] Minist Nat Resources, Polar Res Inst China, Key Lab Polar Sci, Shanghai 200136, Peoples R China</t>
  </si>
  <si>
    <t>Wuhan University; Ministry of Natural Resources of the People's Republic of China; Ministry of Natural Resources of the People's Republic of China; National Satellite Ocean Application Service; Ministry of Natural Resources of the People's Republic of China; Ministry of Natural Resources of the People's Republic of China; Polar Research Institute of China</t>
  </si>
  <si>
    <t>Ji, Q (corresponding author), Wuhan Univ, Chinese Antarctic Ctr Surveying &amp; Mapping, Wuhan 430079, Peoples R China.</t>
  </si>
  <si>
    <t>pxp@whu.edu.cn; chenyiz@whu.edu.cn; jiqing@whu.edu.cn; ligy@lasac.cn; shilj@mail.nsoas.org.cn; lanmusheng@pric.org.cn; liangzeyu@whu.edu.cn</t>
  </si>
  <si>
    <t>Ji, Qing/0000-0003-1386-5604</t>
  </si>
  <si>
    <t>10.3390/rs14051069</t>
  </si>
  <si>
    <t>ZS9PO</t>
  </si>
  <si>
    <t>WOS:000768790100001</t>
  </si>
  <si>
    <t>Aicardi, S; Bozzo, M; Amaroli, A; Gallus, L; Risso, B; Carlig, E; Di Blasi, D; Vacchi, M; Ghigliotti, L; Ferrando, S</t>
  </si>
  <si>
    <t>Aicardi, Stefano; Bozzo, Matteo; Amaroli, Andrea; Gallus, Lorenzo; Risso, Beatrice; Carlig, Erica; Di Blasi, Davide; Vacchi, Marino; Ghigliotti, Laura; Ferrando, Sara</t>
  </si>
  <si>
    <t>The Arrangement of the Peripheral Olfactory System of Pleuragramma antarcticum: A Well-Exploited Small Sensor, an Aided Water Flow, and a Prominent Effort in Primary Signal Elaboration</t>
  </si>
  <si>
    <t>ANIMALS</t>
  </si>
  <si>
    <t>Antarctic silverfish; olfactory rosette; olfactory nerve; olfactory bulb; fish olfaction; isotropic fractionator</t>
  </si>
  <si>
    <t>NOTOTHENIOID FISHES PERCIFORMES; ORGAN ANATOMY; LIFE-HISTORY; NASAL CAVITY; BRAIN; HISTOLOGY; MORPHOLOGY; NEURONS; GROWTH; SIZE</t>
  </si>
  <si>
    <t>Simple Summary How animals perceive their surrounding environment is crucial to their reactions and behavior. Olfaction, among others, is one of the more important senses for wide-range communication and in low-light environments. This study aims to give a morphological description of the peripheral olfactory system of the Antarctic silverfish, which is a key species in the coastal Antarctic ecosystem. The head of the Antarctic silverfish is specialized to assure that the olfactory organ keeps in contact with a large volume of water, even when the fish is not actively swimming. The sensory surface area and the number of neurons in the primary olfactory brain region show that this fish invests energy in the detection and elaboration of olfactory signals. In the cold waters of the Southern Ocean, the Antarctic silverfish is therefore likely to rely considerably on olfaction. The olfactory system is constituted in a consistent way across vertebrates. Nasal structures allow water/air to enter an olfactory cavity, conveying the odorants to a sensory surface. There, the olfactory neurons form, with their axons, a sensory nerve projecting to the telencephalic zone-named the olfactory bulb. This organization comes with many different arrangements, whose meaning is still a matter of debate. A morphological description of the olfactory system of many teleost species is present in the literature; nevertheless, morphological investigations rarely provide a quantitative approach that would help to provide a deeper understanding of the structures where sensory and elaborating events happen. In this study, the peripheral olfactory system of the Antarctic silverfish, which is a keystone species in coastal Antarctica ecosystems, has also been described, employing some quantitative methods. The olfactory chamber of this species is connected to accessory nasal sacs, which probably aid water movements in the chamber; thus, the head of the Antarctic silverfish is specialized to assure that the olfactory organ keeps in contact with a large volume of water-even when the fish is not actively swimming. Each olfactory organ, shaped like an asymmetric rosette, has, in adult fish, a sensory surface area of about 25 mm(2), while each olfactory bulb contains about 100,000 neurons. The sensory surface area and the number of neurons in the primary olfactory brain region show that this fish invests energy in the detection and elaboration of olfactory signals and allow comparisons among different species. The mouse, for example-which is considered a macrosmatic vertebrate-has a sensory surface area of the same order of magnitude as that of the Antarctic silverfish, but ten times more neurons in the olfactory bulb. Catsharks, on the other hand, have a sensory surface area that is two orders of magnitude higher than that of the Antarctic silverfish, while the number of neurons has the same order of magnitude. The Antarctic silverfish is therefore likely to rely considerably on olfaction.</t>
  </si>
  <si>
    <t>[Aicardi, Stefano; Gallus, Lorenzo; Risso, Beatrice; Ferrando, Sara] Univ Genoa, Dept Earth Environm &amp; Life Sci DISTAV, Lab Comparat Anat, I-16132 Genoa, Italy; [Bozzo, Matteo] Univ Genoa, Dept Earth Environm &amp; Life Sci DISTAV, Lab Dev Neurobiol, I-16132 Genoa, Italy; [Amaroli, Andrea] Univ Genoa, Dept Surg &amp; Diagnost Sci, I-16132 Genoa, Italy; [Amaroli, Andrea] Sechenov Univ, Moscow State Med Univ 1, Fac Dent, Dept Orthoped Dent, Moscow 119991, Russia; [Carlig, Erica; Di Blasi, Davide; Vacchi, Marino; Ghigliotti, Laura] Natl Res Council CNR Italy, Inst Study Anthrop Impacts &amp; Sustainabil Marine E, Via Marini 6, I-16149 Genoa, Italy; [Di Blasi, Davide] Genoa Marine Ctr, Natl Inst Marine Biol Ecol &amp; Biotechnol, Stn Zool Anton Dohrn, Dept Integrat Marine Ecol EMI, I-16126 Genoa, Italy</t>
  </si>
  <si>
    <t>University of Genoa; University of Genoa; University of Genoa; Sechenov First Moscow State Medical University; Stazione Zoologica Anton Dohrn di Napoli</t>
  </si>
  <si>
    <t>Ferrando, S (corresponding author), Univ Genoa, Dept Earth Environm &amp; Life Sci DISTAV, Lab Comparat Anat, I-16132 Genoa, Italy.;Ghigliotti, L (corresponding author), Natl Res Council CNR Italy, Inst Study Anthrop Impacts &amp; Sustainabil Marine E, Via Marini 6, I-16149 Genoa, Italy.</t>
  </si>
  <si>
    <t>stefano.aicardi94@libero.it; matteo.bozzo@edu.unige.it; andrea.amaroli.71@gmail.com; galluslorenzo@gmail.com; beatricerisso1997@gmail.com; erica.carlig@ias.cnr.it; davide.diblasi@szn.it; marino.vacchi@ias.cnr.it; laura.ghigliotti@cnr.it; sara.ferrando@unige.it</t>
  </si>
  <si>
    <t>Ferrando, Sara/AAC-9934-2022; Bozzo, Matteo/ABB-1039-2020; Amaroli, Andrea/AAB-1932-2021; Bozzo, Matteo/GXN-3984-2022; Ghigliotti, Laura/HZK-5511-2023</t>
  </si>
  <si>
    <t>Ferrando, Sara/0000-0002-5781-9709; Bozzo, Matteo/0000-0002-7452-3758; Amaroli, Andrea/0000-0002-0494-7942; Bozzo, Matteo/0000-0002-7452-3758; Ghigliotti, Laura/0000-0003-2139-1381; Risso, Beatrice/0009-0006-7767-200X; Carlig, Erica/0000-0002-8537-8971; Gallus, Lorenzo/0000-0003-4496-3602</t>
  </si>
  <si>
    <t>2076-2615</t>
  </si>
  <si>
    <t>ANIMALS-BASEL</t>
  </si>
  <si>
    <t>Animals</t>
  </si>
  <si>
    <t>10.3390/ani12050663</t>
  </si>
  <si>
    <t>Agriculture, Dairy &amp; Animal Science; Veterinary Sciences; Zoology</t>
  </si>
  <si>
    <t>Agriculture; Veterinary Sciences; Zoology</t>
  </si>
  <si>
    <t>ZR8AC</t>
  </si>
  <si>
    <t>WOS:000767999500001</t>
  </si>
  <si>
    <t>Ferreira, A; Brito, AC; Mendes, CRB; Brotas, V; Costa, RR; Guerreiro, CV; Sa, C; Jackson, T</t>
  </si>
  <si>
    <t>Ferreira, Afonso; Brito, Ana C.; Mendes, Carlos R. B.; Brotas, Vanda; Costa, Raul R.; Guerreiro, Catarina V.; Sa, Carolina; Jackson, Thomas</t>
  </si>
  <si>
    <t>OC4-SO: A New Chlorophyll-a Algorithm for the Western Antarctic Peninsula Using Multi-Sensor Satellite Data</t>
  </si>
  <si>
    <t>ocean colour; Chl-a; Antarctic Peninsula; OC-CCI; phytoplankton; Southern Ocean</t>
  </si>
  <si>
    <t>SOUTHERN-OCEAN; NATURAL PHYTOPLANKTON; BIOOPTICAL PROPERTIES; RANDOM FORESTS; SEA-ICE; ABSORPTION; PIGMENTS; WATERS; LIGHT; CLASSIFICATION</t>
  </si>
  <si>
    <t>Chlorophyll-a (Chl-a) underestimation by global satellite algorithms in the Southern Ocean has long been reported, reducing their accuracy, and limiting the potential for evaluating phytoplankton biomass. As a result, several regional Chl-a algorithms have been proposed. The present work aims at assessing the performance of both global and regional satellite algorithms that are currently available for the Western Antarctic Peninsula (WAP) and investigate which factors are contributing to the underestimation of Chl-a. Our study indicates that a global algorithm, on average, underestimates in-situ Chl-a by ~59%, although underestimation was only observed for waters with Chl-a &gt; 0.5 mg m(-3). In high Chl-a waters (&gt;1 mg m(-3)), Chl-a underestimation rose to nearly 80%. Contrary to previous studies, no clear link was found between Chl-a underestimation and the pigment packaging effect, nor with the phytoplankton community composition and sea ice contamination. Based on multi-sensor satellite data and the most comprehensive in-situ dataset ever collected from the WAP, a new, more accurate satellite Chl-a algorithm is proposed: the OC4-SO. The OC4-SO has great potential to become an important tool not only for the ocean colour community, but also for an effective monitoring of the phytoplankton communities in a climatically sensitive region where in-situ data are scarce.</t>
  </si>
  <si>
    <t>[Ferreira, Afonso; Brito, Ana C.; Brotas, Vanda; Guerreiro, Catarina V.] Univ Lisbon, Fac Ciencias, MARE Marine &amp; Environm Sci Ctr, P-1749016 Lisbon, Portugal; [Ferreira, Afonso; Mendes, Carlos R. B.; Costa, Raul R.] Univ Fed Rio Grande, Inst Oceanog, Lab Fitoplancton &amp; Microorg Marinhos, BR-96203900 Rio Grande, RS, Brazil; [Mendes, Carlos R. B.; Costa, Raul R.] Univ Fed Rio Grande, Inst Oceanog, Lab Estudos Oceano &amp; Clima, BR-96203900 Rio Grande, RS, Brazil; [Guerreiro, Catarina V.] Univ Lisbon, Fac Ciencias, IDL Inst Dom Luiz, P-1749016 Lisbon, Portugal; [Sa, Carolina] Portugal Space, Palacio Laranjeiras, Estr Laranjeiras 205 R-C, P-1649018 Lisbon, Portugal; [Jackson, Thomas] Plymouth Marine Lab, Prospect Pl, Plymouth PL1 3DH, Devon, England</t>
  </si>
  <si>
    <t>Universidade de Lisboa; Universidade Federal do Rio Grande; Universidade Federal do Rio Grande; Universidade de Lisboa; Plymouth Marine Laboratory</t>
  </si>
  <si>
    <t>Ferreira, A (corresponding author), Univ Lisbon, Fac Ciencias, MARE Marine &amp; Environm Sci Ctr, P-1749016 Lisbon, Portugal.;Ferreira, A (corresponding author), Univ Fed Rio Grande, Inst Oceanog, Lab Fitoplancton &amp; Microorg Marinhos, BR-96203900 Rio Grande, RS, Brazil.</t>
  </si>
  <si>
    <t>ambferreira@fc.ul.pt; acbrito@fc.ul.pt; crbmendes@furg.br; vbrotas@fc.ul.pt; costa@furg.br; caguerreiro@fc.ul.pt; carolina.sa@ptspace.pt; thja@pml.ac.uk</t>
  </si>
  <si>
    <t>Mendes, Carlos/AAD-6504-2021; Mendes, Carlos/GVU-7596-2022; Mendes, Carlos/I-1520-2012; Sá, Carolina G.V./C-2268-2012; Guerreiro, Catarina V./M-7745-2013; Ferreira, Afonso/Y-3832-2018; Brotas, Vanda/A-2410-2012; Brito, Ana C./F-4473-2011</t>
  </si>
  <si>
    <t>Mendes, Carlos/0000-0001-6875-8860; Mendes, Carlos/0000-0001-6875-8860; Guerreiro, Catarina V./0000-0001-8524-540X; Ferreira, Afonso/0000-0002-2670-8125; Jackson, Thomas/0000-0003-4336-1597; Brotas, Vanda/0000-0001-8612-4167; Brito, Ana C./0000-0001-6539-5830</t>
  </si>
  <si>
    <t>10.3390/rs14051052</t>
  </si>
  <si>
    <t>ZS8UV</t>
  </si>
  <si>
    <t>WOS:000768736100001</t>
  </si>
  <si>
    <t>Mandal, G; Yu, JY; Lee, SY</t>
  </si>
  <si>
    <t>Mandal, Gagan; Yu, Jia-Yuh; Lee, Shih-Yu</t>
  </si>
  <si>
    <t>The Roles of Orbital and Meltwater Climate Forcings on the Southern Ocean Dynamics during the Last Deglaciation</t>
  </si>
  <si>
    <t>Southern Ocean upwelling; sea ice; windstress; orbital forcing; meltwater forcing; surface buoyancy forcing; freshwater flux; last deglaciation</t>
  </si>
  <si>
    <t>WESTERLY WIND CHANGES; ANTARCTIC SEA-ICE; GLACIAL MAXIMUM; ATMOSPHERIC CO2; OVERTURNING CIRCULATION; HEMISPHERE CLIMATE; CARBON-DIOXIDE; SIMULATION; ATLANTIC; SURFACE</t>
  </si>
  <si>
    <t>The last deglacial climate evolution, from 19 to 9 thousand years before the present, represents the vital role of feedback in the Earth's climate system. The Southern Ocean played a fundamental role by exchanging nutrients and carbon-rich deep ocean water with the surface during the last deglaciation. This study employs a fully coupled Earth system model to investigate the evolution of Southern Ocean dynamics and the roles of changes in orbital and meltwater forcings during the last deglaciation. The simulation supports that the Southern Ocean upwelling was primarily driven by windstress. The results show that the melting and formation of Antarctic sea ice feedback influenced Southern Ocean surface buoyancy flux. The increase in Antarctic sea ice melt-induced freshwater flux resulted in a steepened north-south surface salinity gradient in the Southern Ocean, which enhanced the upwelling. The single-forcing experiments indicate that the deglacial changes in orbital insolation influenced the Southern Ocean upwelling. The experiments also highlight the dominant role of Northern Hemisphere meltwater discharge in the upper and lower branch of the Meridional Overturning Circulation. Furthermore, orbital forcing shows lesser deglacial Antarctic sea ice retreat than the Northern Hemisphere meltwater forcing, which follows the bipolar seesaw mechanism.</t>
  </si>
  <si>
    <t>[Mandal, Gagan] Acad Sinica, Taiwan Int Grad Program, Earth Syst Sci Program, Taipei 11529, Taiwan; [Mandal, Gagan; Yu, Jia-Yuh] Natl Cent Univ, Dept Atmospher Sci, Taoyuan 32001, Taiwan; [Mandal, Gagan; Lee, Shih-Yu] Acad Sinica, Res Ctr Environm Changes, Taipei 11529, Taiwan</t>
  </si>
  <si>
    <t>Academia Sinica - Taiwan; National Central University; Academia Sinica - Taiwan</t>
  </si>
  <si>
    <t>Lee, SY (corresponding author), Acad Sinica, Res Ctr Environm Changes, Taipei 11529, Taiwan.</t>
  </si>
  <si>
    <t>gagan.iitroorkee@gmail.com; jiayuh@atm.ncu.edu.tw; shihyu@gate.sinica.edu.tw</t>
  </si>
  <si>
    <t>LEE, SHIH-YU/AAP-3128-2021; Yu, Jia-Yuh/Y-9365-2019</t>
  </si>
  <si>
    <t>LEE, SHIH-YU/0000-0001-8484-3846; Mandal, Gagan/0000-0002-9586-0665; Yu, Jia-Yuh/0000-0001-7512-2510</t>
  </si>
  <si>
    <t>10.3390/su14052927</t>
  </si>
  <si>
    <t>ZS7HQ</t>
  </si>
  <si>
    <t>WOS:000768633500001</t>
  </si>
  <si>
    <t>Ade, PAR; Ahmed, Z; Amiri, M; Barkats, D; Thakur, RB; Bischoff, CA; Beck, D; Bock, JJ; Boenish, H; Bullock, E; Buza, V; Cheshire, JR; Connors, J; Cornelison, J; Crumrine, M; Cukierman, A; Denison, EV; Dierickx, M; Duband, L; Eiben, M; Fatigoni, S; Filippini, JP; Fliescher, S; Goeckner-Wald, N; Goldfinger, DC; Grayson, J; Grimes, P; Hall, G; Halal, G; Halpern, M; Hand, E; Harrison, S; Henderson, S; Hildebrandt, SR; Hilton, GC; Hubmayr, J; Hui, H; Irwin, KD; Kang, J; Karkare, KS; Karpel, E; Kefeli, S; Kernasovskiy, SA; Kovac, JM; Kuo, CL; Lau, K; Leitch, EM; Lennox, A; Megerian, KG; Minutolo, L; Moncelsi, L; Nakato, Y; Namikawa, T; Nguyen, HT; O'Brient, R; Ogburn, RW; Palladino, S; Prouve, T; Pryke, C; Racine, B; Reintsema, CD; Richter, S; Schillaci, A; Schwarz, R; Schmitt, BL; Sheehy, CD; Soliman, A; St Germaine, T; Steinbach, B; Sudiwala, RV; Teply, GP; Thompson, KL; Tolan, JE; Tucker, C; Turner, AD; Umiltà, C; Vergès, C; Vieregg, AG; Wandui, A; Weber, AC; Wiebe, DV; Willmert, J; Wong, CL; Wu, WLK; Yang, H; Yoon, KW; Young, E; Yu, C; Zeng, L; Zhang, C; Zhang, S</t>
  </si>
  <si>
    <t>Ade, P. A. R.; Ahmed, Z.; Amiri, M.; Barkats, D.; Thakur, R. Basu; Bischoff, C. A.; Beck, D.; Bock, J. J.; Boenish, H.; Bullock, E.; Buza, V; Cheshire, J. R.; Connors, J.; Cornelison, J.; Crumrine, M.; Cukierman, A.; Denison, E., V; Dierickx, M.; Duband, L.; Eiben, M.; Fatigoni, S.; Filippini, J. P.; Fliescher, S.; Goeckner-Wald, N.; Goldfinger, D. C.; Grayson, J.; Grimes, P.; Hall, G.; Halal, G.; Halpern, M.; Hand, E.; Harrison, S.; Henderson, S.; Hildebrandt, S. R.; Hilton, G. C.; Hubmayr, J.; Hui, H.; Irwin, K. D.; Kang, J.; Karkare, K. S.; Karpel, E.; Kefeli, S.; Kernasovskiy, S. A.; Kovac, J. M.; Kuo, C. L.; Lau, K.; Leitch, E. M.; Lennox, A.; Megerian, K. G.; Minutolo, L.; Moncelsi, L.; Nakato, Y.; Namikawa, T.; Nguyen, H. T.; O'Brient, R.; Ogburn, R. W.; Palladino, S.; Prouve, T.; Pryke, C.; Racine, B.; Reintsema, C. D.; Richter, S.; Schillaci, A.; Schwarz, R.; Schmitt, B. L.; Sheehy, C. D.; Soliman, A.; St Germaine, T.; Steinbach, B.; Sudiwala, R., V; Teply, G. P.; Thompson, K. L.; Tolan, J. E.; Tucker, C.; Turner, A. D.; Umilta, C.; Verges, C.; Vieregg, A. G.; Wandui, A.; Weber, A. C.; Wiebe, D., V; Willmert, J.; Wong, C. L.; Wu, W. L. K.; Yang, H.; Yoon, K. W.; Young, E.; Yu, C.; Zeng, L.; Zhang, C.; Zhang, S.</t>
  </si>
  <si>
    <t>BICEP Keck Collaboration</t>
  </si>
  <si>
    <t>BICEP/Keck XV: The BICEP3 Cosmic Microwave Background Polarimeter and the First Three-year Data Set</t>
  </si>
  <si>
    <t>KECK-ARRAY; INFLATIONARY UNIVERSE; GRAVITY-WAVES; POLARIZATION; MILLIMETER; BOLOMETERS; FLATNESS; HORIZON; MODEL</t>
  </si>
  <si>
    <t>We report on the design and performance of the BICEP3 instrument and its first three-year data set collected from 2016 to 2018. BICEP3 is a 52 cm aperture refracting telescope designed to observe the polarization of the cosmic microwave background (CMB) on degree angular scales at 95 GHz. It started science observation at the South Pole in 2016 with 2400 antenna-coupled transition-edge sensor bolometers. The receiver first demonstrated new technologies such as large-diameter alumina optics, Zotefoam infrared filters, and flux-activated SQUIDs, allowing similar to 10x higher optical throughput compared to the Keck design. BICEP3 achieved instrument noise equivalent temperatures of 9.2, 6.8, and 7.1 mu K-CMB root s and reached Stokes Q and U map depths of 5.9, 4.4, and 4.4 mu K arcmin in 2016, 2017, and 2018, respectively. The combined three-year data set achieved a polarization map depth of 2.8 mu K arcmin over an effective area of 585 square degrees, which is the deepest CMB polarization map made to date at 95 GHz.</t>
  </si>
  <si>
    <t>[Ade, P. A. R.; Sudiwala, R., V; Tucker, C.] Cardiff Univ, Sch Phys &amp; Astron, Cardiff CF24 3AA, Wales; [Ahmed, Z.; Beck, D.; Cukierman, A.; Henderson, S.; Irwin, K. D.; Kuo, C. L.; Ogburn, R. W.; Thompson, K. L.; Wu, W. L. K.; Yoon, K. W.; Young, E.] Kavli Inst Particle Astrophys &amp; Cosmol, SLAC Natl Accelerator Lab, 2575 Sand Hill Rd, Menlo Pk, CA 94025 USA; [Amiri, M.; Fatigoni, S.; Halpern, M.; Wiebe, D., V] Univ British Columbia, Dept Phys &amp; Astron, Vancouver, BC V6T 1Z1, Canada; [Barkats, D.; Boenish, H.; Connors, J.; Cornelison, J.; Dierickx, M.; Eiben, M.; Goldfinger, D. C.; Grimes, P.; Harrison, S.; Karkare, K. S.; Kovac, J. M.; Racine, B.; Richter, S.; Schmitt, B. L.; St Germaine, T.; Verges, C.; Wong, C. L.; Zeng, L.] Harvard &amp; Smithsonian, Ctr Astrophys, Cambridge, MA 02138 USA; [Thakur, R. Basu; Bock, J. J.; Hildebrandt, S. R.; Hui, H.; Kang, J.; Kefeli, S.; Minutolo, L.; Moncelsi, L.; O'Brient, R.; Schillaci, A.; Soliman, A.; Steinbach, B.; Teply, G. P.; Wandui, A.; Zhang, C.; Zhang, S.] CALTECH, Dept Phys, Pasadena, CA 91125 USA; [Bischoff, C. A.; Hand, E.; Palladino, S.; Umilta, C.] Univ Cincinnati, Dept Phys, Cincinnati, OH 45221 USA; [Beck, D.; Cukierman, A.; Goeckner-Wald, N.; Grayson, J.; Halal, G.; Irwin, K. D.; Kang, J.; Karpel, E.; Kernasovskiy, S. A.; Kuo, C. L.; Nakato, Y.; Ogburn, R. W.; Thompson, K. L.; Tolan, J. E.; Yang, H.; Yoon, K. W.; Young, E.; Yu, C.] Stanford Univ, Dept Phys, Stanford, CA 94305 USA; [Bock, J. J.; Hildebrandt, S. R.; Megerian, K. G.; Nguyen, H. T.; O'Brient, R.; Turner, A. D.; Weber, A. C.] Jet Prop Lab, Pasadena, CA 91109 USA; [Bullock, E.; Cheshire, J. R.; Pryke, C.] Univ Minnesota, Minnesota Inst Astrophys, Minneapolis, MN 55455 USA; [Buza, V; Karkare, K. S.; Leitch, E. M.; Vieregg, A. G.] Univ Chicago, Kavli Inst Cosmol Phys, Chicago, IL 60637 USA; [Crumrine, M.; Fliescher, S.; Hall, G.; Lau, K.; Pryke, C.; Schwarz, R.; Willmert, J.] Univ Minnesota, Sch Phys &amp; Astron, Minneapolis, MN 55455 USA; [Denison, E., V; Hilton, G. C.; Hubmayr, J.; Irwin, K. D.; Reintsema, C. D.] NIST, Boulder, CO 80305 USA; [Duband, L.; Prouve, T.] Commissariata Energie Atom, Serv Basses Temp Eratures, F-38054 Grenoble, France; [Filippini, J. P.; Lennox, A.; Umilta, C.] Univ Illinois, Dept Phys, Urbana, IL 61801 USA; [Filippini, J. P.] Univ Illinois, Dept Astron, Urbana, IL 61801 USA; [Kovac, J. M.; St Germaine, T.; Wong, C. L.] Harvard Univ, Dept Phys, Cambridge, MA 02138 USA; [Namikawa, T.] Univ Tokyo, Kavli Inst Phys &amp; Math Universe WPI, UTIAS, Kashiwa, Chiba 2778583, Japan; [Racine, B.] Aix Marseille Univ, CPPM, CNRS IN2P3, Marseille, France; [Sheehy, C. D.] Brookhaven Natl Lab, Phys Dept, Upton, NY 11973 USA; [Vieregg, A. G.] Univ Chicago, Enrico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</si>
  <si>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University of Illinois System; University of Illinois Urbana-Champaign; University of Illinois System; University of Illinois Urbana-Champaign; Harvard University; University of Tokyo; Centre National de la Recherche Scientifique (CNRS); CNRS - National Institute of Nuclear and Particle Physics (IN2P3); Aix-Marseille Universite; United States Department of Energy (DOE); Brookhaven National Laboratory; University of Chicago</t>
  </si>
  <si>
    <t>Hui, H (corresponding author), CALTECH, Dept Phys, Pasadena, CA 91125 USA.</t>
  </si>
  <si>
    <t>hhui@caltech.edu</t>
  </si>
  <si>
    <t>Nguyen, H.T/AAG-1974-2021; Zeng, Lingzhen/V-4602-2019; Moncelsi, Lorenzo/AAU-1009-2020; sun, huan/JEO-7152-2023; Chen, Shuo/JEO-6350-2023; Nguyễn, Hương/JUV-6128-2023</t>
  </si>
  <si>
    <t>Nguyen, H.T/0000-0001-5580-2877; Zeng, Lingzhen/0000-0001-6924-9072; Moncelsi, Lorenzo/0000-0002-4242-3015; Dierickx, Marion/0000-0002-3519-8593; Willmert, Justin/0000-0002-6452-4693; /0000-0002-5215-6993; Irwin, Kent/0000-0002-2998-9743; Halal, George/0000-0003-2221-3018; Bischoff, Colin/0000-0001-9185-6514; Grimes, Paul/0000-0001-9292-6297; Kovac, John/0009-0003-5432-7180; Cheshire, James/0000-0002-1630-7854; Ahmed, Zeeshan/0000-0002-9957-448X; Tucker, Carole/0000-0002-1851-3918; Namikawa, Toshiya/0000-0003-3070-9240; Kang, Jae Hwan/0000-0002-3470-2954; Lau, King/0000-0002-6445-2407</t>
  </si>
  <si>
    <t>National Science Foundation [0742818, 0742592, 1044978, 1110087, 1145172, 1145143, 1145248, 1639040, 1638957, 1638978, 1638970, 1836010]; Keck Foundation; Department of Energy, Laboratory Directed Research and Development program at SLAC National Accelerator Laboratory [DE-AC02-76SF00515]; JPL Research and Technology Development Fund from the NASA APRA program [06-ARPA206-0040, 10-SAT10-0017]; Gordon and Betty Moore Foundation at Caltech; Canada Foundation for Innovation grant; FAS Science Division Research Computing Group at Harvard University; JPL Research and Technology Development Fund from the NASA SAT program [06-ARPA206-0040, 10-SAT10-0017]; Direct For Mathematical &amp; Physical Scien; Division Of Astronomical Sciences [1836010] Funding Source: National Science Foundation; Division Of Polar Programs; Directorate For Geosciences [1110087] Funding Source: National Science Foundation</t>
  </si>
  <si>
    <t>National Science Foundation(National Science Foundation (NSF)); Keck Foundation(W.M. Keck Foundation); Department of Energy, Laboratory Directed Research and Development program at SLAC National Accelerator Laboratory(United States Department of Energy (DOE)); JPL Research and Technology Development Fund from the NASA APRA program; Gordon and Betty Moore Foundation at Caltech(Gordon and Betty Moore Foundation); Canada Foundation for Innovation grant(Canada Foundation for Innovation); FAS Science Division Research Computing Group at Harvard University; JPL Research and Technology Development Fund from the NASA SAT program; Direct For Mathematical &amp; Physical Scien; Division Of Astronomical Sciences(National Science Foundation (NSF)NSF - Directorate for Mathematical &amp; Physical Sciences (MPS)); Division Of Polar Programs; Directorate For Geosciences(National Science Foundation (NSF)NSF - Directorate for Geosciences (GEO))</t>
  </si>
  <si>
    <t>Bicep/Keck has been made possible through a series of grants from the National Science Foundation including 0742818, 0742592, 1044978, 1110087, 1145172, 1145143, 1145248, 1639040, 1638957, 1638978, 1638970, and 1836010 and by the Keck Foundation. The construction of the Bicep3 receiver was supported by the Department of Energy, Laboratory Directed Research and Development program at SLAC National Accelerator Laboratory, under contract DE-AC02-76SF00515. The development of antenna-coupled detector technology was supported by the JPL Research and Technology Development Fund and grant Nos. 06-ARPA206-0040 and 10-SAT10-0017 from the NASA APRA and SAT programs. The development and testing of focal planes were supported by the Gordon and Betty Moore Foundation at Caltech. Readout electronics were supported by a Canada Foundation for Innovation grant to UBC. The computations in this paper were run on the Cannon cluster supported by the FAS Science Division Research Computing Group at Harvard University. We thank the staff of the U.S. Antarctic Program and in particular the South Pole Station without whose help this research would not have been possible. Most special thanks go to our heroic winter-overs Sam Harrison, Hans Boenish, Grantland Hall, Ta-Lee Shue, Paula Crock, and Calvin Tsai. We thank all those who have contributed past efforts to the Bicep/Keck series of experiments, including the Bicep1 team. We would also like to thank Jonathon Hunacek at JPL/Caltech for exchange of information regarding detector readout and laboratory housekeeping design, and Aritoki Suzuki, Oliver Jeong, Yuki Inoue, and Tomotake Matsumura at Berkeley and in Japan for discussions regarding alumina optics and AR coatings.</t>
  </si>
  <si>
    <t>10.3847/1538-4357/ac4886</t>
  </si>
  <si>
    <t>ZO2DS</t>
  </si>
  <si>
    <t>WOS:000765541600001</t>
  </si>
  <si>
    <t>Viola, B; Sorrell, K</t>
  </si>
  <si>
    <t>Viola, Benjamin; Sorrell, Karina</t>
  </si>
  <si>
    <t>Vagrancy in Antarctic and sub-Antarctic pinnipeds</t>
  </si>
  <si>
    <t>[Viola, Benjamin] Univ Tasmania, Inst Marine &amp; Antarct Studies, Battery Point, Australia; [Viola, Benjamin] Australian Antarct Div, Dept Agr Water &amp; Environm, Kingston, Tas, Australia; [Viola, Benjamin] Monash Univ, Sch Biol Sci, Clayton, Vic, Australia</t>
  </si>
  <si>
    <t>University of Tasmania; Australian Antarctic Division; Monash University</t>
  </si>
  <si>
    <t>Viola, B (corresponding author), Univ Tasmania, Inst Marine &amp; Antarct Studies, Battery Point, Australia.;Viola, B (corresponding author), Australian Antarct Div, Dept Agr Water &amp; Environm, Kingston, Tas, Australia.;Viola, B (corresponding author), Monash Univ, Sch Biol Sci, Clayton, Vic, Australia.</t>
  </si>
  <si>
    <t>Viola, Benjamin/0000-0003-2620-2914; Sorrell, Karina/0000-0001-7494-4221</t>
  </si>
  <si>
    <t>10.1002/fee.2480</t>
  </si>
  <si>
    <t>ZJ5WK</t>
  </si>
  <si>
    <t>WOS:000762375800019</t>
  </si>
  <si>
    <t>Liberatore, A; Capobianco, G; Fineschi, S; Massone, G; Zangrilli, L; Susino, R; Nicolini, G</t>
  </si>
  <si>
    <t>Liberatore, Alessandro; Capobianco, Gerardo; Fineschi, Silvano; Massone, Giuseppe; Zangrilli, Luca; Susino, Roberto; Nicolini, Gianalfredo</t>
  </si>
  <si>
    <t>Sky Brightness Evaluation at Concordia Station, Dome C, Antarctica, for Ground-Based Observations of the Solar Corona</t>
  </si>
  <si>
    <t>SOLAR PHYSICS</t>
  </si>
  <si>
    <t>Sky brightness; Antarctica; Sun; Corona; Coronagraphy</t>
  </si>
  <si>
    <t>The evaluation of sky characteristics plays a fundamental role for many astrophysical experiments and ground-based observations. In solar physics, the main requirement for such observations is a very low sky brightness value, less than 10(-6) of the solar disk brightness (B-circle dot). Few places match such a requirement for ground-based, out-of-eclipse coronagraphic measurements. One of these places is, for instance, the Mauna Loa Observatory (approximate to 3400 m a.s.l.). Another candidate coronagraphic site is the Dome C plateau in Antarctica. In this article, we show the first results of the sky brightness measurements at Dome C with the Extreme Solar Coronagraphy Antarctic Program Experiment (ESCAPE) at the Italian-French Concordia Station, on Dome C, Antarctica (approximate to 3300 m a.s.l.) during the 34th and 35th summer Campaigns of the Italian Piano Nazionale Ricerche Antartiche (PNRA). The sky brightness measurements were carried out with the internally occulted Antarctic coronagraph AntarctiCor. In optimal atmospheric conditions the sky brightness of Dome C has reached values of the order of 1.0 - 0.7 x 10(-6) B-circle dot. (.)</t>
  </si>
  <si>
    <t>[Liberatore, Alessandro; Capobianco, Gerardo; Fineschi, Silvano; Massone, Giuseppe; Zangrilli, Luca; Susino, Roberto; Nicolini, Gianalfredo] OATo Astrophys Observ Turin, INAF Natl Inst Astrophys, Via Osservatorio 20, I-10025 Pino Torinese, To, Italy; [Liberatore, Alessandro] Univ Turin, Phys Dept, Via Pietro Giuria 1, I-10125 Turin, Italy</t>
  </si>
  <si>
    <t>University of Turin</t>
  </si>
  <si>
    <t>Liberatore, A (corresponding author), OATo Astrophys Observ Turin, INAF Natl Inst Astrophys, Via Osservatorio 20, I-10025 Pino Torinese, To, Italy.;Liberatore, A (corresponding author), Univ Turin, Phys Dept, Via Pietro Giuria 1, I-10125 Turin, Italy.</t>
  </si>
  <si>
    <t>alessandro.liberatore@inaf.it; gerardo.capobianco@inaf.it; silvano.fineschi@inaf.it</t>
  </si>
  <si>
    <t>Liberatore, Alessandro/AAD-2629-2019</t>
  </si>
  <si>
    <t>Liberatore, Alessandro/0000-0002-0016-7594; Nicolini, Gianalfredo/0000-0002-9459-3841; Susino, Roberto/0000-0002-1017-7163; Zangrilli, Luca/0000-0002-4184-2031; Capobianco, Gerardo/0000-0003-0520-2528; /0000-0002-2789-816X</t>
  </si>
  <si>
    <t>PNRA [2015-AC3.02]</t>
  </si>
  <si>
    <t>This paper has been possible thanks to the whole INAF and ESCAPE Project team and the Italian Piano Nazionale Ricerche Antartico (PNRA, 2021). The AntarctiCor-ESCAPE project is funded by the PNRA, grant N. 2015-AC3.02. The authors thank Dr. Angelo Lupi (PI of BSRN project) for providing us with access to the images of the AstroConcordia all-sky camera. A particular acknowledgment to OPTEC S.p.A for the AntarctiCor telescope thermal and structural design and realization as well. The authors thank also ALTEC Company for providing logistic support during the many AntarctiCor calibration periods at the INAF OPSys facility. PROBA-3/ASPIICS is an ESA mission.</t>
  </si>
  <si>
    <t>0038-0938</t>
  </si>
  <si>
    <t>1573-093X</t>
  </si>
  <si>
    <t>SOL PHYS</t>
  </si>
  <si>
    <t>Sol. Phys.</t>
  </si>
  <si>
    <t>10.1007/s11207-022-01958-x</t>
  </si>
  <si>
    <t>ZL1DR</t>
  </si>
  <si>
    <t>Green Submitted, Green Published, hybrid</t>
  </si>
  <si>
    <t>WOS:000763421300001</t>
  </si>
  <si>
    <t>Charlton, C; McCauley, RD; Brownell, RL Jr; Ward, R; Bannister, JL; Kent, CS; Burnell, S</t>
  </si>
  <si>
    <t>Charlton, Claire; McCauley, Robert D.; Brownell, Robert L. Jr Jr; Ward, Rhianne; Bannister, John L.; Kent, Chandra Salgado; Burnell, Stephen</t>
  </si>
  <si>
    <t>Southern right whale (Eubalaena australis) population demographics at major calving ground Head of Bight, South Australia, 1991-2016</t>
  </si>
  <si>
    <t>Australia; conservation management; demographics; photo-identification; recovery; southern right whale</t>
  </si>
  <si>
    <t>REPRODUCTION; DIVERSITY; LONGEVITY</t>
  </si>
  <si>
    <t>Demographic parameters were estimated for southern right whales (SRWs), Eubalaena australis, using photo-identification (photo-ID) and count data collected during annual cliff-based surveys at the Head of the Great Australian Bight (HoB), South Australia between 1991 and 2016. Photo-ID and count data were contributed from the annual aerial surveys of the south-western population in Australia (1993-2016). The HoB photo-ID database included 1,186 non-calf individuals, with 459 reproductive females. HoB is an open population and represents a relative proportion (0.48-0.21) of the overall south-western population, which is decreasing with population growth. No change was detected in the growth rate at HoB over time (1992-2016) and there was no significant difference when compared to the overall south-western population. The estimated mean rate of increase for all SRW was 3.2% (+/- 1.3) per annum and for females with a calf was 4.6% (+/- 1.7) per annum at HoB, compared to 5.5% (95% confidence interval (CI) 3.78, 7.36) and 6.01% (95% CI, 3.78, 7.36), respectively for the south-western population during the same period. The apparent mean calving interval was 3.3 years (SD = 0.78, +/- 0.14, 95% CI; 1996-2016), and a significant increase to 4 years was observed since 2015. The apparent mean age at first parturition was 9.0 years. The minimum estimated age of the oldest whale was 50 and oldest lactating female 41 years old. The SRW demographic data provides information for monitoring recovery, population status, species conservation management and global comparative studies. There is a need to understand fluctuations in calving intervals, threats to the population and implications for species recovery.</t>
  </si>
  <si>
    <t>[Charlton, Claire; McCauley, Robert D.; Ward, Rhianne; Kent, Chandra Salgado] Curtin Univ, Ctr Marine Sci &amp; Technol, Perth, WA, Australia; [Brownell, Robert L. Jr Jr] Eubalaena Pty Ltd, Adelaide, SA, Australia; [Bannister, John L.] Western Australian Museum, Perth, WA, Australia; [Burnell, Stephen] NOAH Fisheries, Southwest Fisheries Sci Ctr, Monterey, CA USA</t>
  </si>
  <si>
    <t>Curtin University; Western Australian Museum</t>
  </si>
  <si>
    <t>Charlton, C (corresponding author), Curtin Univ, Ctr Marine Sci &amp; Technol, Perth, WA, Australia.</t>
  </si>
  <si>
    <t>claire.charlton@live.com.au</t>
  </si>
  <si>
    <t>Salgado Kent, Chandra/HHZ-2367-2022</t>
  </si>
  <si>
    <t>Salgado Kent, Chandra/0000-0002-3460-609X</t>
  </si>
  <si>
    <t>Australian Marine Mammal Centre of the Australian Antarctic Division [12/21, 09/41]; Murphy Australia Oil Pty. Ltd. [RES-58756]; Santos Ltd.; Australian Marine Biodiversity Hub National Environmental Science Programme [2016, A7 - 2015]</t>
  </si>
  <si>
    <t>Australian Marine Mammal Centre of the Australian Antarctic Division; Murphy Australia Oil Pty. Ltd.; Santos Ltd.; Australian Marine Biodiversity Hub National Environmental Science Programme</t>
  </si>
  <si>
    <t>Australian Marine Mammal Centre of the Australian Antarctic Division, Grant/Award Numbers: 12/21, 09/41; Murphy Australia Oil Pty. Ltd., Grant/Award Number: RES-58756; Santos Ltd.; Australian Marine Biodiversity Hub National Environmental Science Programme, Grant/Award Numbers: 2016, A7 - 2015</t>
  </si>
  <si>
    <t>10.1002/aqc.3771</t>
  </si>
  <si>
    <t>0J3JR</t>
  </si>
  <si>
    <t>WOS:000762551500001</t>
  </si>
  <si>
    <t>Letsheleha, IS; Shabangu, FW; Farrell, D; Andrew, RK; la Grange, PL; Findlay, KP</t>
  </si>
  <si>
    <t>Letsheleha, Ishmail S.; Shabangu, Fannie W.; Farrell, Dara; Andrew, Rex K.; la Grange, Philip L.; Findlay, Ken P.</t>
  </si>
  <si>
    <t>Year-round acoustic monitoring of Antarctic blue and fin whales in relation to environmental conditions off the west coast of South Africa</t>
  </si>
  <si>
    <t>Antarctic blue whales; Fin whale calls; Diel calling behaviour; Seasonal occurrence; Southeast Atlantic Ocean; Passive acoustic monitoring</t>
  </si>
  <si>
    <t>BALAENOPTERA-MUSCULUS-INTERMEDIA; TEMPORAL SEPARATION; CALL TYPES; FREQUENCY; ATTENUATION; CALIFORNIA; REGRESSION; PATTERNS; CONTEXT; OCEAN</t>
  </si>
  <si>
    <t>Antarctic blue and fin whales were once abundant in the southeastern Atlantic Ocean, yet their occurrence and ecology in this region is still poorly understood. Seasonal acoustic occurrence and behaviour of Antarctic blue and fin whales off the South African west coast were determined using bio-acoustic data collected through two autonomous acoustic recorders between December 2015 and January 2017. Blue whale Z-calls were detected year-round with a peak in July, while fin whale 20 Hz pulses were detected seasonally with a peak in June by a recorder deployed at 1118 m water depth. Blue and fin whale calls were detected seasonally with a similar peak in May by a recorder deployed at 4481 m water depth. The blue whale 27 Hz chorus, and blue and fin whale 18-28 Hz chorus followed a similar trend as the seasonal acoustic occurrence of individual Z-calls and 20 Hz pulses. A maximum detection range of 800 km estimated by acoustic propagation modelling suggests that detected calls originate from whales within the South African west coast waters. Random forest models classified month of the year, wind speed, log-transformed chlorophyll-a, and sea surface temperature anomaly as the most important predictors of blue and fin whale acoustic occurrence and behaviour. Our study highlights the South African west coast as an important year-round habitat and seasonal breeding or overwintering habitat of these whales. Additionally, the year-round acoustic occurrence in this region supports the notion that blue whale migration patterns are more dynamic than previously perceived.</t>
  </si>
  <si>
    <t>[Letsheleha, Ishmail S.; Findlay, Ken P.] Cape Peninsula Univ Technol, Fac Appl Sci, POB 652, ZA-8000 Cape Town, South Africa; [Letsheleha, Ishmail S.; la Grange, Philip L.] Inst Maritime Technol, Martello Rd,POB 181, ZA-7995 Simonstown, South Africa; [Shabangu, Fannie W.] Dept Forestry Fisheries &amp; Environm, Fisheries Management Branch, Cape Town, South Africa; [Shabangu, Fannie W.; Findlay, Ken P.] Univ Pretoria, Mammal Res Inst Whale Unit, Pretoria, South Africa; [Andrew, Rex K.] Univ Washington, Appl Phys Lab, Seattle, WA 98105 USA</t>
  </si>
  <si>
    <t>Cape Peninsula University of Technology; University of Pretoria; University of Washington; University of Washington Seattle</t>
  </si>
  <si>
    <t>Letsheleha, IS (corresponding author), Cape Peninsula Univ Technol, Fac Appl Sci, POB 652, ZA-8000 Cape Town, South Africa.</t>
  </si>
  <si>
    <t>letshelehasenyalo@gmail.com</t>
  </si>
  <si>
    <t>Findlay, Ken/A-5766-2019</t>
  </si>
  <si>
    <t>Findlay, Ken/0000-0001-7154-8805; Shabangu, Fannie W./0000-0002-3668-3566</t>
  </si>
  <si>
    <t>National Research Foundation; South African National Antarctic Programme [2011112500003]</t>
  </si>
  <si>
    <t>National Research Foundation; South African National Antarctic Programme</t>
  </si>
  <si>
    <t>The National Research Foundation and the South African National Antarctic Programme (Grant No. SNA 2011112500003) funded acoustic data collection.</t>
  </si>
  <si>
    <t>10.1007/s00227-022-04026-x</t>
  </si>
  <si>
    <t>ZI1MA</t>
  </si>
  <si>
    <t>WOS:000761391200001</t>
  </si>
  <si>
    <t>Razmi, K; Patil, JG</t>
  </si>
  <si>
    <t>Razmi, Komeil; Patil, Jawahar G.</t>
  </si>
  <si>
    <t>Primordial Germ Cell Development in the Poeciliid, Gambusia holbrooki, Reveals Shared Features Between Lecithotrophs and Matrotrophs</t>
  </si>
  <si>
    <t>FRONTIERS IN CELL AND DEVELOPMENTAL BIOLOGY</t>
  </si>
  <si>
    <t>germline development; germ plasm; invasive species; evolutionary adaptation</t>
  </si>
  <si>
    <t>DEAD-END; ZEBRAFISH VASA; SEX DETERMINATION; GENE-EXPRESSION; PIWI PROTEINS; TER MUTATION; MIGRATION; SPECIFICATION; RNA; MEDAKA</t>
  </si>
  <si>
    <t>Metazoans exhibit two modes of primordial germ cell (PGC) specification that are interspersed across taxa. However, the evolutionary link between the two modes and the reproductive strategies of lecithotrophy and matrotrophy is poorly understood. As a first step to understand this, the spatio-temporal expression of teleostean germ plasm markers was investigated in Gambusia holbrooki, a poecilid with shared lecitho- and matrotrophy. A group of germ plasm components was detected in the ovum suggesting maternal inheritance mode of PGC specification. However, the strictly zygotic activation of dnd-p and nanosl occurred relatively early, reminiscent of models with induction mode (e.g., mice). The PGC clustering, migration and colonisation patterns of G. holbrooki resembled those of zebrafish, medaka and mice at blastula, gastrula and somitogenesis, respectively-recapitulating features of advancing evolutionary nodes with progressive developmental stages. Moreover, the expression domains of PGC markers in G. holbrooki were either specific to teleost (vasa expression in developing PGCs), murine models (dnd spliced variants) or shared between the two taxa (germline and somatic expression of piwi and nanosl). Collectively, the results suggest that the reproductive developmental adaptations may reflect a transition from lecithotrophy to matrotrophy.</t>
  </si>
  <si>
    <t>[Razmi, Komeil; Patil, Jawahar G.] Univ Tasmania, Fisheries &amp; Aquaculture Ctr, Inst Marine &amp; Antarctic Studies, Lab Mol Biol, Taroona, Tas, Australia</t>
  </si>
  <si>
    <t>Razmi, K; Patil, JG (corresponding author), Univ Tasmania, Fisheries &amp; Aquaculture Ctr, Inst Marine &amp; Antarctic Studies, Lab Mol Biol, Taroona, Tas, Australia.</t>
  </si>
  <si>
    <t>komeil.razmi@utas.edu.au; jawahar.patil@utas.edu.au</t>
  </si>
  <si>
    <t>Australian Research Council [LP140100428]; Inland Fisheries Service, Tasmania; Australian Research Council [LP140100428] Funding Source: Australian Research Council</t>
  </si>
  <si>
    <t>Australian Research Council(Australian Research Council); Inland Fisheries Service, Tasmania; Australian Research Council(Australian Research Council)</t>
  </si>
  <si>
    <t>This research was funded by the Australian Research Council (LP140100428) and Inland Fisheries Service, Tasmania.</t>
  </si>
  <si>
    <t>2296-634X</t>
  </si>
  <si>
    <t>FRONT CELL DEV BIOL</t>
  </si>
  <si>
    <t>Front. Cell. Dev. Biol.</t>
  </si>
  <si>
    <t>10.3389/fcell.2022</t>
  </si>
  <si>
    <t>Cell Biology; Developmental Biology</t>
  </si>
  <si>
    <t>6W9MW</t>
  </si>
  <si>
    <t>WOS:000896051200001</t>
  </si>
  <si>
    <t>Alvarez, LM; Bolhuis, H; Mau, GK; Kok-Gan, C; Sing, CC; Mac Cormack, W; Ruberto, L</t>
  </si>
  <si>
    <t>Alvarez, Lucas Martinez; Bolhuis, Henk; Mau, Goh Kian; Kok-Gan, Chan; Sing, Chan Chia; Mac Cormack, Walter; Ruberto, Lucas</t>
  </si>
  <si>
    <t>Identification of key bacterial players during successful full-scale soil field bioremediation in Antarctica</t>
  </si>
  <si>
    <t>INTERNATIONAL BIODETERIORATION &amp; BIODEGRADATION</t>
  </si>
  <si>
    <t>Antarctica Soil contamination; Petroleum-derived hydrocarbons; Bacterial communities; Biopiles</t>
  </si>
  <si>
    <t>OIL-CONTAMINATED SOIL; COMMUNITY DYNAMICS; DEGRADING BACTERIUM; K-STRATEGIST; BIOSTIMULATION; TEMPERATURE; BIOAUGMENTATION; HYDROCARBONS; DIESEL; DEGRADATION</t>
  </si>
  <si>
    <t>The Antarctic continent is not exempted from anthropogenic contamination. Diesel spills on Antarctic soils occur frequently. There, extreme climate conditions and the scarce infrastructure, cause that few remediation strategies become feasible. Bioremediation has proven to be an effective approach for hydrocarbon-contaminated soils in Antarctica, allowing the removal of up to 80% of the contaminant by biostimulating soil microbial communities in biopiles. However, little is known on the changes that this treatment cause in the microbial communities, and how may this knowledge be used for future bioremediation schemes. In this work, we analyzed the changes in the bacterial community composition of biostimulated (BS) and control (CC) biopiles at Carlini Station (Arg.), Antarctica, from our previously reported on-site bioremediation scheme. The results showed that hydrocarbon biodegradation in Antarctic soils was accompanied by a significant change in bacterial community composition, with a progressive differentiation between the treated (BS) and non-treated (CC) systems as a function of time. Microbial diversity decreased in the BS system due to the enrichment in genera Pseudomonas, Rhodococcus, and Rhodanobacter, that seemed to follow an r/K (or copiotrophic/oligotrophic) strategist dynamic, in which Pseudomonas increased significantly at the early stages of the treatment (from initial 23.8% up to 33.2% at day 20, r strategist), while Rhodococcus and Rhodanobacter (K strategists) became dominant since day 20 and until the end of the experiment (from 5.4% to 2.4% at T = 0 days, up to 17.4% and 14.0% at the end of the experiment, respectively). In the control system, Sphingomonas (14.0% at T = 30 days), Pseudomonas (10.5% at T = 30 days), and Rhizorhapis (9.9% at T = 30 days) were the genera with higher relative abundance during the entire treatment period, with no short-term shifts in dominances and a more diverse and even bacterial community.</t>
  </si>
  <si>
    <t>[Alvarez, Lucas Martinez; Mac Cormack, Walter; Ruberto, Lucas] Inst Antartico Argentino, Ave 25 Mayo, RA-1143 San Martin, Argentina; [Bolhuis, Henk] Univ Utrecht, Royal Netherlands Inst Sea Res, Dept Marine Microbiol &amp; Biogeochemistry, Texel, Netherlands; [Bolhuis, Henk] Royal Netherlands Inst Sea Res, Texel, Netherlands; [Alvarez, Lucas Martinez; Mac Cormack, Walter; Ruberto, Lucas] UBA, Inst NANOBIOTEC UBA, FFyB, CONICET, Junin 956 6to piso CABA, Buenos Aires, Argentina; [Ruberto, Lucas] Consejo Nacl Invest Cient &amp; Tecn, Godoy Cruz, RA-2290 Buenos Aires, Argentina; [Mau, Goh Kian; Sing, Chan Chia] Univ Teknol Malaysia, Fac Sci, Skudai 81310, Kagawa, Malaysia; [Kok-Gan, Chan] Jiangsu Univ, Int Genome Ctr, Zhenjiang 212013, Jiangsu, Peoples R China; [Kok-Gan, Chan] Univ Malaya, Inst Biol Sci, Div Genet &amp; Mol Biol, Fac Sci, Kuala Lumpur 50603, Malaysia</t>
  </si>
  <si>
    <t>Instituto Antartico Argentino; Utrecht University; Royal Netherlands Institute for Sea Research (NIOZ); Utrecht University; Royal Netherlands Institute for Sea Research (NIOZ); Consejo Nacional de Investigaciones Cientificas y Tecnicas (CONICET); University of Buenos Aires; Consejo Nacional de Investigaciones Cientificas y Tecnicas (CONICET); Universiti Teknologi Malaysia; Jiangsu University; Universiti Malaya</t>
  </si>
  <si>
    <t>Mac Cormack, W (corresponding author), UBA, Inst NANOBIOTEC UBA, FFyB, CONICET, Junin 956 6to piso CABA, Buenos Aires, Argentina.;Alvarez, LM (corresponding author), Inst Antartico Argentino, 25 Mayo 1149, Buenos Aires, DF, Argentina.</t>
  </si>
  <si>
    <t>lucasmartinezalv@gmail.com; walter541959@gmail.com</t>
  </si>
  <si>
    <t>Bolhuis, Henk/H-8535-2014; Goh, Kian Mau/C-7221-2011; Chan, Kok-Gan/B-8347-2010</t>
  </si>
  <si>
    <t>Goh, Kian Mau/0000-0002-2839-8722; Chan, Kok-Gan/0000-0002-1883-1115</t>
  </si>
  <si>
    <t>Agencia Nacional de Promoci 'on Cientifica y Tecnologica (ANPCyT) [PICT 2016-2771]; Universidad de Buenos Aires [UBA 20020100100378]; European Commission through the Marie Curie Action IRSES [318718]; University of Malaya (Malaysia) [PG136-2016A, PG133-2016A, H50001-A-000027]</t>
  </si>
  <si>
    <t>Agencia Nacional de Promoci 'on Cientifica y Tecnologica (ANPCyT)(ANPCyTSpanish Government); Universidad de Buenos Aires(University of Buenos Aires); European Commission through the Marie Curie Action IRSES; University of Malaya (Malaysia)(Universiti Malaya)</t>
  </si>
  <si>
    <t>This research was carried out under an agreement between the Instituto Antartico Argentino and the Facultad de Farmacia y Bioquimica of the Universidad de Buenos Aires, Argentina. We gratefully acknowledge grants PICT 2016-2771 from the Agencia Nacional de Promoci ' on Cientifica y Tecnologica (ANPCyT) and UBA 20020100100378 (Universidad de Buenos Aires). We also had the financial support from the European Commission through the Marie Curie Action IRSES, project no 318718, IMCONet (Interdisciplinary Modelling of climate change in coastal Western Antarctica-Network for Staff Exchange and Training) and from PPP grants: PG136-2016A, PG133-2016A, HIR grant: H50001-A-000027, University of Malaya (Malaysia).</t>
  </si>
  <si>
    <t>0964-8305</t>
  </si>
  <si>
    <t>1879-0208</t>
  </si>
  <si>
    <t>INT BIODETER BIODEGR</t>
  </si>
  <si>
    <t>Int. Biodeterior. Biodegrad.</t>
  </si>
  <si>
    <t>10.1016/j.ibiod.2021.105354</t>
  </si>
  <si>
    <t>Biotechnology &amp; Applied Microbiology; Environmental Sciences</t>
  </si>
  <si>
    <t>Biotechnology &amp; Applied Microbiology; Environmental Sciences &amp; Ecology</t>
  </si>
  <si>
    <t>D3LL8</t>
  </si>
  <si>
    <t>WOS:000967772900004</t>
  </si>
  <si>
    <t>Calvès, G; Mix, A; Giosan, L; Clift, PD; Brusset, S; Baby, P; Vega, M</t>
  </si>
  <si>
    <t>Calves, Gerome; Mix, Alan; Giosan, Liviu; Clift, Peter D.; Brusset, Stephane; Baby, Patrice; Vega, Mayssa</t>
  </si>
  <si>
    <t>The Nazca Drift System - palaeoceanographic significance of a giant sleeping on the SE Pacific Ocean floor</t>
  </si>
  <si>
    <t>GEOLOGICAL MAGAZINE</t>
  </si>
  <si>
    <t>Nazca Ridge; Nazca Drift System; Contourite drift; Oligocene; SE Pacific Ocean; palaeoceanography</t>
  </si>
  <si>
    <t>ANTARCTIC CIRCUMPOLAR CURRENT; CONTOURITE DRIFTS; SEISMIC STRATIGRAPHY; SUBDUCTION BENEATH; CONTINENTAL-SLOPE; SEDIMENT DRIFTS; VOLCANO GROWTH; INCA PLATEAU; CIRCULATION; HISTORY</t>
  </si>
  <si>
    <t>The evolution and resulting morphology of a contourite drift system in the SE Pacific oceanic basin is investigated in detail using seismic imaging and an age-calibrated borehole section. The Nazca Drift System covers an area of 204 500 km(2) and stands above the abyssal basins of Peru and Chile. The drift is spread along the Nazca Ridge in water depths between 2090 and 5330 m. The Nazca Drift System was drilled at Ocean Drilling Program Site 1237. This deep-water drift overlies faulted oceanic crust and onlaps associated volcanic highs. Its thickness ranges from 104 to 375 m. The seismic sheet facies observed are associated with bottom current processes. The main lithologies are pelagic carbonates reflecting the distal position relative to South America and water depth above the carbonate compensation depth during Oligocene time. The Nazca Drift System developed under the influence of bottom currents sourced from the Circumpolar Deep Water and Pacific Central Water, and is the largest yet identified abyssal drift system of the Pacific Ocean, ranking third in all abyssal contourite drift systems globally. Subduction since late Miocene time and the excess of sediments and water associated with the Nazca Drift System may have contributed to the Andean orogeny and associated metallogenesis. The Nazca Drift System records the evolution in interactions between deep-sea currents and the eastward motion of the Nazca Plate through erosive surfaces and sediment remobilization.</t>
  </si>
  <si>
    <t>[Calves, Gerome; Brusset, Stephane] Univ Toulouse III, GET OMP, 14 Ave Edouard Belin, F-31400 Toulouse, France; [Mix, Alan] Oregon State Univ, Coll Earth Ocean &amp; Atmospher Sci, Corvallis, OR 97331 USA; [Giosan, Liviu] Woods Hole Oceanog Inst, Geol &amp; Geophys, Woods Hole, MA 02543 USA; [Clift, Peter D.] Louisiana State Univ, Dept Geol &amp; Geophys, E235 Howe Russell, Baton Rouge, LA 70803 USA; [Baby, Patrice] IRD, GET OMP, 14 Ave Edouard Belin, F-31400 Toulouse, France; [Vega, Mayssa] Univ San Antonio Abad Cusco, Av Cultura 773, Cuzco 08000, Peru</t>
  </si>
  <si>
    <t>Universite de Toulouse; Universite Toulouse III - Paul Sabatier; Oregon State University; Woods Hole Oceanographic Institution; Louisiana State University System; Louisiana State University; Institut de Recherche pour le Developpement (IRD); Universidad Nacional de San Antonio Abad del Cusco</t>
  </si>
  <si>
    <t>Calvès, G (corresponding author), Univ Toulouse III, GET OMP, 14 Ave Edouard Belin, F-31400 Toulouse, France.</t>
  </si>
  <si>
    <t>gerome.calves@univ-tlse3.fr</t>
  </si>
  <si>
    <t>Clift, Peter/JWO-3915-2024; Baby, Patrice/D-2936-2009; Calves, Gerome/E-9337-2011; Mix, Alan/B-2366-2009</t>
  </si>
  <si>
    <t>Baby, Patrice/0000-0001-6142-5174; Brusset, Stephane/0000-0002-7880-4514; Calves, Gerome/0000-0003-3829-131X; Clift, Peter/0000-0001-6660-6388; Vega, Mayssa/0000-0003-2907-1171; giosan, liviu/0000-0001-6769-5204; Mix, Alan/0000-0001-7108-3534</t>
  </si>
  <si>
    <t>0016-7568</t>
  </si>
  <si>
    <t>1469-5081</t>
  </si>
  <si>
    <t>GEOL MAG</t>
  </si>
  <si>
    <t>Geol. Mag.</t>
  </si>
  <si>
    <t>PII S0016756821000960</t>
  </si>
  <si>
    <t>10.1017/S0016756821000960</t>
  </si>
  <si>
    <t>YW7EC</t>
  </si>
  <si>
    <t>WOS:000753577200005</t>
  </si>
  <si>
    <t>Clawson, G; Kuempel, CDD; Frazier, M; Blasco, G; Cottrell, RS; Froehlich, HE; Metian, M; Nash, KL; Többen, J; Verstaen, J; Williams, DR; Halpern, BS</t>
  </si>
  <si>
    <t>Clawson, Gage; Kuempel, Caitlin D. D.; Frazier, Melanie; Blasco, Gordon; Cottrell, Richard S.; Froehlich, Halley E.; Metian, Marc; Nash, Kirsty L.; Toebben, Johannes; Verstaen, Juliette; Williams, David R.; Halpern, Benjamin S.</t>
  </si>
  <si>
    <t>Mapping the spatial distribution of global mariculture production</t>
  </si>
  <si>
    <t>Marine aquaculture; Spatial planning; Coastal space</t>
  </si>
  <si>
    <t>AQUACULTURE; TRENDS; FOODS; SUSTAINABILITY; ASSESSMENTS; IMPACTS</t>
  </si>
  <si>
    <t>Mariculture (marine and brackish water aquaculture) has grown rapidly over the past 20 years, yet publicly-available information on the location of mariculture production is sparse. Identifying where mariculture pro-duction occurs remains a major challenge for understanding its environmental impacts and the sustainability of individual farms and the sector as a whole. We compiled known mariculture locations and applied a simple production-allocation approach to map remaining global mariculture locations across 73 countries using the key determinants of distance to shore and ports, and average productivity (tonnage) of known farms. Our map represents 96% of reported fish and invertebrate mariculture production for 2017, but excludes algae which constitutes half of global mariculture production. We provide, for the first time, a publicly available spatial database of known and estimated mariculture locations. We discuss the utility and limitations of the existing data and our modeling approach, and highlight the key data gaps and future challenges for mapping aquaculture. Our results provide a vital resource for mariculture and environmental researchers, but we emphasize the need for a standardized, ground-truthed global spatial database of aquaculture locations and farm-level attributes (e.g., species, production type) to better understand the distribution of production and adequately plan for future growth.</t>
  </si>
  <si>
    <t>[Clawson, Gage; Kuempel, Caitlin D. D.; Frazier, Melanie; Blasco, Gordon; Cottrell, Richard S.; Verstaen, Juliette; Halpern, Benjamin S.] Univ Calif Santa Barbara, Natl Ctr Ecol Anal &amp; Synth, Santa Barbara, CA 93101 USA; [Kuempel, Caitlin D. D.] Univ Queensland, Australian Res Council Ctr Excellence Coral Reef, St Lucia, Qld 4072, Australia; [Kuempel, Caitlin D. D.] Univ Queensland, Sch Biol Sci, St Lucia, Qld 4072, Australia; [Cottrell, Richard S.; Nash, Kirsty L.] Univ Tasmania, Ctr Marine Socioecol, Hobart, Tas 7004, Australia; [Froehlich, Halley E.] Univ Calif Santa Barbara, Environm Studies, Santa Barbara, CA 93106 USA; [Froehlich, Halley E.] Univ Calif Santa Barbara, Dept Ecol Evolut &amp; Marine Biol, Santa Barbara, CA 93106 USA; [Metian, Marc] IAEA, Radioecol Lab, Environm Labs IAEA EL, 4a Quai Antoine Ier, MC-98000 Monaco, Monaco; [Nash, Kirsty L.] Univ Tasmania, Inst Marine &amp; Antarctic Studies, Hobart, Tas 7004, Australia; [Toebben, Johannes] Inst Econ Struct Res GWS, Osnabruck, Germany; [Toebben, Johannes] Leibniz Assoc, Potsdam Inst Climate Impact Res, Social Metab &amp; Impacts, Potsdam, Germany; [Williams, David R.] Univ Leeds, Sustainabil Res Inst, Sch Earth &amp; Environm, Leeds LS2 9JT, England; [Halpern, Benjamin S.] Univ Calif Santa Barbara, Bren Sch Environm Sci &amp; Management, Santa Barbara, CA 93106 USA</t>
  </si>
  <si>
    <t>National Center for Ecological Analysis &amp; Synthesis; University of California System; University of California Santa Barbara; University of Queensland; University of Queensland; University of Tasmania; University of California System; University of California Santa Barbara; University of California System; University of California Santa Barbara; University of Tasmania; Potsdam Institut fur Klimafolgenforschung; University of Leeds; University of California System; University of California Santa Barbara</t>
  </si>
  <si>
    <t>Clawson, G (corresponding author), 1021 Anacapa St, Santa Barbara, CA 93101 USA.</t>
  </si>
  <si>
    <t>clawson@nceas.ucsb.edu</t>
  </si>
  <si>
    <t>Kuempel, Caitlin D./AAV-8807-2020; Nash, Kirsty L/B-5456-2015; Williams, David/HKN-3732-2023</t>
  </si>
  <si>
    <t>Kuempel, Caitlin D./0000-0003-1609-9706; Nash, Kirsty L/0000-0003-0976-3197; Metian, Marc/0000-0003-1485-5029; Froehlich, Halley/0000-0001-7322-1523; Clawson, Samuel Gage/0000-0003-1463-8673</t>
  </si>
  <si>
    <t>10.1016/j.aquaculture.2022.738066</t>
  </si>
  <si>
    <t>FEB 2022</t>
  </si>
  <si>
    <t>0P0HA</t>
  </si>
  <si>
    <t>WOS:000783902200016</t>
  </si>
  <si>
    <t>Ha, S; Colizza, E; Torricella, F; Langone, L; Giglio, F; Kuhn, G; Macrì, P; Khim, BK</t>
  </si>
  <si>
    <t>Ha, Sangbeom; Colizza, Ester; Torricella, Fiorenza; Langone, Leonardo; Giglio, Federico; Kuhn, Gerhard; Macri, Patrizia; Khim, Boo-Keun</t>
  </si>
  <si>
    <t>Glaciomarine sediment deposition on the continental slope and rise of the central Ross Sea since the Last Glacial Maximum</t>
  </si>
  <si>
    <t>Sediment core; Ice sheet; Sea ice; Paleoproductivity; Continental margin; Ross Sea</t>
  </si>
  <si>
    <t>ANTARCTIC ICE-SHEET; PLEISTOCENE-HOLOCENE RETREAT; SOUTHERN-OCEAN; MARINE-SEDIMENTS; SURFACE NITRATE; BIOGENIC-SILICA; ORGANIC-MATTER; PACIFIC MARGIN; WEDDELL SEA; SHELF</t>
  </si>
  <si>
    <t>The continental margin of the Ross Sea has been consistently sensitive to the advance and retreat of the Ross Ice Sheet (RIS) between the interglacial and glacial periods. This study examines changes of the glaciomarine sedimentation on the continental slope and rise to the eastern side of Hillary Canyon in the central Ross Sea, using three gravity cores collected at increasing water depths. Besides older AMS C-14 ages of bulk sediments, based on the analytical results, sediment lithology was divided into units A, B1, and B2, representing Holocene, deglacial, and glacial periods, respectively. The sedimentation rate decreased as the water depth increased, with a higher sedimentation rate in the deglacial period (unit B1) than the Holocene (unit A). Biological productivity proxies were significantly higher in glacial unit B2 than in interglacial unit A, with transitional values observed in deglacial unit B1. Biological productivity generally decreased in the Antarctic continental margin during the glacial period because of extensive sea ice coverage. The higher biogenic contents in unit B2 are primarily attributed to the increased transport of eroded and reworked shelf sediments that contained abundant biogenic components to the continental slope and rise beneath the advancing RIS. Thus, glacial sedimentation on the continental slope and rise of the central Ross Sea was generally governed by the activity of the RIS, which generated melt-water plumes and debris flows at the front of the grounding line, although the continental rise might have experienced seasonally open conditions and lateral effects due to the bottom current.</t>
  </si>
  <si>
    <t>[Ha, Sangbeom; Khim, Boo-Keun] Pusan Natl Univ, Dept Oceanog, Busan, South Korea; [Colizza, Ester] Univ Trieste, Dept Math &amp; Geosci, Trieste, Italy; [Torricella, Fiorenza] Univ Pisa, Dept Earth Sci, Pisa, Italy; [Langone, Leonardo; Giglio, Federico] CNR, Inst Polar Sci, Bologna, Italy; [Kuhn, Gerhard] Alfred Wegener Inst, Helmholtz Zent Polar &amp; Meeresforsch AWI, Bremerhaven, Germany; [Macri, Patrizia] Ist Nazl Geofis &amp; Vulcanol, Rome, Italy</t>
  </si>
  <si>
    <t>Pusan National University; University of Trieste; University of Pisa; Consiglio Nazionale delle Ricerche (CNR); Istituto di Scienze Polari (ISP-CNR); Helmholtz Association; Alfred Wegener Institute, Helmholtz Centre for Polar &amp; Marine Research; Istituto Nazionale Geofisica e Vulcanologia (INGV)</t>
  </si>
  <si>
    <t>Khim, BK (corresponding author), Pusan Natl Univ, Dept Oceanog, Busan, South Korea.</t>
  </si>
  <si>
    <t>bkkhim@pusan.ac.kr</t>
  </si>
  <si>
    <t>Macrì, Patrizia/ABD-2144-2021</t>
  </si>
  <si>
    <t>Macrì, Patrizia/0000-0003-2287-4019; Torricella, Fiorenza/0000-0002-4286-1699</t>
  </si>
  <si>
    <t>National Research Foundation of Korea [2019K1A3A1A25000116, 2019R1A2C1007701]; KOPRI project [PE21090]; 2021 BK21 FOUR Program of Pusan National University; Italian National Antarctic Research Program (PNRA) - ROSSLOPE II Project [PdR2013/AN2.01]; Italian Foreign Ministry (MAECI) - STREAM Project</t>
  </si>
  <si>
    <t>National Research Foundation of Korea(National Research Foundation of Korea); KOPRI project(Korea Polar Research Institute of Marine Research Placement (KOPRI)); 2021 BK21 FOUR Program of Pusan National University; Italian National Antarctic Research Program (PNRA) - ROSSLOPE II Project; Italian Foreign Ministry (MAECI) - STREAM Project</t>
  </si>
  <si>
    <t>The captain, crew, and all onboard of the R/V ITALICA together with the technicians and researchers associated with the XXIX PNRA Expe-dition in 2014 are thanked for the core sampling in the framework of the PNRA-ROSSLOPE II Project. We appreciate Dr. M. Weber and an anon-ymous reviewer for their critical and constructive comments to improve the data interpretation on the depositional processes in the continental slope and rise of the Ross Sea. This study was carried out by the National Research Foundation of Korea (2019K1A3A1A25000116 and 2019R1A2C1007701) , KOPRI project (PE21090) , 2021 BK21 FOUR Program of Pusan National University, and the Italian National Antarctic Research Program (PNRA) - ROSSLOPE II Project (PdR2013/AN2.01) and partly co-funded by the Italian Foreign Ministry (MAECI) - STREAM Project.</t>
  </si>
  <si>
    <t>10.1016/j.margeo.2022.106752</t>
  </si>
  <si>
    <t>0D5ZW</t>
  </si>
  <si>
    <t>WOS:000776074400001</t>
  </si>
  <si>
    <t>Acevedo, J; Aguayo-Lobo, A; Beeman, P; Cheeseman, T; Olavarría, C</t>
  </si>
  <si>
    <t>Acevedo, Jorge; Aguayo-Lobo, Anelio; Beeman, Peta; Cheeseman, Ted; Olavarria, Carlos</t>
  </si>
  <si>
    <t>From the Antarctic Peninsula to eastern Australia: the longest migration of a humpback whale through the South Pacific Ocean</t>
  </si>
  <si>
    <t>MAMMALIAN BIOLOGY</t>
  </si>
  <si>
    <t>Antarctic Peninsula; Eastern Australia; Humpback whales; Migration; Photo ID</t>
  </si>
  <si>
    <t>POPULATION-STRUCTURE; HEMISPHERE; MOVEMENT; GROUNDS</t>
  </si>
  <si>
    <t>Humpback whales (Megaptera novaeangliae) seasonally migrate between their corresponding breeding and feeding grounds; however, some individual whales deviate from this pattern migrating to different breeding or feeding grounds. Here, we report the first recorded movement of a humpback whale between the Antarctic Peninsula and the east coast of Australia. The individual whale, a known female, was identified by natural markings in the Antarctic Peninsula feeding area, and then photographed 15 years later in Byron Bay, on the eastern coast of Australia. This constitutes the longest migration for any humpback whale documented to date in the South Pacific Ocean and in the Southern Hemisphere (143 degrees of longitude). Although the route is uncertain and the cues may be environmental, social or demographic, or some combinations thereof, this exceptional movement between two distant Breeding Stocks in the South Pacific Ocean demonstrates that longitudinal long-distance migrations among humpback whale populations do take place, at least occasionally, and perhaps may not be as atypical as it has been thought.</t>
  </si>
  <si>
    <t>[Acevedo, Jorge] Fdn CEQUA, Ctr Estudios Cuaternario Fuego Patagonia &amp; Antart, Ave Espana 184, Punta Arenas, Chile; [Aguayo-Lobo, Anelio] Inst Antartico Chileno, Plaza Munoz Gamero 1055, Punta Arenas, Chile; [Beeman, Peta; Cheeseman, Ted] Southern Cross Univ, Lismore, NSW 2480, Australia; [Cheeseman, Ted] Happywhale, Columbia St, Santa Cruz, CA USA; [Olavarria, Carlos] Ctr Estudios Avanzados Zonas Aridas, CEAZA, Raul Bitran 1305, La Serena, Chile</t>
  </si>
  <si>
    <t>Southern Cross University</t>
  </si>
  <si>
    <t>Acevedo, J (corresponding author), Fdn CEQUA, Ctr Estudios Cuaternario Fuego Patagonia &amp; Antart, Ave Espana 184, Punta Arenas, Chile.</t>
  </si>
  <si>
    <t>jorge.acevedo@cequa.cl</t>
  </si>
  <si>
    <t>Acevedo, Jorge/0000-0002-6106-0838</t>
  </si>
  <si>
    <t>Chilean Antarctic Institute [INACH-08-93, INACH-163]</t>
  </si>
  <si>
    <t>Chilean Antarctic Institute</t>
  </si>
  <si>
    <t>Chilean Antarctic Institute via projects INACH-08-93 and INACH-163.</t>
  </si>
  <si>
    <t>1616-5047</t>
  </si>
  <si>
    <t>1618-1476</t>
  </si>
  <si>
    <t>MAMM BIOL</t>
  </si>
  <si>
    <t>Mamm. Biol.</t>
  </si>
  <si>
    <t>10.1007/s42991-021-00195-2</t>
  </si>
  <si>
    <t>G3MY4</t>
  </si>
  <si>
    <t>WOS:000780151900001</t>
  </si>
  <si>
    <t>Coleine, C; Selbmann, L; Guirado, E; Singh, BK; Delgado-Baquerizo, M</t>
  </si>
  <si>
    <t>Coleine, Claudia; Selbmann, Laura; Guirado, Emilio; Singh, Brajesh K.; Delgado-Baquerizo, Manuel</t>
  </si>
  <si>
    <t>Humidity and low pH boost occurrence of Onygenales fungi in soil at global scale</t>
  </si>
  <si>
    <t>SOIL BIOLOGY &amp; BIOCHEMISTRY</t>
  </si>
  <si>
    <t>Aridity; Fungi; Onygenales; Soil-borne pathogens; Soil communities</t>
  </si>
  <si>
    <t>EPIDEMIOLOGY; DIVERSITY; MODELS; ITS2</t>
  </si>
  <si>
    <t>Soils are important reservoirs for potential human pathogens and opportunistic fungi such as the dermatophyte or dimorphic fungi in the order Onygenales. In soils, these taxa are decomposers but many of them have the potential to cause respiratory and skin diseases in humans and, in some cases, systemic infections. Even so, the factors that determine the biogeography and ecology of order Onygenales remain largely undocumented. To address this knowledge gap, we surveyed members of Onygenales from topsoil fungal communities at 235 sites across six continents and provided a first global atlas. We retrieved 4.3% of the total fungal sequences (~420 Onygenales) across nine biomes ranging from deserts to tropical forests. This work advances our knowledge on the ecology and global distribution of order Onygenales and suggests the hypothesis that wet and acid soils support the larger proportions of these fungi, while their richness is constrained by aridity.</t>
  </si>
  <si>
    <t>[Coleine, Claudia; Selbmann, Laura] Univ Tuscia, Dept Ecol &amp; Biol Sci, Viterbo, Italy; [Selbmann, Laura] Italian Antarctic Natl Museum MNA, Mycol Sect, Genoa, Italy; [Guirado, Emilio] Univ Alicante, Multidisciplinary Inst Environm Studies Ramon Mar, Alicante, Spain; [Singh, Brajesh K.] Western Sydney Univ, Global Ctr Land Based Innovat, Penrith, NSW, Australia; [Singh, Brajesh K.] Western Sydney Univ, Hawkesbury Inst Environm, Penrith, NSW, Australia; [Delgado-Baquerizo, Manuel] CSIC, Lab Biodivers &amp; Funcionamiento Ecosistem, Inst Recursos Nat &amp; Agrobiol Sevilla, Seville, Spain; [Delgado-Baquerizo, Manuel] Univ Pablo de Olavide, Unidad Asociada CSIC UPO BioFun, Seville, Spain</t>
  </si>
  <si>
    <t>Tuscia University; Universitat d'Alacant; Western Sydney University; Western Sydney University; Consejo Superior de Investigaciones Cientificas (CSIC); CSIC - Instituto de Recursos Naturales y Agrobiologia de Sevilla (IRNAS); Universidad Pablo de Olavide</t>
  </si>
  <si>
    <t>DELGADO-BAQUERIZO, MANUEL/GLS-0346-2022; Selbmann, Laura/L-3056-2013; Guirado, Emilio/D-2321-2019; Singh, Brajesh/R-6321-2019; Guirado, Emilio/GOG-9161-2022; Coleine, Claudia/AAE-1889-2020; Delgado-Baquerizo, Manuel/L-3653-2017</t>
  </si>
  <si>
    <t>DELGADO-BAQUERIZO, MANUEL/0000-0002-6499-576X; Selbmann, Laura/0000-0002-8967-3329; Singh, Brajesh/0000-0003-4413-4185; Guirado, Emilio/0000-0001-5348-7391; Coleine, Claudia/0000-0002-9289-6179; Delgado-Baquerizo, Manuel/0000-0002-6499-576X</t>
  </si>
  <si>
    <t>0038-0717</t>
  </si>
  <si>
    <t>1879-3428</t>
  </si>
  <si>
    <t>SOIL BIOL BIOCHEM</t>
  </si>
  <si>
    <t>Soil Biol. Biochem.</t>
  </si>
  <si>
    <t>10.1016/j.soilbio.2022.108617</t>
  </si>
  <si>
    <t>0D6DC</t>
  </si>
  <si>
    <t>WOS:000776082800006</t>
  </si>
  <si>
    <t>Purser, A; Hehemann, L; Boehringer, L; Tippenhauer, S; Wege, M; Bornemann, H; Pineda-Metz, SEA; Flintrop, CM; Koch, F; Hellmer, HH; Burkhardt-Holm, P; Janout, M; Werner, E; Glemser, B; Balaguer, J; Rogge, A; Holtappels, M; Wenzhoefer, F</t>
  </si>
  <si>
    <t>Purser, Autun; Hehemann, Laura; Boehringer, Lilian; Tippenhauer, Sandra; Wege, Mia; Bornemann, Horst; Pineda-Metz, Santiago E. A.; Flintrop, Clara M.; Koch, Florian; Hellmer, Hartmut H.; Burkhardt-Holm, Patricia; Janout, Markus; Werner, Ellen; Glemser, Barbara; Balaguer, Jenna; Rogge, Andreas; Holtappels, Moritz; Wenzhoefer, Frank</t>
  </si>
  <si>
    <t>A vast icefish breeding colony discovered in the Antarctic</t>
  </si>
  <si>
    <t>SEALS LEPTONYCHOTES-WEDDELLII; NOTOTHENIOID FISHES; MCMURDO SOUND; ROSS SEA; FOOD; FILCHNER; SHELF; ZOOPLANKTON; COMMUNITIES; AMPHIPODS</t>
  </si>
  <si>
    <t>A breeding colony of notothenioid icefish (Neopagetopsis ionah, Nybelin 1947) of globally unprecedented extent has been discovered in the southern Weddell Sea, Antarctica. The colony was estimated to cover at least similar to 240 km(2) of the eastern flank of the Filchner Trough, comprised of fish nests at a density of 0.26 nests per square meter, representing an estimated total of -60 million active nests and associated fish biomass of &gt;60,000 tonnes. The majority of nests were each occupied by 1 adult fish guarding 1,735 eggs (+/- 433 SD). Bottom water temperatures measured across the nesting colony were up to 2 degrees C warmer than the surrounding bottom waters, indicating a spatial correlation between the modified Warm Deep Water (mWDW) upflow onto the Weddell Shelf and the active nesting area. Historical and concurrently collected seal movement data indicate that this concentrated fish biomass may be utilized by predators such as Weddell seals (Leptonychotes weddellii, Lesson 1826). Numerous degraded fish carcasses within and near the nesting colony suggest that, in death as well as life, these fish provide input for local food webs and influence local biogeochemical processing. To our knowledge, the area surveyed harbors the most spatially expansive continuous fish breeding colony discovered to date globally at any depth, as well as an exceptionally high Antarctic seafloor biomass. This discovery provides support for the establishment of a regional marine protected area in the Southern Ocean under the Convention on the Conservation of Antarctic Marine Living Resources (CCAMLR) umbrella.</t>
  </si>
  <si>
    <t>[Purser, Autun; Hehemann, Laura; Boehringer, Lilian; Tippenhauer, Sandra; Wege, Mia; Bornemann, Horst; Pineda-Metz, Santiago E. A.; Flintrop, Clara M.; Koch, Florian; Hellmer, Hartmut H.; Janout, Markus; Balaguer, Jenna; Rogge, Andreas; Holtappels, Moritz; Wenzhoefer, Frank] Helmholtz Ctr Polar &amp; Marine Res, Alfred Wegener Inst, D-27570 Bremerhaven, Germany; [Boehringer, Lilian; Glemser, Barbara] Univ Bremen, Biol Chem, Fachbereich 2, D-28334 Bremen, Germany; [Wege, Mia] Univ Pretoria, Mammal Res Inst, Dept Zool &amp; Entomol, Pretoria, South Africa; [Burkhardt-Holm, Patricia] Univ Basel, Dept Environm Sci, Programme Man Soc Environm, Vesalgasse 1, CH-4051 Basel, Switzerland; [Werner, Ellen] HafenCity Univ Hamburg, Henning Voscherau Pl 1, D-20457 Hamburg, Germany; [Glemser, Barbara; Wenzhoefer, Frank] Max Planck Inst Marine Microbiol, D-28359 Bremen, Germany; [Rogge, Andreas] Univ Kiel, Inst Ecosyst Res, Kiel, Germany; [Wenzhoefer, Frank] Univ Southern Denmark, Dept Biol, HADAL, DK-5230 Odense M, Denmark; [Wenzhoefer, Frank] Nordcee, DK-5230 Odense M, Denmark</t>
  </si>
  <si>
    <t>Helmholtz Association; Alfred Wegener Institute, Helmholtz Centre for Polar &amp; Marine Research; University of Bremen; University of Pretoria; University of Basel; Max Planck Society; University of Kiel; University of Southern Denmark</t>
  </si>
  <si>
    <t>Purser, A (corresponding author), Helmholtz Ctr Polar &amp; Marine Res, Alfred Wegener Inst, D-27570 Bremerhaven, Germany.</t>
  </si>
  <si>
    <t>autun.purser@awi.de</t>
  </si>
  <si>
    <t>Wege, Mia/B-1103-2016; Wenzhöfer, Frank/ADR-2926-2022</t>
  </si>
  <si>
    <t>Wege, Mia/0000-0002-9022-3069; Wenzhöfer, Frank/0000-0002-4621-0586; Pineda Metz, Santiago E. A./0000-0001-7780-6449; Bohringer, Lilian/0000-0001-7322-5145; Werner, Ellen/0000-0002-0823-0893; Holtappels, Moritz/0000-0003-3682-1903; Tippenhauer, Sandra/0000-0003-3405-6275; Hehemann, Laura/0000-0003-0967-8945; Flintrop, Clara/0000-0002-5711-0521; Rogge, Andreas/0000-0002-4036-4082</t>
  </si>
  <si>
    <t>AWI [AWI_PS124_01, AWI_PS124_02, AWI_PS124_03, AWI_PS124_04, AWI_PS124_05, AWI_ PS124_06, AWI_PS124_10, AWI_PS124_11, AWI_PS124_13]; H2020 project INTAROS (Integrated Arctic Observation System) [727890]; PACES (Polar Regions and Coasts in a Changing Earth System) Program of the Helmholtz Association; AWI strategy fund project Climate change impact on ecosystem structure and the efficiency of the biological carbon pump for Antarctic diatom-and Phaeocystis-dominated phytoplankton communities (EcoPump)</t>
  </si>
  <si>
    <t>AWI; H2020 project INTAROS (Integrated Arctic Observation System); PACES (Polar Regions and Coasts in a Changing Earth System) Program of the Helmholtz Association; AWI strategy fund project Climate change impact on ecosystem structure and the efficiency of the biological carbon pump for Antarctic diatom-and Phaeocystis-dominated phytoplankton communities (EcoPump)</t>
  </si>
  <si>
    <t>We are grateful to the crew of RV Polarstern for their support during PS124, which made this discovery possible, and the active discussion among the onboard scientific party on this unusual finding. Ulrich Kopnick is thanked for support with the ship winch operation. Simon Dreutter is thanked for his advice on OFOBS side scan processing. Axel Nordhausen, Matthias Monsees, and Henning Schroeder are thanked for their assistance with mooring design and deployment. Christian Konrad is thanked for assistance with particle size distribution analysis. We also thank Dr. Stefan Hain (AWI), Dr. Mark Belchier (British Antarctic Survey, UK), Dr. Steve Parker (National Institute of Water and Atmospheric Research Ltd [NIWA], NZL), and Andrew Stewart (Museum of New Zealand, [NZL]) for their help in confirming the species identification and their comments on the draft manuscript. The following AWI grant nos. are acknowledged for supporting the various onboard research groups working on this topic: AWI_PS124_01, AWI_PS124_02, AWI_PS124_03, AWI_PS124_04, AWI_PS124_05, AWI_ PS124_06, AWI_PS124_10, AWI_PS124_11, and AWI_PS124_13. We acknowledge funding by the H2020 project INTAROS (Integrated Arctic Observation System; grant no. 727890) and the PACES (Polar Regions and Coasts in a Changing Earth System) Program of the Helmholtz Association. C.M. F. was funded via the AWI strategy fund project Climate change impact on ecosystem structure and the efficiency of the biological carbon pump for Antarctic diatom-and Phaeocystis-dominated phytoplankton communities (EcoPump).'' The funders played no role in the content of this manuscript.</t>
  </si>
  <si>
    <t>FEB 28</t>
  </si>
  <si>
    <t>10.1016/j.cub.2021.12.022</t>
  </si>
  <si>
    <t>ZY9WK</t>
  </si>
  <si>
    <t>WOS:000772929200001</t>
  </si>
  <si>
    <t>Shi, TY; Fukuda, Y; Doi, K; Okuno, J</t>
  </si>
  <si>
    <t>Shi, Tianyan; Fukuda, Yoichi; Doi, Koichiro; Okuno, Jun'ichi</t>
  </si>
  <si>
    <t>Extraction of GRACE/GRACE-FO observed mass change patterns across Antarctica via independent component analysis (ICA)</t>
  </si>
  <si>
    <t>Satellite gravity; Time variable gravity; Antarctica; Statistical methods</t>
  </si>
  <si>
    <t>GRACE; SURFACE; SEPARATION; BALANCE; CLIMATE</t>
  </si>
  <si>
    <t>Here we qualitatively analyse the mass change patterns across Antarctica via independent component analysis (ICA), a statistics-based blind source separation method to extract signals from complex data sets, in an attempt to reduce uncertainties in the glacial isostatic adjustment (GIA) effects and improve understanding of Antarctic Ice Sheet (AIS) mass-balance. We extract the six leading independent components from gravimetric data acquired during the Gravity Recovery and Climate Experiment (GRACE) and GRACE Follow-On (GRACE-FO) missions. The results reveal that the observed continental-scale mass changes can be effectively separated into several spatial patterns that may be dominated by different physical processes. Although the hidden independent physical processes cannot be completely isolated, some significant signals, such as glacier melt, snow accumulation, periodic climatic signals, and GIA effects, can be determined without introducing any external information. We also observe that the time period of the analysed data set has a direct impact on the ICA results, as the impacts of extreme events, such as the anomalously large snowfall events in the late 2000s, may cause dramatic spatial and temporal changes in the ICA results. ICA provides a unique and informative approach to obtain a better understanding of both AIS-scale mass changes and specific regional-scale spatiotemporal signal variations.</t>
  </si>
  <si>
    <t>[Shi, Tianyan; Doi, Koichiro; Okuno, Jun'ichi] Grad Univ Adv Studies, SOKENDAI, Hayama, Kanagawa 2400193, Japan; [Fukuda, Yoichi; Doi, Koichiro; Okuno, Jun'ichi] Natl Inst Polar Res, Tokyo 1908518, Japan</t>
  </si>
  <si>
    <t>Graduate University for Advanced Studies - Japan; Research Organization of Information &amp; Systems (ROIS); National Institute of Polar Research (NIPR) - Japan</t>
  </si>
  <si>
    <t>Shi, TY (corresponding author), Grad Univ Adv Studies, SOKENDAI, Hayama, Kanagawa 2400193, Japan.</t>
  </si>
  <si>
    <t>shi.tianyan@nipr.ac.jp</t>
  </si>
  <si>
    <t>Grants-in-Aid for Scientific Research [21K03685] Funding Source: KAKEN</t>
  </si>
  <si>
    <t>Grants-in-Aid for Scientific Research(Ministry of Education, Culture, Sports, Science and Technology, Japan (MEXT)Japan Society for the Promotion of ScienceGrants-in-Aid for Scientific Research (KAKENHI))</t>
  </si>
  <si>
    <t>10.1093/gji/ggac033</t>
  </si>
  <si>
    <t>ZS3OL</t>
  </si>
  <si>
    <t>WOS:000768377700016</t>
  </si>
  <si>
    <t>Toumoulin, A; Tardif, D; Donnadieu, Y; Licht, A; Ladant, JB; Kunzmann, L; Dupont-Nivet, G</t>
  </si>
  <si>
    <t>Toumoulin, Agathe; Tardif, Delphine; Donnadieu, Yannick; Licht, Alexis; Ladant, Jean-Baptiste; Kunzmann, Lutz; Dupont-Nivet, Guillaume</t>
  </si>
  <si>
    <t>Evolution of continental temperature seasonality from the Eocene greenhouse to the Oligocene icehouse -a model-data comparison</t>
  </si>
  <si>
    <t>EARTH SYSTEM MODEL; ANTARCTIC GLACIATION; CLIMATE SENSITIVITY; SOUTHERN-HEMISPHERE; ATMOSPHERIC CO2; WESTERN-EUROPE; TRANSITION; BOUNDARY; VEGETATION; TERTIARY</t>
  </si>
  <si>
    <t>At the junction of greenhouse and icehouse climate states, the Eocene-Oligocene Transition (EOT) is a key moment in Cenozoic climate history. While it is associated with severe extinctions and biodiversity turnovers on land, the role of terrestrial climate evolution remains poorly resolved, especially the associated changes in seasonality. Some paleobotanical and geochemical continental records in parts of the Northern Hemisphere suggest the EOT is associated with a marked cooling in winter, leading to the development of more pronounced seasons (i.e., an increase in the mean annual range of temperature, MATR). However, the MATR increase has been barely studied by climate models and large uncertainties remain on its origin, geographical extent and impact. In order to better understand and describe temperature seasonality changes between the middle Eocene and the early Oligocene, we use the Earth system model IPSL-CM5A2 and a set of simulations reconstructing the EOT through three major climate forcings: pCO(2) decrease (1120, 840 and 560 ppm), the Antarctic ice-sheet (AIS) formation and the associated sea-level decrease. Our simulations suggest that pCO(2) lowering alone is not sufficient to explain the seasonality evolution described by the data through the EOT but rather that the combined effects of pCO(2) , AIS formation and increased continentality provide the best data-model agreement.pCO(2) decrease induces a zonal pattern with alternating increasing and decreasing seasonality bands particularly strong in the northern high latitudes (up to 8 degrees C MATR increase) due to sea-ice and surface albedo feedback. Conversely, the onset of the AIS is responsible for a more constant surface albedo yearly, which leads to a strong decrease in seasonality in the southern midlatitudes to high latitudes (&gt; 40 degrees S). Finally, continental areas that emerged due to the sea-level lowering cause the largest increase in seasonality and explain most of the global heterogeneity in MATR changes (1MATR) patterns. The Delta MATR patterns we reconstruct are generally consistent with the variability of the EOT biotic crisis intensity across the Northern Hemisphere and provide insights on their underlying mechanisms.</t>
  </si>
  <si>
    <t>[Toumoulin, Agathe; Tardif, Delphine; Donnadieu, Yannick; Licht, Alexis] Aix Marseille Univ, CNRS, IRD, INRA,Coll France,CEREGE, F-13545 Aix En Provence, France; [Tardif, Delphine] Univ Paris, CNRS, Inst Phys Globe Paris, F-75005 Paris, France; [Ladant, Jean-Baptiste] Univ Paris Saclay, Lab Sci Climat &amp; Environm, LSCE IPSL, CEA,CNRS,UVSQ, F-91191 Gif Sur Yvette, France; [Kunzmann, Lutz] Senckenberg Nat Hist Collect Dresden, D-01109 Dresden, Germany; [Dupont-Nivet, Guillaume] Univ Rennes, Geosci Rennes, UMR CNRS 6118, F-35042 Rennes, France; [Dupont-Nivet, Guillaume] Potsdam Univ, Inst Geosci, D-14469 Potsdam, Germany</t>
  </si>
  <si>
    <t>INRAE; Aix-Marseille Universite; Institut de Recherche pour le Developpement (IRD); Universite PSL; College de France; Centre National de la Recherche Scientifique (CNRS); Centre National de la Recherche Scientifique (CNRS); Universite Paris Cite; CEA; Centre National de la Recherche Scientifique (CNRS); Universite Paris Saclay; Universite Paris Cite; Senckenberg Gesellschaft fur Naturforschung (SGN); Universite de Rennes; Centre National de la Recherche Scientifique (CNRS); CNRS - National Institute for Earth Sciences &amp; Astronomy (INSU); University of Potsdam</t>
  </si>
  <si>
    <t>Toumoulin, A (corresponding author), Aix Marseille Univ, CNRS, IRD, INRA,Coll France,CEREGE, F-13545 Aix En Provence, France.</t>
  </si>
  <si>
    <t>agathe.toumoulin@gmail.com</t>
  </si>
  <si>
    <t>DUPONT-NIVET, Guillaume/HII-9066-2022; Toumoulin, Agathe/AAP-5121-2021; Licht, Alexis/P-4284-2018</t>
  </si>
  <si>
    <t>DUPONT-NIVET, Guillaume/0000-0001-9905-9739; Toumoulin, Agathe/0000-0003-2181-3732; Licht, Alexis/0000-0002-5267-7545; Kunzmann, Lutz/0000-0001-6445-3920</t>
  </si>
  <si>
    <t>ERC MAGIC [649081]; ANR AMOR [ANR-16-CE31-0020]; European Research Council (ERC) [649081] Funding Source: European Research Council (ERC); Agence Nationale de la Recherche (ANR) [ANR-16-CE31-0020] Funding Source: Agence Nationale de la Recherche (ANR)</t>
  </si>
  <si>
    <t>ERC MAGIC(European Research Council (ERC)); ANR AMOR(Agence Nationale de la Recherche (ANR)); European Research Council (ERC)(European Research Council (ERC)Spanish Government); Agence Nationale de la Recherche (ANR)(Agence Nationale de la Recherche (ANR))</t>
  </si>
  <si>
    <t>This research has been supported by ERC MAGIC (grant no. 649081) and ANR AMOR (grant no. ANR-16-CE31-0020). The article processing charges for this open-access publication were covered by ANR AMOR (ANR-16-CE31-0020).</t>
  </si>
  <si>
    <t>10.5194/cp-18-341-2022</t>
  </si>
  <si>
    <t>ZN7UN</t>
  </si>
  <si>
    <t>WOS:000765234600001</t>
  </si>
  <si>
    <t>Harrison, LC; Holland, PR; Heywood, KJ; Nicholls, KW; Brisbourne, AM</t>
  </si>
  <si>
    <t>Harrison, Lianne C.; Holland, Paul R.; Heywood, Karen J.; Nicholls, Keith W.; Brisbourne, Alex M.</t>
  </si>
  <si>
    <t>Sensitivity of Melting, Freezing and Marine Ice Beneath Larsen C Ice Shelf to Changes in Ocean Forcing</t>
  </si>
  <si>
    <t>ice shelf-ocean interactions; Larsen C Ice Shelf; model validation; marine ice; ocean warming experiments</t>
  </si>
  <si>
    <t>FILCHNER-RONNE ICE; STABILITY; WATER; RIFT; DEFORMATION; ANTARCTICA; SEISMICITY; CLIMATE; SURFACE</t>
  </si>
  <si>
    <t>Observations of surface lowering on Larsen C Ice Shelf (LCIS), Antarctica, have prompted concern about its stability. In this study, an ocean model is used to investigate the extent to which changes in ocean forcing may have influenced ice loss and the distribution of stabilizing marine ice beneath LCIS. The model uses a new bathymetry, containing a southern seabed trough discovered using seismic observations. The modeled extent of marine ice, thought to stabilize LCIS, is in good agreement with observations. Experiments applying idealized ocean warming yield an increase in melting over the southern trough. This is inconsistent with lowering observed in northern LCIS, suggesting oceanic forcing is not responsible for that signal. The marine ice extent and thickness reduces significantly under ocean warming, implying a high sensitivity of LCIS stability to changes in ocean forcing. This result could have wide implications for other cold-water ice shelves around Antarctica.</t>
  </si>
  <si>
    <t>[Harrison, Lianne C.; Holland, Paul R.; Nicholls, Keith W.; Brisbourne, Alex M.] British Antarctic Survey, Cambridge, England; [Harrison, Lianne C.; Heywood, Karen J.] Univ East Anglia, Ctr Ocean &amp; Atmospher Sci, Sch Environm Sci, Norwich, Norfolk, England; [Harrison, Lianne C.] Ctr Environm Fisheries &amp; Aquaculture Sci, Lowestoft, Suffolk, England</t>
  </si>
  <si>
    <t>UK Research &amp; Innovation (UKRI); Natural Environment Research Council (NERC); NERC British Antarctic Survey; University of East Anglia; Centre for Environment Fisheries &amp; Aquaculture Science</t>
  </si>
  <si>
    <t>Harrison, LC (corresponding author), British Antarctic Survey, Cambridge, England.;Harrison, LC (corresponding author), Univ East Anglia, Ctr Ocean &amp; Atmospher Sci, Sch Environm Sci, Norwich, Norfolk, England.;Harrison, LC (corresponding author), Ctr Environm Fisheries &amp; Aquaculture Sci, Lowestoft, Suffolk, England.</t>
  </si>
  <si>
    <t>lianne.harrison@cefas.co.uk</t>
  </si>
  <si>
    <t>Holland, Paul R/G-2796-2012; Brisbourne, Alex/E-6198-2013; Heywood, Karen/L-1757-2016</t>
  </si>
  <si>
    <t>Brisbourne, Alex/0000-0002-9887-7120; Heywood, Karen/0000-0001-9859-0026; Harrison, Lianne/0000-0002-7329-4674</t>
  </si>
  <si>
    <t>Natural Environment Research Council; EnvEast Doctoral Training Partnership [NE/L002582/1, NE/P021395/1]</t>
  </si>
  <si>
    <t>Natural Environment Research Council(UK Research &amp; Innovation (UKRI)Natural Environment Research Council (NERC)); EnvEast Doctoral Training Partnership</t>
  </si>
  <si>
    <t>This work was supported by the Natural Environment Research Council and the EnvEast Doctoral Training Partnership [Grant No. NE/L002582/1] and PICCOLO [Grant No. NE/P021395/1]. The authors would like to thank all contributors to the LCIS seabed data set, and would also like to thank R. Mueller for sharing her LCIS model geometry. Additionally, we thank L. Padman, J. Graham and one anonymous reviewer for their help improving the manuscript.</t>
  </si>
  <si>
    <t>e2021GL096914</t>
  </si>
  <si>
    <t>10.1029/2021GL096914</t>
  </si>
  <si>
    <t>ZO3WU</t>
  </si>
  <si>
    <t>WOS:000765659300054</t>
  </si>
  <si>
    <t>Jucker, M; Goyal, R</t>
  </si>
  <si>
    <t>Jucker, M.; Goyal, R.</t>
  </si>
  <si>
    <t>Ozone-Forced Southern Annular Mode During Antarctic Stratospheric Warming Events</t>
  </si>
  <si>
    <t>stratosphere-troposphere coupling; sudden stratospheric warmings; Southern Annular Mode; stratospheric ozone</t>
  </si>
  <si>
    <t>TROPOSPHERIC RESPONSE; ARCTIC OSCILLATION; PLANETARY-WAVES; PROPAGATION; CHEMISTRY; HOLE</t>
  </si>
  <si>
    <t>Southern Hemisphere (SH) Stratospheric Warming Events (SWEs) are usually associated with a negative phase of the tropospheric Southern Annular Mode (SAM) during the following summer. In contrast, using ensemble climate model simulations we show that the anomalously high ozone concentrations typically occurring during SWEs can force periods of persistent positive tropospheric SAM in austral spring by increasing lower stratospheric static stability and changing troposphere-to-stratosphere wave propagation. Eventually, the tropospheric SAM switches sign to its negative phase in late spring/early summer, but this 'downward propagation' of the stratospheric signal does not occur in simulations without seasonal cycle. We find that the downward propagation is forced both dynamically by adiabatic heating and radiatively by increased shortwave absorption by ozone due to the seasonal cycle. Capturing this ozone forcing mechanism in models requires the inclusion of interactive ozone, which has important implications for the predictive skill of current seasonal forecasting systems.</t>
  </si>
  <si>
    <t>[Jucker, M.; Goyal, R.] Univ New South Wales, Climate Change Res Ctr, Sydney, NSW, Australia; [Jucker, M.; Goyal, R.] Univ New South Wales, ARC Ctr Excellence Climate Extremes, Sydney, NSW, Australia; [Goyal, R.] Univ New South Wales, ARC Australian Ctr Excellence Antarctic Sci ACEAS, Sydney, NSW, Australia</t>
  </si>
  <si>
    <t>Jucker, M (corresponding author), Univ New South Wales, Climate Change Res Ctr, Sydney, NSW, Australia.;Jucker, M (corresponding author), Univ New South Wales, ARC Ctr Excellence Climate Extremes, Sydney, NSW, Australia.</t>
  </si>
  <si>
    <t>publications@martinjucker.com</t>
  </si>
  <si>
    <t>Jucker, Martin/C-3914-2014</t>
  </si>
  <si>
    <t>Jucker, Martin/0000-0002-4227-315X; Goyal, Rishav/0000-0002-0307-4692</t>
  </si>
  <si>
    <t>ARC Center of Excellence for Climate Extremes - Australian Research Council [CE170100023]; ARC [FL150100035]; ARC Center for Excellence in Antarctic Science [SR200100008]; Australian Government</t>
  </si>
  <si>
    <t>ARC Center of Excellence for Climate Extremes - Australian Research Council(Australian Research Council); ARC(Australian Research Council); ARC Center for Excellence in Antarctic Science; Australian Government(Australian Government)</t>
  </si>
  <si>
    <t>Both authors acknowledge support by the ARC Center of Excellence for Climate Extremes which is supported by the Australian Research Council via grant CE170100023. MJ further acknowledges ARC grant FL150100035, and RG acknowledges support of the ARC Center for Excellence in Antarctic Science via grant SR200100008. This research was undertaken with the assistance of resources from the National Computational Infrastructure (NCI Australia), an NCRIS enabled capability supported by the Australian Government. The authors thank Amy Butler and Andrew Charlton-Perez for sharing the results from a SPARC survey of the implementation of ozone in S2S models.</t>
  </si>
  <si>
    <t>e2021GL095270</t>
  </si>
  <si>
    <t>10.1029/2021GL095270</t>
  </si>
  <si>
    <t>WOS:000765659300070</t>
  </si>
  <si>
    <t>King, MA; Watson, CS; White, D</t>
  </si>
  <si>
    <t>King, Matt A.; Watson, Christopher S.; White, Duanne</t>
  </si>
  <si>
    <t>GPS Rates of Vertical Bedrock Motion Suggest Late Holocene Ice-Sheet Readvance in a Critical Sector of East Antarctica</t>
  </si>
  <si>
    <t>glacial isostatic adjustment; Antarctica; GPS; late Holocene; surface mass balance; common mode error</t>
  </si>
  <si>
    <t>GLACIAL ISOSTATIC-ADJUSTMENT; SEA-LEVEL CHANGE; SURFACE MASS-BALANCE; VESTFOLD HILLS; UPLIFT; MODEL; GRACE; ACCELERATION; CONSTRAINTS; GRAVITY</t>
  </si>
  <si>
    <t>We investigate present-day bedrock vertical motion using new Global Positioning System (GPS) timeseries from the Totten-Denman glacier region of East Antarctica (similar to 77 degrees-120 degrees E) where models of glacial isostatic adjustment (GIA) disagree, glaciers are likely losing mass, and few data constraints on GIA exist. We show that varying surface mass balance loading (SMBL) is a dominant signal, contributing random-walk-like noise to GPS timeseries across Antarctica. In the study region, it induces site velocity biases of up to similar to+1 mm/yr over 2010-2020. After correcting for SMBL displacement and GPS common mode error, subsidence is evident at all sites aside from the Totten Glacier region where uplift is similar to 1.5 mm/yr. Uplift near the Totten Glacier is consistent with late Holocene ice retreat while the widespread subsidence further west suggests possible late Holocene readvance of the region's ice sheet, in broad agreement with limited glacial geological data and highlighting the need for sampling beneath the current ice sheet.</t>
  </si>
  <si>
    <t>[King, Matt A.; Watson, Christopher S.] Univ Tasmania, Surveying &amp; Spatial Sci, Sch Geog Planning &amp; Spatial Sci, Hobart, Tas, Australia; [King, Matt A.; Watson, Christopher S.] Univ Tasmania, Australian Ctr Excellence Antarctic Sci, Hobart, Tas, Australia; [White, Duanne] Univ Canberra, Ctr Appl Water Sci, Canberra, ACT, Australia; [White, Duanne] Univ Canberra, Australian Ctr Excellence Antarctic Sci, Canberra, ACT, Australia</t>
  </si>
  <si>
    <t>University of Tasmania; University of Tasmania; University of Canberra; University of Canberra</t>
  </si>
  <si>
    <t>King, MA (corresponding author), Univ Tasmania, Surveying &amp; Spatial Sci, Sch Geog Planning &amp; Spatial Sci, Hobart, Tas, Australia.;King, MA (corresponding author), Univ Tasmania, Australian Ctr Excellence Antarctic Sci, Hobart, Tas, Australia.</t>
  </si>
  <si>
    <t>Matt.King@utas.edu.au</t>
  </si>
  <si>
    <t>King, Matt/B-4622-2008; Watson, Christopher S/D-4707-2013</t>
  </si>
  <si>
    <t>King, Matt/0000-0001-5611-9498; Watson, Christopher/0000-0002-7464-4592; White, Duanne/0000-0003-0740-2072</t>
  </si>
  <si>
    <t>Australian Research Council (ARC) Special Research Initiative for Antarctic Gateway Partnership [SR140300001]; ARC Australian Centre for Excellence in Antarctic Science [SR200100008]; Australian Government's Australian Antarctic Program [4318, CAS1]; Scientific Committee for Antarctic Research (SCAR) GIANT REGAIN project; NASA JPL for making GIPSY; University of Tasmania, as part of the Wiley - University of Tasmania agreement via the Council of Australian University Librarians</t>
  </si>
  <si>
    <t>Australian Research Council (ARC) Special Research Initiative for Antarctic Gateway Partnership(Australian Research Council); ARC Australian Centre for Excellence in Antarctic Science(Australian Research Council); Australian Government's Australian Antarctic Program; Scientific Committee for Antarctic Research (SCAR) GIANT REGAIN project; NASA JPL for making GIPSY; University of Tasmania, as part of the Wiley - University of Tasmania agreement via the Council of Australian University Librarians</t>
  </si>
  <si>
    <t>The authors thank the Editor and anonymous reviewers for their helpful remarks. This work was supported by the Australian Research Council (ARC) Special Research Initiative for Antarctic Gateway Partnership (Project ID SR140300001), ARC Australian Centre for Excellence in Antarctic Science (Project ID SR200100008), and from the Australian Government's Australian Antarctic Program (Project 4318). The latter grant supported the deployment and maintenance of the CAD sites within the CaDaGIA network and the maintenance of BHIL. CAS1, DAV1, and MAW1 are part of the International GNSS Service network and are operated by Geoscience Australia. This paper is a contribution to the Scientific Committee for Antarctic Research (SCAR) GIANT REGAIN project. The authors acknowledge the efforts of many people to deploy and maintain the GPS sites, with fieldwork led by Sue Cook, Tobias Staal and Ben Galton-Fenzi. The authors thank Michiel van den Broeke and Chris Kittel for making SMB model outputs available, Andrew Shepherd and Lin Gilbert for making the altimetry data available, and Leonid Petrov for providing ATML data. Roelof Rietbroek proposed the algorithm for estimating offsets with local data only. The authors thank Valentina Barletta and Andrea Bordoni for providing the E-CL0V3RS software. The authors thank NASA JPL for making GIPSY and associated satellite orbit and clock products available. Open access publishing facilitated by University of Tasmania, as part of the Wiley - University of Tasmania agreement via the Council of Australian University Librarians.</t>
  </si>
  <si>
    <t>e2021GL097232</t>
  </si>
  <si>
    <t>10.1029/2021GL097232</t>
  </si>
  <si>
    <t>WOS:000765659300003</t>
  </si>
  <si>
    <t>Koulali, A; Whitehouse, PL; Clarke, PJ; van den Broeke, MR; Nield, GA; King, MA; Bentley, MJ; Wouters, B; Wilson, T</t>
  </si>
  <si>
    <t>Koulali, Achraf; Whitehouse, Pippa L.; Clarke, Peter J.; van den Broeke, Michiel R.; Nield, Grace A.; King, Matt A.; Bentley, Michael J.; Wouters, Bert; Wilson, Terry</t>
  </si>
  <si>
    <t>GPS-Observed Elastic Deformation Due to Surface Mass Balance variability in the Southern Antarctic Peninsula</t>
  </si>
  <si>
    <t>GLACIAL ISOSTATIC-ADJUSTMENT; RAPID BEDROCK UPLIFT; MODEL; CLIMATE; DENSITY; GRAVITY; GRACE</t>
  </si>
  <si>
    <t>In Antarctica, Global Positioning System (GPS) vertical time series exhibit non-linear signals over a wide range of temporal scales. To explain these non-linearities, a number of hypotheses have been proposed, among them the short-term rapid solid Earth response to contemporaneous ice mass change. Here we use GPS vertical time series to reveal the solid Earth response to variations in surface mass balance (SMB) in the Southern Antarctic Peninsula (SAP). At four locations in the SAP we show that interannual variations of SMB anomalies cause measurable elastic deformation. We use regional climate model SMB products to calculate the induced displacement assuming a perfectly elastic Earth. Our results show a reduction of the misfit when fitting a linear trend to GPS time series corrected for the elastic response to SMB variations. Our results imply that, for a better understanding of the glacial isostatic adjustment signal in Antarctica, SMB variability must be considered. Plain Language Summary The Global Positioning System (GPS) allows us to measure the changing shape of the Earth's surface with high accuracy. These changes reflect multiple processes operating both within the Earth and at the surface. Using continuously recording GPS instruments in the Antarctic Peninsula, we study the response of the solid Earth to seasonal and annual variations in snow and ice accumulation over the past decade. We show that such loading triggers a measurable response that varies between years, complicating efforts to calculate the long-term Earth response to past ice sheet change. We discuss the importance of our findings for understanding feedbacks between the solid Earth and the Antarctic ice sheet.</t>
  </si>
  <si>
    <t>[Koulali, Achraf; Clarke, Peter J.] Newcastle Univ, Geospatial Engn, Newcastle Upon Tyne, Tyne &amp; Wear, England; [Whitehouse, Pippa L.; Nield, Grace A.; Bentley, Michael J.] Univ Durham, Dept Geog, Durham, England; [van den Broeke, Michiel R.; Wouters, Bert] Univ Utrecht, Inst Marine &amp; Atmospher Res, Utrecht, Netherlands; [King, Matt A.] Univ Tasmania, Sch Geog Planning &amp; Spatial Sci, Hobart, Tas, Australia; [Wouters, Bert] Delft Univ Technol, Dept Geosci &amp; Remote Sensing, Delft, Netherlands; [Wilson, Terry] Ohio State Univ, Sch Earth Sci, Columbus, OH 43210 USA</t>
  </si>
  <si>
    <t>Newcastle University - UK; Durham University; Utrecht University; University of Tasmania; Delft University of Technology; University System of Ohio; Ohio State University</t>
  </si>
  <si>
    <t>Koulali, A (corresponding author), Newcastle Univ, Geospatial Engn, Newcastle Upon Tyne, Tyne &amp; Wear, England.</t>
  </si>
  <si>
    <t>achraf.koulali@ncl.ac.uk</t>
  </si>
  <si>
    <t>Van den Broeke, Michiel R./F-7867-2011; King, Matt/B-4622-2008; Clarke, Peter John/B-1783-2008; Wouters, Bert/A-5301-2017; Bentley, Michael/F-7386-2011; Nield, Grace/I-8366-2012</t>
  </si>
  <si>
    <t>Van den Broeke, Michiel R./0000-0003-4662-7565; King, Matt/0000-0001-5611-9498; Clarke, Peter John/0000-0003-1276-8300; Wouters, Bert/0000-0002-1086-2435; Whitehouse, Pippa/0000-0002-9092-3444; Bentley, Michael/0000-0002-2048-0019; Koulali, Achraf/0000-0003-0451-1468; Nield, Grace/0000-0002-3897-7904</t>
  </si>
  <si>
    <t>UK Natural Environment Research Council (NERC) [NE/R002029/1]; NERC [NE/K004085/1]; Netherlands Earth System Science Center (NESSC); NWO VIDI grant [016.Vidi.171.063]; NERC [NE/R002029/1] Funding Source: UKRI</t>
  </si>
  <si>
    <t>UK Natural Environment Research Council (NERC)(UK Research &amp; Innovation (UKRI)Natural Environment Research Council (NERC)); NERC(UK Research &amp; Innovation (UKRI)Natural Environment Research Council (NERC)); Netherlands Earth System Science Center (NESSC); NWO VIDI grant(Netherlands Organization for Scientific Research (NWO)); NERC(UK Research &amp; Innovation (UKRI)Natural Environment Research Council (NERC))</t>
  </si>
  <si>
    <t>The authors thank David Maxfield, Paul Breen, Thomas Nylen, and other personnel from the British Antarctic Survey (BAS) and UNAVCO for support with data acquisition and network management. The GPS data processing was performed on the Rocket High Performance Computing service at Newcastle University. This work is supported by the UK Natural Environment Research Council (NERC) grant NE/R002029/1. AK was partially supported by the NERC grant NE/K004085/1. MRvdB acknowledges support from the Netherlands Earth System Science Center (NESSC). BW was supported by NWO VIDI grant 016.Vidi.171.063. The authors are grateful to the two reviewers whose careful and constructive comments helped improve the paper.</t>
  </si>
  <si>
    <t>e2021GL097109</t>
  </si>
  <si>
    <t>10.1029/2021GL097109</t>
  </si>
  <si>
    <t>WOS:000765659300031</t>
  </si>
  <si>
    <t>Larter, RD</t>
  </si>
  <si>
    <t>Larter, Robert D.</t>
  </si>
  <si>
    <t>Basal Melting, Roughness and Structural Integrity of Ice Shelves</t>
  </si>
  <si>
    <t>ice shelf; basal melting; roughness; radio-echo sounding; glacier</t>
  </si>
  <si>
    <t>CLIFF INSTABILITY; GLACIER; THWAITES</t>
  </si>
  <si>
    <t>Ice shelves restrict outflow from many of the largest glaciers in Antarctica, thus limiting the Antarctic contribution to sea-level rise. However, past ice-shelf collapse events show they are highly vulnerable to surface and basal melting. Collapse of ice shelves in front of glaciers flowing on retrograde slopes could initiate runaway retreat processes. Difficulty in projecting how quickly these could play out makes dynamic ice loss from Antarctica the largest uncertainty in predicting future sea-level rise. Basal melting can impact structural integrity of ice shelves in several ways. Results from analyses of variations in ice-shelf roughness by Watkins et al. (2021; https://doi.org/10.1029/2021GL094743) raise the tantalizing prospect that this may provide a simple quantitative measure of how the structural integrity of an ice shelf has been impacted by basal melting. Applying the method to additional ice shelves would be useful to examine how other factors may contribute to roughness.</t>
  </si>
  <si>
    <t>[Larter, Robert D.] British Antarctic Survey, Nat Environm Res Council, Cambridge, England</t>
  </si>
  <si>
    <t>Larter, RD (corresponding author), British Antarctic Survey, Nat Environm Res Council, Cambridge, England.</t>
  </si>
  <si>
    <t>rdla@bas.ac.uk</t>
  </si>
  <si>
    <t>Larter, Robert/0000-0002-8414-7389</t>
  </si>
  <si>
    <t>British Antarctic Survey (BAS) Polar Science for Planet Earth Program; UK Natural Environment Research Council (NERC) grant NSFPLR-NERC: Thwaites Offshore Research [NE/S006664/1]</t>
  </si>
  <si>
    <t>British Antarctic Survey (BAS) Polar Science for Planet Earth Program; UK Natural Environment Research Council (NERC) grant NSFPLR-NERC: Thwaites Offshore Research(UK Research &amp; Innovation (UKRI)Natural Environment Research Council (NERC))</t>
  </si>
  <si>
    <t>This work was supported by the British Antarctic Survey (BAS) Polar Science for Planet Earth Program and UK Natural Environment Research Council (NERC) grant NSFPLR-NERC: Thwaites Offshore Research (NE/S006664/1). The author thanks Marlo Garnsworthy for her work on Figure 1, Stef Lhermitte and Indrani Das for constructive reviews and GRL Editor Mathieu Morlighem for the invitation to contribute this commentary.</t>
  </si>
  <si>
    <t>e2021GL097421</t>
  </si>
  <si>
    <t>10.1029/2021GL097421</t>
  </si>
  <si>
    <t>WOS:000765659300055</t>
  </si>
  <si>
    <t>Qi, D; Wu, YX; Chen, LQ; Cai, WJ; Ouyang, ZX; Zhang, YX; Anderson, LG; Feely, RA; Zhuang, YP; Lin, HM; Lei, RB; Bi, HB</t>
  </si>
  <si>
    <t>Qi, Di; Wu, Yingxu; Chen, Liqi; Cai, Wei-Jun; Ouyang, Zhangxian; Zhang, Yixing; Anderson, Leif G.; Feely, Richard A.; Zhuang, Yanpei; Lin, Hongmei; Lei, Ruibo; Bi, Haibo</t>
  </si>
  <si>
    <t>Rapid Acidification of the Arctic Chukchi Sea Waters Driven by Anthropogenic Forcing and Biological Carbon Recycling</t>
  </si>
  <si>
    <t>ocean acidification; Arctic Chukchi sea; anthropogenic forcing; biological carbon recycling</t>
  </si>
  <si>
    <t>CO2 UPTAKE CAPACITY; OCEAN ACIDIFICATION; SURFACE OCEAN; ARAGONITE UNDERSATURATION; DISSOCIATION-CONSTANTS; NORTH PACIFIC; GAS-EXCHANGE; SEAWATER; ICE; SATURATION</t>
  </si>
  <si>
    <t>The acidification of coastal waters is distinguished from the open ocean because of much stronger synergistic effects between anthropogenic forcing and local biogeochemical processes. However, ocean acidification research is still rather limited in polar coastal oceans. Here, we present a 17-year (2002-2019) observational data set in the Chukchi Sea to determine the long-term changes in pH and aragonite saturation state (omega(arag)). We found that pH and omega(arag) declined in different water masses with average rates of -0.0047 +/- 0.0026 years(-1) and -0.017 +/- 0.009 years(-1), respectively, and are similar to 2-3 times faster than those solely due to increasing atmospheric CO2. We attributed the rapid acidification to the increased dissolved inorganic carbon owing to a combination of ice melt-induced increased atmospheric CO2 invasion and subsurface remineralization induced by a stronger surface biological production as a result of the increased inflow of the nutrient-rich Pacific water.</t>
  </si>
  <si>
    <t>[Qi, Di; Wu, Yingxu; Chen, Liqi; Zhuang, Yanpei] Jimei Univ, Coll Harbor &amp; Coastal Engn, Polar &amp; Marine Res Inst, Xiamen, Peoples R China; [Qi, Di; Wu, Yingxu; Chen, Liqi; Zhang, Yixing; Lin, Hongmei] MNR, Inst Oceanog 3, Xiamen, Peoples R China; [Qi, Di; Bi, Haibo] Chinese Acad Sci, Ctr Ocean Mega Sci, Qingdao, Peoples R China; [Cai, Wei-Jun; Ouyang, Zhangxian] Univ Delaware, Sch Marine Sci &amp; Policy, Newark, DE USA; [Anderson, Leif G.] Univ Gothenburg, Dept Marine Sci, Gothenburg, Sweden; [Feely, Richard A.] NOAA, Pacific Marine Environm Lab, 7600 Sand Point Way Ne, Seattle, WA 98115 USA; [Lei, Ruibo] Polar Res Inst China, Key Lab Polar Sci MNR, Shanghai, Peoples R China</t>
  </si>
  <si>
    <t>Jimei University; Third Institute of Oceanography, Ministry of Natural Resources; Chinese Academy of Sciences; University of Delaware; University of Gothenburg; National Oceanic Atmospheric Admin (NOAA) - USA; Polar Research Institute of China</t>
  </si>
  <si>
    <t>Qi, D (corresponding author), Jimei Univ, Coll Harbor &amp; Coastal Engn, Polar &amp; Marine Res Inst, Xiamen, Peoples R China.;Qi, D (corresponding author), MNR, Inst Oceanog 3, Xiamen, Peoples R China.;Qi, D (corresponding author), Chinese Acad Sci, Ctr Ocean Mega Sci, Qingdao, Peoples R China.</t>
  </si>
  <si>
    <t>qidi60@qq.com</t>
  </si>
  <si>
    <t>Cai, Wei-Jun/C-1361-2013; Wu, Yingxu/HDO-0449-2022</t>
  </si>
  <si>
    <t>Anderson, Leif/0000-0001-7363-0212; Qi, Di/0000-0003-4762-266X; Cai, Wei-Jun/0000-0003-3606-8325; Wu, Yingxu/0000-0002-7847-6215</t>
  </si>
  <si>
    <t>National Key Research and Development Program of China [2019YFE0114800]; National Natural Science Foundation of China [41630969, 41941013, 42176230]; Key Deployment Project of Centre for Ocean Mega-Research of Science, CAS [COMS2020Q12]; Scientific Research Foundation of Third Institute of Oceanography, MNR [2019032]; NSF [OPP-1926158]</t>
  </si>
  <si>
    <t>National Key Research and Development Program of China; National Natural Science Foundation of China(National Natural Science Foundation of China (NSFC)); Key Deployment Project of Centre for Ocean Mega-Research of Science, CAS; Scientific Research Foundation of Third Institute of Oceanography, MNR; NSF(National Science Foundation (NSF))</t>
  </si>
  <si>
    <t>We express our sincere gratitude to the crews of the Chinese National Arctic Research Expedition on board R/V Xuelong for their supports, the researchers during the cruises for their sampling and measurements, as well as National Arctic and Antarctic Data Center from China. This work was funded by the National Key Research and Development Program of China (2019YFE0114800), the National Natural Science Foundation of China (41630969, 41941013, 42176230), Key Deployment Project of Centre for Ocean Mega-Research of Science, CAS (Grant No. COMS2020Q12), and the Scientific Research Foundation of Third Institute of Oceanography, MNR (Grant No. 2019032). W.-J.C. and Z.O. are supported by NSF (OPP-1926158). This is PMEL contribution number 5307 from the NOAA Pacific Marine Environmental Laboratory.</t>
  </si>
  <si>
    <t>e2021GL097246</t>
  </si>
  <si>
    <t>10.1029/2021GL097246</t>
  </si>
  <si>
    <t>WOS:000765659300038</t>
  </si>
  <si>
    <t>Turner, J; Lu, H; King, JC; Carpentier, S; Lazzara, M; Phillips, T; Wille, J</t>
  </si>
  <si>
    <t>Turner, John; Lu, Hua; King, John C.; Carpentier, Scott; Lazzara, Matthew; Phillips, Tony; Wille, Jonathan</t>
  </si>
  <si>
    <t>An Extreme High Temperature Event in Coastal East Antarctica Associated With an Atmospheric River and Record Summer Downslope Winds</t>
  </si>
  <si>
    <t>extreme event; high temperatures; atmospheric river; Antarctica</t>
  </si>
  <si>
    <t>ICE-SHELF; SURFACE MELT; CLIMATOLOGY</t>
  </si>
  <si>
    <t>High surface temperatures are important in Antarctica because of their role in ice melt and sea level rise. We investigate a high temperature event in December 1989 that gave record temperatures in coastal East Antarctica between 60 degrees and 100 degrees E. The high temperatures were associated with a pool of warm lower tropospheric air with December temperature anomalies of &gt;14 degrees C that developed in two stages over the Amery Ice Shelf. First, there was near-record poleward warm advection within an atmospheric river. Second, synoptically driven downslope flow from the interior reached unprecedented December strength over a large area, leading to strong descent and further warming in the coastal region. The coastal easterly winds were unusually deep and strong, and the warm pool was advected westwards, giving a short period of high temperatures at coastal locations, including a surface temperature of 9.3 degrees C at Mawson, the second highest in its 66-year record.</t>
  </si>
  <si>
    <t>[Turner, John; Lu, Hua; King, John C.; Phillips, Tony] NERC, British Antarctic Survey, Cambridge, England; [Carpentier, Scott] Bur Meteorol, Hobart, Tas, Australia; [Lazzara, Matthew] Madison Area Tech Coll, Madison, WI USA; [Lazzara, Matthew] Univ Wisconsin, Madison, WI USA; [Wille, Jonathan] Univ Grenoble, Grenoble, France</t>
  </si>
  <si>
    <t>UK Research &amp; Innovation (UKRI); Natural Environment Research Council (NERC); NERC British Antarctic Survey; Bureau of Meteorology - Australia; University of Wisconsin System; University of Wisconsin Madison; Communaute Universite Grenoble Alpes; Universite Grenoble Alpes (UGA)</t>
  </si>
  <si>
    <t>Turner, J (corresponding author), NERC, British Antarctic Survey, Cambridge, England.</t>
  </si>
  <si>
    <t>jtu@bas.ac.uk</t>
  </si>
  <si>
    <t>Lu, Hua/GXA-0276-2022; Wille, Jonathan/KFQ-5871-2024</t>
  </si>
  <si>
    <t>Lu, Hua/0000-0001-9485-5082; Lazzara, Matthew/0000-0002-4343-498X; King, John/0000-0003-3315-7568; Turner, John/0000-0002-6111-5122; Wille, Jonathan/0000-0002-3918-5204</t>
  </si>
  <si>
    <t>National Science Foundation [1951603]</t>
  </si>
  <si>
    <t>This work forms part of the Polar Science for Planet Earth program of the British Antarctic Survey. We are grateful to ECMWF for the provision of the ERA5 meteorological fields. It contains modified Copernicus Climate Change Service information 2021. Neither the European Commission nor ECMWF is responsible for any use that may be made of the Copernicus information or data it contains. The datasets Hersbach (2018a); Hersbach (2018b) were downloaded from the Copernicus Climate Change Service (C3S) Climate Data Store. Matthew Lazzara was supported by the National Science Foundation Grant No. 1951603.</t>
  </si>
  <si>
    <t>e2021GL097108</t>
  </si>
  <si>
    <t>10.1029/2021GL097108</t>
  </si>
  <si>
    <t>WOS:000765659300043</t>
  </si>
  <si>
    <t>Coffey, NB; MacAyeal, DR; Copland, L; Mueller, DR; Sergienko, OV; Banwell, AF; Lai, CY</t>
  </si>
  <si>
    <t>Coffey, Niall B.; MacAyeal, Douglas R.; Copland, Luke; Mueller, Derek R.; Sergienko, Olga, V; Banwell, Alison F.; Lai, Ching-Yao</t>
  </si>
  <si>
    <t>Enigmatic surface rolls of the Ellesmere Ice Shelf</t>
  </si>
  <si>
    <t>Arctic glaciology; ice rheology; ice shelves; sea-ice; ice-shelf interactions; sea-ice modeling</t>
  </si>
  <si>
    <t>The once-contiguous Ellesmere Ice Shelf, first reported in writing by European explorers in 1876, and now almost completely disintegrated, has rolling, wave-like surface topography, the origin of which we investigate using a viscous buckling instability analysis. We show that rolls can develop during a winter season (similar to 100 d) if sea-ice pressure (depth-integrated horizontal stress applied to the seaward front of the Ellesmere Ice Shelf) is sufficiently large (1 MPa m) and ice thickness sufficiently low (1-10 m). Roll wavelength initially depends only on sea-ice pressure, but evolves over time depending on amplitude growth rate. This implies that a thinner ice shelf, with its faster amplitude growth rate, will have a shorter wavelength compared to a thicker ice shelf when sea-ice pressure is equal. A drawback of the viscous buckling mechanism is that roll amplitude decays once sea-ice pressure is removed. However, non-Newtonian ice rheology, where effective viscosity, and thus roll change rate, depends on total applied stress may constrain roll decay rate to be much slower than growth rate and allow roll persistence from year to year. Whether the viscous-buckling mechanism we explore here ultimately can be confirmed as the origin of the Ellesmere Ice Shelf rolls remains for future research.</t>
  </si>
  <si>
    <t>[Coffey, Niall B.] Univ Chicago, Dept Phys, Chicago, IL 60637 USA; [Coffey, Niall B.; Sergienko, Olga, V; Lai, Ching-Yao] Princeton Univ, Program Atmospher &amp; Ocean Sci, Princeton, NJ 08544 USA; [MacAyeal, Douglas R.] Univ Chicago, Dept Geophys Sci, 5734 S Ellis Ave, Chicago, IL 60637 USA; [Copland, Luke] Univ Ottawa, Dept Geog Environm &amp; Geomat, Ottawa, ON, Canada; [Mueller, Derek R.] Carleton Univ, Geog &amp; Environm Studies, Ottawa, ON, Canada; [Banwell, Alison F.] Univ Colorado, Cooperat Inst Res Environm Sci, Boulder, CO USA; [Lai, Ching-Yao] Princeton Univ, Dept Geosci, Princeton, NJ 08544 USA</t>
  </si>
  <si>
    <t>University of Chicago; Princeton University; National Oceanic Atmospheric Admin (NOAA) - USA; University of Chicago; University of Ottawa; Carleton University; University of Colorado System; University of Colorado Boulder; Princeton University</t>
  </si>
  <si>
    <t>MacAyeal, DR (corresponding author), Univ Chicago, Dept Geophys Sci, 5734 S Ellis Ave, Chicago, IL 60637 USA.</t>
  </si>
  <si>
    <t>drm7@uchicago.edu</t>
  </si>
  <si>
    <t>Sergienko, Olga/HII-8500-2022; Banwell, Alison/W-8180-2018</t>
  </si>
  <si>
    <t>Sergienko, Olga/0000-0002-5764-8815; Banwell, Alison/0000-0001-9545-829X; MacAyeal, Douglas/0000-0003-0647-6176; Coffey, Niall/0000-0002-3368-8839; Copland, Luke/0000-0001-5374-2145</t>
  </si>
  <si>
    <t>Jeff Metcalf Undergraduate Research Internship Fund; US National Science Foundation (NSF-OPP) [1841467, 1841607]; National Oceanic and Atmospheric Administration, USDepartment of Commerce [NA18OAR4320123]; Natural Sciences and Engineering Research Council of Canada; ArcticNet Network of Centres of Excellence Canada; Directorate For Geosciences; Office of Polar Programs (OPP) [1841607] Funding Source: National Science Foundation; Office of Polar Programs (OPP); Directorate For Geosciences [1841467] Funding Source: National Science Foundation</t>
  </si>
  <si>
    <t>Jeff Metcalf Undergraduate Research Internship Fund; US National Science Foundation (NSF-OPP)(National Science Foundation (NSF)); National Oceanic and Atmospheric Administration, USDepartment of Commerce(National Oceanic Atmospheric Admin (NOAA) - USA); Natural Sciences and Engineering Research Council of Canada(Natural Sciences and Engineering Research Council of Canada (NSERC)CGIAR); ArcticNet Network of Centres of Excellence Canada; Directorate For Geosciences; Office of Polar Programs (OPP)(National Science Foundation (NSF)NSF - Directorate for Geosciences (GEO)); Office of Polar Programs (OPP); Directorate For Geosciences(National Science Foundation (NSF)NSF - Directorate for Geosciences (GEO))</t>
  </si>
  <si>
    <t>The research reported here was initiated by Coffey as part of an undergraduate research internship at the University of Chicago supported by the Jeff Metcalf Undergraduate Research Internship Fund and advised by MacAyeal. Support to MacAyeal and Banwell was provided by the US National Science Foundation (NSF-OPP) under grants 1841467 awarded to the University of Chicago, and 1841607 to the University of Colorado Boulder, respectively. This report was prepared by Sergienko under award NA18OAR4320123 from the National Oceanic and Atmospheric Administration, USDepartment of Commerce. The statements, findings, conclusions and recommendations are those of the author(s) and do not necessarily reflect the views of the National Oceanic and Atmospheric Administration, or the US Department of Commerce. Copland and Mueller acknowledge the Natural Sciences and Engineering Research Council of Canada, and ArcticNet Network of Centres of Excellence Canada, for funding. We thank Anthony Powell for allowing us to use his photograph displayed in Figure 5b. Photograph in Figure 5c is from the Antarctic Map and Photograph Library, US Geological Survey. We thank Gerald Holdsworth for both being an inspiration for this study and for helpful advice on the manuscript. We thank the scientific editor, Alan Rempel, and two anonymous referees for providing constructive advice, editing suggestions and for alerting us to a previously unrealized implication of our analysis.</t>
  </si>
  <si>
    <t>10.1017/jog.2022.3</t>
  </si>
  <si>
    <t>WOS:000762105300001</t>
  </si>
  <si>
    <t>Tencé, F; Jumelet, J; Bekki, S; Khaykin, S; Sarkissian, A; Keckhut, P</t>
  </si>
  <si>
    <t>Tence, Florent; Jumelet, Julien; Bekki, Slimane; Khaykin, Sergey; Sarkissian, Alain; Keckhut, Philippe</t>
  </si>
  <si>
    <t>Australian Black Summer Smoke Observed by Lidar at the French Antarctic Station Dumont d'Urville</t>
  </si>
  <si>
    <t>lidar; stratosphere; aerosol; pyrocumunolimbus; Antarctica; PSC</t>
  </si>
  <si>
    <t>LONG-RANGE TRANSPORT; STRATOSPHERIC SMOKE; AEROSOL PROPERTIES; EXTINCTION; CLOUDS; INVERSION; PROFILES; OZONE</t>
  </si>
  <si>
    <t>In the follow-up of the Australian Black Summer event that persisted from August 2019 to March 2020, we present the optical properties of the stratospheric aerosols injected into the atmosphere by these wildfires. The outbreak of pyrocumulonimbus (PyroCb) activity triggered between 2019/12/29 and 2020/01/04 has raised the stratospheric aerosol load of the Southern Hemisphere to unprecedented levels. Long-range transport brought some of the plumes down to the Antarctic region, where general circulation patterns kept them circling around the continent. The 532 nm Rayleigh/Mie/Raman ground-based lidar of the French Antarctic station Dumont d'Urville (66.6 degrees S-140 degrees E) acquired unprecedented time series of these carbonaceous aerosols starting approximately 20 days after the injection and up to the most recent measurements in October 2019 where local radiosonde reported anomalous ozone depletion as compared to the decadal average. The lidar provides a first and unique time series at high vertical and temporal resolution, complemented by satellite measurements from Ozone Monitoring Instrument, Ozone Mapping and Profiler Suite, and Microwave Limb Sounder. Aerosol backscatter ratio decreases from 1.9 to 1.2 between January and June 2020. Aerosol origin and persistence are characterized, as well as their optical properties and vertical distribution over several months.</t>
  </si>
  <si>
    <t>[Tence, Florent; Jumelet, Julien; Bekki, Slimane; Khaykin, Sergey; Sarkissian, Alain; Keckhut, Philippe] Sorbonne Univ, UMR CNRS, Lab Atmospheres, LATMOS,Milieux,Observat Spatiales,IPSL,UVSQ, Paris, France</t>
  </si>
  <si>
    <t>Universite Paris Saclay; Universite Paris Cite; Sorbonne Universite; Centre National de la Recherche Scientifique (CNRS)</t>
  </si>
  <si>
    <t>Tencé, F (corresponding author), Sorbonne Univ, UMR CNRS, Lab Atmospheres, LATMOS,Milieux,Observat Spatiales,IPSL,UVSQ, Paris, France.</t>
  </si>
  <si>
    <t>florent.tence@latmos.ipsl.fr</t>
  </si>
  <si>
    <t>Keckhut, Philippe/0000-0002-8110-4148; Tence, Florent/0000-0002-4921-3918</t>
  </si>
  <si>
    <t>French polar institute (Institut polaire francais Paul-Emile Victor) [209]</t>
  </si>
  <si>
    <t>French polar institute (Institut polaire francais Paul-Emile Victor)</t>
  </si>
  <si>
    <t>Operations on the Dumont d'Urville station are supported by the French polar institute (Institut polaire francais Paul-Emile Victor), science project 209. The authors gratefully acknowledge the NOAA Air Resources Laboratory (ARL) for the provision of the HYSPLIT transport and dispersion model and/or READY website () used in this publication.</t>
  </si>
  <si>
    <t>FEB 27</t>
  </si>
  <si>
    <t>e2021JD035349</t>
  </si>
  <si>
    <t>10.1029/2021JD035349</t>
  </si>
  <si>
    <t>ZO3ID</t>
  </si>
  <si>
    <t>WOS:000765621000040</t>
  </si>
  <si>
    <t>Shin, YJ; Midgley, GF; Archer, ERM; Arneth, A; Barnes, DKA; Chan, L; Hashimoto, S; Hoegh-Guldberg, O; Insarov, G; Leadley, P; Levin, LA; Ngo, HT; Pandit, R; Pires, APF; Portner, HO; Rogers, AD; Scholes, RJ; Settele, J; Smith, P</t>
  </si>
  <si>
    <t>Shin, Yunne-Jai; Midgley, Guy F.; Archer, Emma R. M.; Arneth, Almut; Barnes, David K. A.; Chan, Lena; Hashimoto, Shizuka; Hoegh-Guldberg, Ove; Insarov, Gregory; Leadley, Paul; Levin, Lisa A.; Ngo, Hien T.; Pandit, Ram; Pires, Aliny P. F.; Poertner, Hans-Otto; Rogers, Alex D.; Scholes, Robert J.; Settele, Josef; Smith, Pete</t>
  </si>
  <si>
    <t>Actions to halt biodiversity loss generally benefit the climate</t>
  </si>
  <si>
    <t>biodiversity conservation; carbon sequestration; climate change mitigation; convention on biological diversity; nature-based solutions; restoration</t>
  </si>
  <si>
    <t>MARINE PROTECTED AREA; ECOSYSTEM SERVICES; NITROGEN DYNAMICS; TROPICAL FORESTS; METHANE EMISSION; LAND DEGRADATION; FOOD-PRODUCTION; CARBON STOCKS; BLUE CARBON; REDD PLUS</t>
  </si>
  <si>
    <t>The two most urgent and interlinked environmental challenges humanity faces are climate change and biodiversity loss. We are entering a pivotal decade for both the international biodiversity and climate change agendas with the sharpening of ambitious strategies and targets by the Convention on Biological Diversity and the United Nations Framework Convention on Climate Change. Within their respective Conventions, the biodiversity and climate interlinked challenges have largely been addressed separately. There is evidence that conservation actions that halt, slow or reverse biodiversity loss can simultaneously slow anthropogenic mediated climate change significantly. This review highlights conservation actions which have the largest potential for mitigation of climate change. We note that conservation actions have mainly synergistic benefits and few antagonistic trade-offs with climate change mitigation. Specifically, we identify direct co-benefits in 14 out of the 21 action targets of the draft post-2020 global biodiversity framework of the Convention on Biological Diversity, notwithstanding the many indirect links that can also support both biodiversity conservation and climate change mitigation. These relationships are context and scale-dependent; therefore, we showcase examples of local biodiversity conservation actions that can be incentivized, guided and prioritized by global objectives and targets. The close interlinkages between biodiversity, climate change mitigation, other nature's contributions to people and good quality of life are seldom as integrated as they should be in management and policy. This review aims to re-emphasize the vital relationships between biodiversity conservation actions and climate change mitigation in a timely manner, in support to major Conferences of Parties that are about to negotiate strategic frameworks and international goals for the decades to come.</t>
  </si>
  <si>
    <t>[Shin, Yunne-Jai] Univ Montpellier, MARBEC, IRD, IFREMER,CNRS, Montpellier, France; [Midgley, Guy F.] Stellenbosch Univ, Sch Climate Studies, Dept Bot &amp; Zool, Stellenbosch, South Africa; [Archer, Emma R. M.] Univ Pretoria, Dept Geog Geoinformat &amp; Meteorol, Pretoria, South Africa; [Arneth, Almut] Karlsruhe Inst Technol KIT, Atmospher Environm Res, Garmisch Partenkirchen, Germany; [Barnes, David K. A.] NERC, British Antarctic Survey, Cambridge, England; [Chan, Lena] Natl Pk Board, Int Biodivers Conservat Div, Singapore, Singapore; [Hashimoto, Shizuka] Univ Tokyo, Dept Ecosyst Studies, Tokyo, Japan; [Hoegh-Guldberg, Ove] Univ Queensland, Sch Biol Sci, Brisbane, Qld, Australia; [Hoegh-Guldberg, Ove] Univ Queensland, ARC Ctr Excellence Coral Reef Studies, Brisbane, Qld, Australia; [Insarov, Gregory] Russian Acad Sci, Inst Geog, Moscow, Russia; [Leadley, Paul] Univ Paris Saclay, CNRS, AgroParisTech, Lab Ecol Systematigue Evolut, Orsay, France; [Levin, Lisa A.] Univ Calif San Diego, Scripps Inst Oceanog, Ctr Marine Biodivers &amp; Conservat, San Diego, CA 92103 USA; [Levin, Lisa A.] Univ Calif San Diego, Integrat Oceanog Div, San Diego, CA 92103 USA; [Ngo, Hien T.] Food &amp; Agr Org United Nations, Off Climate Change Biodivers &amp; Environm, Rome, Italy; [Ngo, Hien T.] Intergovt Sci Policy Platform Biodivers &amp; Ecosyst, Bonn, Germany; [Pandit, Ram] Univ Western Australia, UWA Sch Agr &amp; Environm, Ctr Environm Econ &amp; Policy, Crawley, WA, Australia; [Pandit, Ram] Hokkaido Univ, Res Fac Agr, Global Ctr Food Land &amp; Water Resources, Sapporo, Hokkaido, Japan; [Pires, Aliny P. F.] Rio de Janeiro State Univ UERJ, Dept Ecol, IBRAG, Rio De Janeiro, Brazil; [Poertner, Hans-Otto] Alfred Wegener Inst Polar &amp; Marine Res, Bremerhaven, Germany; [Rogers, Alex D.] REV Ocean, Lysaker, Norway; [Scholes, Robert J.] Univ Witwatersrand, Global Change Inst, Johannesburg, South Africa; [Settele, Josef] UFZ Helmholtz Ctr Environm Res, Dept Conservat Biol &amp; Social Ecol Syst, Halle, Germany; [Settele, Josef] German Ctr Integrat Biodivers Res iDiv, Leipzig, Germany; [Smith, Pete] Univ Aberdeen, Inst Biol &amp; Environm Sci, Aberdeen, Scotland</t>
  </si>
  <si>
    <t>Universite de Montpellier; Institut de Recherche pour le Developpement (IRD); Centre National de la Recherche Scientifique (CNRS); Ifremer; Stellenbosch University; University of Pretoria; Helmholtz Association; Karlsruhe Institute of Technology; UK Research &amp; Innovation (UKRI); Natural Environment Research Council (NERC); NERC British Antarctic Survey; University of Tokyo; University of Queensland; University of Queensland; Institute of Geography, Russian Academy of Sciences; Russian Academy of Sciences; Universite Paris Cite; AgroParisTech; Centre National de la Recherche Scientifique (CNRS); Universite Paris Saclay; University of California System; University of California San Diego; Scripps Institution of Oceanography; University of California System; University of California San Diego; Food &amp; Agriculture Organization of the United Nations (FAO); University of Western Australia; Hokkaido University; Universidade do Estado do Rio de Janeiro; Helmholtz Association; Alfred Wegener Institute, Helmholtz Centre for Polar &amp; Marine Research; University of Witwatersrand; Helmholtz Association; Helmholtz Center for Environmental Research (UFZ); University of Aberdeen</t>
  </si>
  <si>
    <t>Shin, YJ (corresponding author), Univ Montpellier, IRD, MARBEC, Pl Eugene Bataillon CC093, F-34095 Montpellier 5, France.</t>
  </si>
  <si>
    <t>yunne-jai.shin@ird.fr</t>
  </si>
  <si>
    <t>Settele, Josef/A-6371-2009; Insarov, Gregory/AAG-6021-2021; Smith, Pete/G-1041-2010; Hoegh-Guldberg, Ove/HJP-1821-2023; Midgley, Guy F./H-3585-2014; Shin, Yunne-Jai/A-7575-2012</t>
  </si>
  <si>
    <t>Settele, Josef/0000-0002-8624-4983; Insarov, Gregory/0000-0003-0790-075X; Smith, Pete/0000-0002-3784-1124; Midgley, Guy F./0000-0001-8264-0869; Barnes, David/0000-0002-9076-7867; Archer, Emma/0000-0002-5374-3866; Ngo, Hien/0000-0003-3070-9988; Rogers, Alex David/0000-0002-4864-2980; Shin, Yunne-Jai/0000-0002-7259-9265; Pandit, Ram/0000-0003-4053-5694; Chan, Lena/0000-0001-7930-7678</t>
  </si>
  <si>
    <t>European Union [869300]; Asia-Pacific Network for Global Change Research [CRRP2018-03MY-Hashimoto]; REVOcean; Research Institute for Humanity and Nature [14200103]; Institute of Geography, Russian Academy of Sciences [0148-2019- -0007]; Environment Research and Technology Development Fund [S-15]; BiodivScen ERA-Net COFUND [ANR-18-EBI4-0003-01]; NERC [bas0100036] Funding Source: UKRI; Grants-in-Aid for Scientific Research [20K01601] Funding Source: KAKEN</t>
  </si>
  <si>
    <t>European Union(European Union (EU)); Asia-Pacific Network for Global Change Research; REVOcean; Research Institute for Humanity and Nature; Institute of Geography, Russian Academy of Sciences; Environment Research and Technology Development Fund; BiodivScen ERA-Net COFUND; NERC(UK Research &amp; Innovation (UKRI)Natural Environment Research Council (NERC)); Grants-in-Aid for Scientific Research(Ministry of Education, Culture, Sports, Science and Technology, Japan (MEXT)Japan Society for the Promotion of ScienceGrants-in-Aid for Scientific Research (KAKENHI))</t>
  </si>
  <si>
    <t>European Union's Horizon 2020 research and innovation programme, Grant/ Award Number: 869300; Asia-Pacific Network for Global Change Research, Grant/Award Number: CRRP2018-03MY-Hashimoto; REVOcean; Research Institute for Humanity and Nature, Grant/ Award Number: 14200103; Institute of Geography, Russian Academy of Sciences, Grant/Award Number: 0148-2019- -0007; Environment Research and Technology Development Fund, Grant/Award Number: S-15; BiodivScen ERA-Net COFUND, Grant/Award Number: ANR-18-EBI4- -0003- -01</t>
  </si>
  <si>
    <t>10.1111/gcb.16109</t>
  </si>
  <si>
    <t>0E3WC</t>
  </si>
  <si>
    <t>Green Submitted, Green Published, Green Accepted</t>
  </si>
  <si>
    <t>WOS:000761522300001</t>
  </si>
  <si>
    <t>Lagos, PF; Curtsdotter, A; Agüera, A; Sabadel, AJM; Burrit, DJ; Lamare, MD</t>
  </si>
  <si>
    <t>Lagos, Paulo F.; Curtsdotter, Alva; Aguera, Antonio; Sabadel, Amandine J. M.; Burrit, David J.; Lamare, Miles D.</t>
  </si>
  <si>
    <t>Modelling the effects of food limitation and temperature on the growth and reproduction of the krill Nyctiphanes australis</t>
  </si>
  <si>
    <t>Dynamic energy budget; DEB model; Nyctiphanes australis; Krill; Environmental change; Zooplankton; Euphausiid; Growth; Reproduction</t>
  </si>
  <si>
    <t>DYNAMIC ENERGY BUDGET; ANTARCTIC KRILL; EUPHAUSIA-SUPERBA; INTERANNUAL VARIABILITY; MARINE-INVERTEBRATES; PHYTOPLANKTON BLOOMS; DEVELOPMENT TIME; EGG SIZE; TASMANIA; CRUSTACEA</t>
  </si>
  <si>
    <t>The krill Nyctiphanes australis is the most abundant and ecologically important euphausiid in southern Australia and New Zealand coastal and shelf waters. The species lives in coastal environments which are currently susceptible to shifts in temperature and productivity. Due to its abundance, it sustains many inshore fisheries and, for this reason, determining the potential outcome of future changes in sea temperature and productivity for Nyctiphanes is important. The temperature-and food-dependence of growth and reproduction of Nyctiphanes species can be made through Dynamic Energy Budget models (DEB), developed here to quantify how temperature and food availability affects growth, fecundity, egg size, and the energetic content of the eggs throughout the krill life-span. The DEB model predictions are in good agreement with measured life-history traits for the species and show that krill grows slower during winter while females do not always reach sexual maturity when temperatures are below 8 C and food levels are low. We found that higher temperatures and low food levels decrease the energetic content and diameter of the eggs by similar to 20%, affecting the length and age at which N. australis commence reproduction. Under current scenarios of future ocean warming, these results indicate that populations of N. australis are likely to decline, with potential knock-on effects on coastal marine ecosystems and inshore fisheries.</t>
  </si>
  <si>
    <t>[Lagos, Paulo F.; Lamare, Miles D.] Univ Otago, Dept Marine Sci, 310 Castle St, Dunedin 9016, New Zealand; [Curtsdotter, Alva] Univ New England, Sch Environm &amp; Rural Sci, Armidale, NSW 2351, Australia; [Aguera, Antonio] Norwegian Inst Marine Res, Austevoll Stn, Sauganeset 16, N-5392 Austevoll, Norway; [Sabadel, Amandine J. M.] Univ Otago, Dept Zool, 340 Great King St, Dunedin 9016, New Zealand; [Burrit, David J.] Univ Otago, Dept Bot, 479 Great King St, Dunedin 9016, New Zealand</t>
  </si>
  <si>
    <t>University of Otago; University of New England; University of Otago; University of Otago</t>
  </si>
  <si>
    <t>Lagos, PF (corresponding author), Univ Otago, Dept Marine Sci, 310 Castle St, Dunedin 9016, New Zealand.</t>
  </si>
  <si>
    <t>pau.lagosj@gmail.com</t>
  </si>
  <si>
    <t>Lagos, Paulo F/C-8879-2014; Agüera, Antonio/O-5498-2017; Sabadel, Amandine/GXG-9878-2022</t>
  </si>
  <si>
    <t>Agüera, Antonio/0000-0003-0076-1849; Sabadel, Amandine/0000-0002-1080-8842; Lagos, Paulo/0000-0002-1560-4718</t>
  </si>
  <si>
    <t>10.1016/j.ecss.2022.107785</t>
  </si>
  <si>
    <t>1C7DE</t>
  </si>
  <si>
    <t>WOS:000793274200007</t>
  </si>
  <si>
    <t>Bossau, JC; Bekker, A</t>
  </si>
  <si>
    <t>Bossau, Jesslyn Cassandra; Bekker, Anriette</t>
  </si>
  <si>
    <t>Line detection techniques to pinpoint slamming impulses in time-frequency images of hull acceleration measurements</t>
  </si>
  <si>
    <t>Slamming detection; Whipping; Hull monitoring; Continuous Morlet wavelet transform; Polar vessel</t>
  </si>
  <si>
    <t>VIBRATION SIGNAL ANALYSIS; WAVELET TRANSFORM; FAULT-DETECTION; MORLET WAVELET; IDENTIFICATION; DECOMPOSITION; PERCEPTION; LEAKAGE</t>
  </si>
  <si>
    <t>The detection and localization of slamming is investigated using a hull monitoring system on a polar vessel. The system comprises an accelerometer array, resulting in time histories in which slamming impacts must be detected. Proposed methods exploit the attribute that slamming impacts cause broadband excitation which result in line features in short-time Fourier transform spectrograms and Morlet wavelet scalogram images. The proposed methods are benchmarked against the MATLAB findpeaks function which requires a pre-defined detection threshold and falsely identifies several slams if consecutive peaks of the free decay exceed the threshold. An evaluation on simulated data investigates artefacts such as an unpredictable frequency of incidence, varying impulse magnitude and ever-changing noise floor. The likely wave impact site is pinpointed at the sensor which first displays an impulsive peak. Preliminary insights are extracted from full-scale experiments on the stationary vessel in stable wave conditions and a systematically varied relative heading. The Morlet wavelet transform delivers the most promising slamming detection capabilities and concurs that stern slamming is prevalent in following and stern-quartering seas. A threshold is beneficial to consistently identify significant slams despite varying ocean conditions.</t>
  </si>
  <si>
    <t>[Bossau, Jesslyn Cassandra; Bekker, Anriette] Stellenbosch Univ, Dept Mech &amp; Mechatron Engn, Sound &amp; Vibrat Res Grp, Private Bag X1, ZA-7602 Stellenbosch, Matieland, South Africa</t>
  </si>
  <si>
    <t>Bekker, A (corresponding author), Stellenbosch Univ, Dept Mech &amp; Mechatron Engn, Sound &amp; Vibrat Res Grp, Private Bag X1, ZA-7602 Stellenbosch, Matieland, South Africa.</t>
  </si>
  <si>
    <t>annieb@sun.ac.za</t>
  </si>
  <si>
    <t>Bossau, Jesslyn/0000-0001-9203-3480</t>
  </si>
  <si>
    <t>National Research Foundation (NRF) [110737]; Department of Science and Technology under the South African National Antarctic Programme</t>
  </si>
  <si>
    <t>National Research Foundation (NRF); Department of Science and Technology under the South African National Antarctic Programme</t>
  </si>
  <si>
    <t>The financial assistance of the National Research Foundation (NRF) towards this research is hereby acknowledged; [grant number 110737] . Opinions expressed and conclusions arrived at, are those of the author and are not necessarily to be attributed to the NRF. The authors would also like to thank the Department of Science and Technology under the South African National Antarctic Programme, the Department of Envi-ronmental Affairs, African Marine Solutions, Captain Knowledge Bengu and the crewmembers for their collaboration in the measurements on board the SA Agulhas II.</t>
  </si>
  <si>
    <t>10.1016/j.oceaneng.2022.110841</t>
  </si>
  <si>
    <t>0H5ZB</t>
  </si>
  <si>
    <t>WOS:000778810900003</t>
  </si>
  <si>
    <t>Daher, M; Fernandes, EI; Francelino, MR; da Costa, LM; Schaefer, CEGR</t>
  </si>
  <si>
    <t>Daher, Mayara; Fernandes-Filho, Elpidio Inacio; Francelino, Marcio Rocha; da Costa, Liovando Marciano; Schaefer, Carlos E. G. R.</t>
  </si>
  <si>
    <t>Geochemistry of semi-arid Cryosols on volcanic and sedimentary materials from James Ross Island, Antarctica</t>
  </si>
  <si>
    <t>Pedogenesis; Weathering; Geochemical indices; Cryosols</t>
  </si>
  <si>
    <t>SOUTH SHETLAND ISLANDS; KING-GEORGE ISLAND; WEDDELL SEA; ORNITHOGENIC SOILS; SEYMOUR ISLAND; ADMIRALTY BAY; MINERALOGY; GENESIS; REGION; CLASSIFICATION</t>
  </si>
  <si>
    <t>In most parts of Antarctica, specifically in arid and semi-arid condition, soils are the results of weak weathering and little pedogenic processes. There, the use of geochemical data is considered an important tool to interpret possible pedological processes through the changing molecular ratios of elements with depth. The semi-arid soils of Antarctica remains little explored. In this study, the geochemistry of soils developed on different parent materials under a typical semi-arid climate was investigated, based on the quantification of the elements by various methods. Based on the major and trace elements geochemistry, the soil types are clearly differentiated by their geochemical composition, and highly affected by their parent materials. Based on the major elements abundances, chemical weathering is very limited. Using geochemical parameters to identify lithologic discontinuities, five profiles showed this characteristic. The apparent high chemical index of alteration and mineralogical composition, with kaolinite in the clay fraction, soils developed on the marine sedimentary rocks showed a pre-weathered nature, related to the ancient inheritance of Cretaceous paleoclimates, during which warmer climate led to intense weathering under subtropical conditions. Therefore, pre-weathering has a role in the mineralogical composition of Antarctic soils on sedimentary rocks.</t>
  </si>
  <si>
    <t>[Daher, Mayara; Fernandes-Filho, Elpidio Inacio; Francelino, Marcio Rocha; da Costa, Liovando Marciano; Schaefer, Carlos E. G. R.] Univ Fed Vicosa, Dept Solos, Av PH Rolfs S-N, Vicosa, MG, Brazil</t>
  </si>
  <si>
    <t>Universidade Federal de Vicosa</t>
  </si>
  <si>
    <t>Daher, M (corresponding author), Univ Fed Vicosa, Dept Solos, Av PH Rolfs S-N, Vicosa, MG, Brazil.</t>
  </si>
  <si>
    <t>mayara.daher@gmail.com</t>
  </si>
  <si>
    <t>Francelino, Marcio Rocha/AAS-4224-2020; Filho, Elpídio Inácio Fernandes/AAE-7315-2019</t>
  </si>
  <si>
    <t>Francelino, Marcio Rocha/0000-0001-8837-1372; Filho, Elpídio Inácio Fernandes/0000-0002-9484-1411</t>
  </si>
  <si>
    <t>Coordenacao de Aperfeicoamento de Pessoal de Nivel Superior (CAPES) - Brasil [001]; Brazilian National Research and Technology Council (CNPq)</t>
  </si>
  <si>
    <t>Coordenacao de Aperfeicoamento de Pessoal de Nivel Superior (CAPES) - Brasil(Coordenacao de Aperfeicoamento de Pessoal de Nivel Superior (CAPES)); Brazilian National Research and Technology Council (CNPq)(Conselho Nacional de Desenvolvimento Cientifico e Tecnologico (CNPQ)Fundacao de Apoio a Pesquisa do Distrito Federal (FAPDF))</t>
  </si>
  <si>
    <t>This study was partly financed by the Coordenacao de Aperfeicoamento de Pessoal de Nivel Superior (CAPES) - Brasil -Finance Code 001 and the Brazilian National Research and Technology Council (CNPq). This work is a contribution of Institute of Science and Technology of the Cryosphere - TERRANTAR group.</t>
  </si>
  <si>
    <t>e00490</t>
  </si>
  <si>
    <t>10.1016/j.geodrs.2022.e00490</t>
  </si>
  <si>
    <t>ZW0FR</t>
  </si>
  <si>
    <t>WOS:000770897800002</t>
  </si>
  <si>
    <t>Costa, G; Bavestrello, G; Canese, S; Canessa, M; Mazzoli, C; Montagna, P; Puce, S; Schiaparelli, S; Bertolino, M</t>
  </si>
  <si>
    <t>Costa, Gabriele; Bavestrello, Giorgio; Canese, Simonepietro; Canessa, Martina; Mazzoli, Claudio; Montagna, Paolo; Puce, Stefania; Schiaparelli, Stefano; Bertolino, Marco</t>
  </si>
  <si>
    <t>Sponges associated with stylasterid thanatocoenosis (Cnidaria, Hydrozoa) from the deep Ross Sea (Southern Ocean)</t>
  </si>
  <si>
    <t>Porifera; Stylasteridae; Thanatocoenosis; Antarctic Ocean; Ross Sea; New species</t>
  </si>
  <si>
    <t>BIODIVERSITY HOTSPOTS; SHALLOW-WATER; CORAL; DEMOSPONGIAE; CLADORHIZIDAE; CONSERVATION; EPIBIONTS; ABUNDANCE</t>
  </si>
  <si>
    <t>In the Antarctic seas, where hard substrates are scarce, the presence of secondary bio-substrates formed by calcareous organisms is an essential condition to increase the epibiosis and therefore the diversity of sessile benthic fauna. The aggregations of stylasterid hydrozoa, with their branched carbonate structures, are an example of a secondary habitat defined as a 'deep marine animal forest'. The three-dimensional habitat made by these corals supports a high biodiversity of associated organisms, usually invertebrates. Recently, deep remotely operated vehicle (ROV) exploration of the Iselin Bank and the Hallett Ridge (Ross Sea, Antarctica) documented wide areas characterised by large thanatocoenosis of stylasterid skeletons lying on flat muddy substrates, with scattered living colonies generally made of few short branches. In our study, sponges associated with 54 dead colonies of two stylasterid species recorded in these areas were investigated. The analysis led to the discovery of a remarkable number of specimens (127) ascribed to 38 sponge species (31 encrusting and 7 massive). Two of these sponges, Asbestopluma (Asbetopluma) sinuosa and Lissodendoryx (Ectyodoryx) inferiolabiatae, are new. In light of the present data, we can assume that, in Antarctica, stylasterid skeletal remains, due to their three-dimensional structure, play an important role in maintaining sponge biodiversity. This is also due to the ability of sponge specie to produce miniaturised specimens able to colonise these peculiar substrata.</t>
  </si>
  <si>
    <t>[Costa, Gabriele; Bavestrello, Giorgio; Canessa, Martina; Schiaparelli, Stefano; Bertolino, Marco] Univ Genoa, Dept Earth Environm &amp; Life Sci DISTAV, Genoa, Italy; [Canese, Simonepietro] Stn Zool Anton Dohrn, Naples, Italy; [Mazzoli, Claudio] Univ Padua, Dept Geosci, Padua, Italy; [Montagna, Paolo] Inst Polar Sci ISP CNR, Bologna, Italy; [Puce, Stefania] Polytech Univ Marche, Dept Life &amp; Environm Sci DiSVA, Ancona, Italy; [Schiaparelli, Stefano] Univ Genoa, Sect Genoa, Italian Natl Antarctic Museum MNA, Genoa, Italy</t>
  </si>
  <si>
    <t>University of Genoa; Stazione Zoologica Anton Dohrn di Napoli; University of Padua; Consiglio Nazionale delle Ricerche (CNR); Istituto di Scienze Polari (ISP-CNR); Marche Polytechnic University; University of Genoa</t>
  </si>
  <si>
    <t>Costa, G (corresponding author), Univ Genoa, Dept Earth Environm &amp; Life Sci DISTAV, Genoa, Italy.</t>
  </si>
  <si>
    <t>gabriele.costa@edu.unige.it</t>
  </si>
  <si>
    <t>Mazzoli, Claudio/H-9651-2015; Bertolino, Marco/AAI-7707-2020; Bavestrello, Giorgio/JXN-5230-2024; Canese, Simonepietro/AAA-5499-2019; Montagna, Paolo/H-9632-2015</t>
  </si>
  <si>
    <t>Mazzoli, Claudio/0000-0002-0374-8415; Canese, Simonepietro/0000-0001-6049-4506; Bavestrello, Giorgio/0000-0002-5428-2344; Canessa, Martina/0000-0001-5371-8452; Montagna, Paolo/0000-0001-5598-2214; BERTOLINO, Marco/0000-0003-3233-303X; Schiaparelli, Stefano/0000-0002-0137-3605</t>
  </si>
  <si>
    <t>project PNRA-GRACEFUL [PNRA16_00069]</t>
  </si>
  <si>
    <t>project PNRA-GRACEFUL</t>
  </si>
  <si>
    <t>The project PNRA-GRACEFUL (Grant No. PNRA16_00069) contributed to the study providing the stylasterid samples, video footage and still photographs of the seafloor of the Ross Sea.</t>
  </si>
  <si>
    <t>10.1007/s00300-022-03023-6</t>
  </si>
  <si>
    <t>WOS:000761310000001</t>
  </si>
  <si>
    <t>Servick, K</t>
  </si>
  <si>
    <t>Servick, Kelly</t>
  </si>
  <si>
    <t>Antarctic pollution melting snow</t>
  </si>
  <si>
    <t>FEB 25</t>
  </si>
  <si>
    <t>ZM2ZV</t>
  </si>
  <si>
    <t>WOS:000764232800011</t>
  </si>
  <si>
    <t>Bennett, S; Vaquer-Sunyer, R; Jorda, G; Forteza, M; Roca, G; Marba, N</t>
  </si>
  <si>
    <t>Bennett, Scott; Vaquer-Sunyer, Raquel; Jorda, Gabriel; Forteza, Marina; Roca, Guillem; Marba, Nuria</t>
  </si>
  <si>
    <t>Thermal Performance of Seaweeds and Seagrasses Across a Regional Climate Gradient</t>
  </si>
  <si>
    <t>macroalgae; local adaptation; phenotypic plasticity; niche conservatism; climate change</t>
  </si>
  <si>
    <t>POSIDONIA-OCEANICA; MARINE; VULNERABILITY; TEMPERATURE; DIVERSITY; COASTAL; PHAEOPHYCEAE; CYSTOSEIRA; FORECASTS; ATLANTIC</t>
  </si>
  <si>
    <t>Comparative patterns in thermal performance between populations have fundamental implications for a species thermal sensitivity to warming and extreme events. Despite this, within-species variation in thermal performance is seldom measured. Here we compare thermal performance both within-species and between-species, for two species of seagrass (Posidonia oceanica and Cymodocea nodosa) and two species of seaweed (Padina pavonica and Cystoseira compressa) across the Mediterranean Sea. Experimental populations from four locations representing between 75 and 99% of each species thermal distribution and a 6 degrees C gradient in summer temperatures, were exposed to 10 temperature treatments between 15 and 36 degrees C. Experimental thermal performance displayed the greatest variability between species, with optimal temperatures differing by over 10 degrees C within the same location. Within-species differences in thermal performance were also important for P. oceanica which displayed large thermal safety margins within cool and warm-edge populations and small safety margins within central populations. Our findings suggest patterns of thermal performance in Mediterranean seagrasses and seaweeds retain deep pre-Mediterranean evolutionary legacies, suggesting marked differences in sensitivity to warming within and between benthic marine communities.</t>
  </si>
  <si>
    <t>[Bennett, Scott; Forteza, Marina; Roca, Guillem; Marba, Nuria] UIB, CSIC, Inst Mediterrani Estudis Avancats, Global Change Res Grp, Esporles, Spain; [Bennett, Scott] Univ Tasmania, Inst Marine &amp; Antarctic Studies, Hobart, Tas, Australia; [Vaquer-Sunyer, Raquel] Marilles Fdn, Palma De Mallorca, Spain; [Jorda, Gabriel] CSIC, CN Inst Espanol Oceanog, Ctr Oceanog Balears, Palma De Mallorca, Spain</t>
  </si>
  <si>
    <t>Universitat de les Illes Balears; Consejo Superior de Investigaciones Cientificas (CSIC); ATTITUS Educacao; University of Tasmania; Consejo Superior de Investigaciones Cientificas (CSIC); Spanish Institute of Oceanography</t>
  </si>
  <si>
    <t>Bennett, S (corresponding author), UIB, CSIC, Inst Mediterrani Estudis Avancats, Global Change Res Grp, Esporles, Spain.;Bennett, S (corresponding author), Univ Tasmania, Inst Marine &amp; Antarctic Studies, Hobart, Tas, Australia.</t>
  </si>
  <si>
    <t>scott.bennett0@utas.edu.au</t>
  </si>
  <si>
    <t>Marba, Nuria/H-8136-2015; Bennett, Scott/A-8747-2016</t>
  </si>
  <si>
    <t>Marba, Nuria/0000-0002-8048-6789; Bennett, Scott/0000-0003-2969-7430</t>
  </si>
  <si>
    <t>10.3389/fmars.2022.733315</t>
  </si>
  <si>
    <t>ZR1QV</t>
  </si>
  <si>
    <t>WOS:000767567600001</t>
  </si>
  <si>
    <t>Casillo, A; D'Angelo, C; Parrilli, E; Tutino, ML; Corsaro, MM</t>
  </si>
  <si>
    <t>Casillo, Angela; D'Angelo, Caterina; Parrilli, Ermenegilda; Tutino, Maria Luisa; Corsaro, Maria Michela</t>
  </si>
  <si>
    <t>Membrane and Extracellular Matrix Glycopolymers of Colwellia psychrerythraea 34H: Structural Changes at Different Growth Temperatures</t>
  </si>
  <si>
    <t>biofilm; cold-adapted bacterium; extracellular polysaccharides; temperature changes; structural characterization; CLSM</t>
  </si>
  <si>
    <t>PSYCHROPHILIC BACTERIUM; ANTARCTIC BACTERIUM; LIPOPOLYSACCHARIDES; EXOPOLYSACCHARIDE; PROTEINS; LIPIDS; DNA</t>
  </si>
  <si>
    <t>Colwellia psychrerythraea 34H is a marine Gram-negative psychrophile; it was isolated from Arctic marine sediments, but it is considered cosmopolitan in cold environments. This microorganism is considered a model to study adaptive strategies to sub-zero temperatures, and its lifestyle has been the object of numerous studies. In the last few years, we focused our studies on the glycoconjugates produced by C. psychrerythraea 34H at 4 degrees C, resulting in the isolation and characterization of very interesting molecules. It produces an unusual lipooligosaccharide molecule and both capsular and medium released polysaccharides. In this study, we described the response of these glycoconjugates in terms of production and chemical structure produced by C. psychrerythraea 34H grown in planktonic conditions at -2, 4, and 8 degrees C. The glycopolymers have been detected by chemical methods and spectroscopic analyses. Moreover, the glycopolymer content of the biofilm matrix of C. psychrerythraea 34H has been evaluated, through confocal microscopy and glycosyl analysis. The results highlighted that C. psychrerythraea 34H adjusts both the production and the typology of its glyconjugates in response to temperature fluctuations.</t>
  </si>
  <si>
    <t>[Casillo, Angela; D'Angelo, Caterina; Parrilli, Ermenegilda; Tutino, Maria Luisa; Corsaro, Maria Michela] Univ Naples Federico II, Dept Chem Sci, Complesso Univ Monte S Angelo, Naples, Italy</t>
  </si>
  <si>
    <t>University of Naples Federico II</t>
  </si>
  <si>
    <t>Casillo, A (corresponding author), Univ Naples Federico II, Dept Chem Sci, Complesso Univ Monte S Angelo, Naples, Italy.</t>
  </si>
  <si>
    <t>angela.casillo@unina.it</t>
  </si>
  <si>
    <t>TUTINO, MARIA LUISA/L-1834-2013; Corsaro, Maria Michela/T-6190-2019</t>
  </si>
  <si>
    <t>Corsaro, Maria Michela/0000-0002-6834-8682; D'Angelo, Caterina/0000-0002-0372-7809</t>
  </si>
  <si>
    <t>Italian National Programme for Antarctic Research (PNRA) [PNRA18_00007]</t>
  </si>
  <si>
    <t>We thank the Italian National Programme for Antarctic Research (PNRA) (Project PNRA18_00007).</t>
  </si>
  <si>
    <t>10.3389/fmicb.2022.820714</t>
  </si>
  <si>
    <t>ZR4NK</t>
  </si>
  <si>
    <t>WOS:000767761600001</t>
  </si>
  <si>
    <t>Patterson, MO; Levy, RH; Kulhanek, DK; van de Flierdt, T; Horgan, H; Dunbar, GB; Naish, TR; Ash, J; Pyne, A; Mandeno, D; Winberry, P; Harwood, DM; Florindo, F; Jimenez-Espejo, FJ; Läufer, A; Yoo, KC; Seki, O; Stocchi, P; Klages, JP; Lee, JI; Colleoni, F; Suganuma, Y; Gasson, E; Ohneiser, C; Flores, JA; Try, D; Kirkman, R; Koch, D</t>
  </si>
  <si>
    <t>Patterson, Molly O.; Levy, Richard H.; Kulhanek, Denise K.; van de Flierdt, Tina; Horgan, Huw; Dunbar, Gavin B.; Naish, Timothy R.; Ash, Jeanine; Pyne, Alex; Mandeno, Darcy; Winberry, Paul; Harwood, David M.; Florindo, Fabio; Jimenez-Espejo, Francisco J.; Laufer, Andreas; Yoo, Kyu-Cheul; Seki, Osamu; Stocchi, Paolo; Klages, Johann P.; Lee, Jae Il; Colleoni, Florence; Suganuma, Yusuke; Gasson, Edward; Ohneiser, Christian; Flores, Jose-Abel; Try, David; Kirkman, Rachel; Koch, Daleen</t>
  </si>
  <si>
    <t>SWAIS 2C Sci Team</t>
  </si>
  <si>
    <t>Sensitivity of the West Antarctic Ice Sheet to +2 °C (SWAIS 2C)</t>
  </si>
  <si>
    <t>SCIENTIFIC DRILLING</t>
  </si>
  <si>
    <t>SEA-LEVEL RISE; STREAM-C; CLIMATE-CHANGE; BENEATH; PROJECTIONS; STAGNATION; COLLAPSE; SURFACE; DRIVEN; RADAR</t>
  </si>
  <si>
    <t>The West Antarctic Ice Sheet (WAIS) presently holds enough ice to raise global sea level by 4.3m if completely melted. The unknown response of the WAIS to future warming remains a significant challenge for numerical models in quantifying predictions of future sea level rise. Sea level rise is one of the clearest planetwide signals of human-induced climate change. The Sensitivity of the West Antarctic Ice Sheet to a Warming of 2 degrees C (SWAIS 2C) Project aims to understand past and current drivers and thresholds of WAIS dynamics to improve projections of the rate and size of ice sheet changes under a range of elevated greenhouse gas levels in the atmosphere as well as the associated average global temperature scenarios to and beyond the +2 degrees C target of the Paris Climate Agreement. Despite efforts through previous land and ship-based drilling on and along the Antarctic margin, unequivocal evidence of major WAIS retreat or collapse and its causes has remained elusive. To evaluate and plan for the interdisciplinary scientific opportunities and engineering challenges that an International Continental Drilling Program (ICDP) project along the Siple coast near the grounding zone of the WAIS could offer (Fig. 1), researchers, engineers, and logistics providers representing 10 countries held a virtual workshop in October 2020. This international partnership comprised of geologists, glaciologists, oceanographers, geophysicists, microbiologists, climate and ice sheet modelers, and engineers outlined specific research objectives and logistical challenges associated with the recovery of Neogene and Quaternary geological records from the West Antarctic interior adjacent to the Kamb Ice Stream and at Crary Ice Rise. New geophysical surveys at these locations have identified drilling targets in which new drilling technologies will allow for the recovery of up to 200m of sediments beneath the ice sheet. Sub-ice-shelf records have so far proven difficult to obtain but are critical to better constrain marine ice sheet sensitivity to past and future increases in global mean surface temperature up to 2 degrees C above pre-industrial levels. Thus, the scientific and technological advances developed through this program will enable us to test whetherWAIS collapsed during past intervals of warmth and determine its sensitivity to a +2 degrees C global warming threshold (UNFCCC, 2015).</t>
  </si>
  <si>
    <t>[Patterson, Molly O.; Kulhanek, Denise K.] SUNY Binghamton, Dept Geol Sci &amp; Environm Studies, Binghamton, NY 13902 USA; [Levy, Richard H.; Try, David; Kirkman, Rachel; Koch, Daleen] GNS Sci, Lower Hutt, New Zealand; [Levy, Richard H.; Horgan, Huw; Dunbar, Gavin B.; Naish, Timothy R.; Pyne, Alex; Mandeno, Darcy] Victoria Univ Wellington, Antarctic Res Ctr, Wellington, New Zealand; [Kulhanek, Denise K.] Christian Albrecht Univ Kiel, Inst Geosci, Kiel, Germany; [van de Flierdt, Tina] Imperial Coll London, Dept Earth Sci &amp; Engn, London, England; [Ash, Jeanine] Rice Univ, Dept Earth Environm &amp; Planetary Sci, Houston, TX USA; [Winberry, Paul] Cent Washington Univ, Dept Geol Sci, Ellensburg, WA USA; [Harwood, David M.] Univ Nebraska, Dept Earth &amp; Atmospher Sci, Lincoln, NE USA; [Florindo, Fabio] Inst Nazl Geofis &amp; Vulcanol, Rome, Italy; [Jimenez-Espejo, Francisco J.] Spanish Res Council CSIC, Inst Andaluz Ciencias Tierra, Armilla, Spain; [Laufer, Andreas] Fed Inst Geosci &amp; Nat Resources BGR, Hannover, Germany; [Yoo, Kyu-Cheul; Lee, Jae Il] Korea Polar Res Inst, Div Glacial Environm Res, Incheon, South Korea; [Seki, Osamu; Suganuma, Yusuke] Natl Inst Polar Res, 10-3 Midori Cho, Tachikawa, Tokyo, Japan; [Seki, Osamu] Hokkaido Univ, Inst Low Temp Sci, Sapporo, Hokkaido, Japan; [Stocchi, Paolo] NIOZ Royal Netherlands Inst Sea Res, Dept Coastal Syst, Den Burg, Netherlands; [Klages, Johann P.] Helmholtz Ctr Polar &amp; Marine Res, Alfred Wegener Inst, Bremerhaven, Germany; [Colleoni, Florence] Ist Nazl Oceanog &amp; Geofis Sperimentale, Trieste, Italy; [Gasson, Edward] Univ Bristol, Sch Geog Sci, Bristol, Avon, England; [Ohneiser, Christian] Univ Otago, Dept Geol, Dunedin, New Zealand; [Flores, Jose-Abel] Univ Salamanca, Dept Geol, Salamanca, Spain</t>
  </si>
  <si>
    <t>State University of New York (SUNY) System; State University of New York (SUNY) Binghamton; GNS Science - New Zealand; Victoria University Wellington; University of Kiel; Imperial College London; Rice University; Central Washington University; University of Nebraska System; University of Nebraska Lincoln; Istituto Nazionale Geofisica e Vulcanologia (INGV); Consejo Superior de Investigaciones Cientificas (CSIC); CSIC - Instituto Andaluz de Ciencias de la Tierra (IACT); Korea Polar Research Institute (KOPRI); Research Organization of Information &amp; Systems (ROIS); National Institute of Polar Research (NIPR) - Japan; Hokkaido University; Utrecht University; Royal Netherlands Institute for Sea Research (NIOZ); Helmholtz Association; Alfred Wegener Institute, Helmholtz Centre for Polar &amp; Marine Research; Istituto Nazionale di Oceanografia e di Geofisica Sperimentale; University of Bristol; University of Otago; University of Salamanca</t>
  </si>
  <si>
    <t>Patterson, MO (corresponding author), SUNY Binghamton, Dept Geol Sci &amp; Environm Studies, Binghamton, NY 13902 USA.</t>
  </si>
  <si>
    <t>patterso@gmail.com</t>
  </si>
  <si>
    <t>Florindo, Fabio/F-4119-2010; Stocchi, Paolo/ACW-1402-2022; Colleoni, Florence/JMQ-7847-2023; Winberry, Paul/HLQ-2673-2023; Jimenez-Espejo, Francisco J/F-4486-2016; Crispini, Laura/C-1177-2013</t>
  </si>
  <si>
    <t>Florindo, Fabio/0000-0002-6058-9748; Colleoni, Florence/0000-0003-4582-812X; Winberry, Paul/0000-0003-1205-0745; Jimenez-Espejo, Francisco J/0000-0002-0335-8580; Crispini, Laura/0000-0001-5770-8569; Patterso, Molly/0000-0002-5058-9269</t>
  </si>
  <si>
    <t>New Zealand Ministry of Business and Innovation and Employment through the Antarctic Science Platform [ANTA1801]; Antarctic Ice Dynamics Project [ASP-021-01]; US NSF [1443552, 2035035, 2034999, 2035138, 2034883]; Office of Polar Programs (OPP); Directorate For Geosciences [1443552] Funding Source: National Science Foundation; NERC [NE/R018219/1, NE/W000172/1, NE/H025162/1] Funding Source: UKRI; Grants-in-Aid for Scientific Research [20H00626] Funding Source: KAKEN</t>
  </si>
  <si>
    <t>New Zealand Ministry of Business and Innovation and Employment through the Antarctic Science Platform; Antarctic Ice Dynamics Project; US NSF(National Science Foundation (NSF)); Office of Polar Programs (OPP); Directorate For Geosciences(National Science Foundation (NSF)NSF - Directorate for Geosciences (GEO));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</si>
  <si>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research has been supported by the New Zealand Ministry of Business and Innovation and Employment through the Antarctic Science Platform contract (ANTA1801) Antarctic Ice Dynamics Project (grant no. ASP-021-01) and the US NSF (grant nos. 1443552, 2035035, 2034999, 2035138, and 2034883).</t>
  </si>
  <si>
    <t>1816-8957</t>
  </si>
  <si>
    <t>1816-3459</t>
  </si>
  <si>
    <t>SCI DRILL</t>
  </si>
  <si>
    <t>Sci. Drill.</t>
  </si>
  <si>
    <t>10.5194/sd-30-101-2022</t>
  </si>
  <si>
    <t>ZK9WS</t>
  </si>
  <si>
    <t>Green Accepted, Green Submitted, gold, Green Published</t>
  </si>
  <si>
    <t>WOS:000763332900001</t>
  </si>
  <si>
    <t>Hansen, N; Simonsen, SB; Boberg, F; Kittel, C; Orr, A; Souverijns, N; Van Wessem, JM; Mottram, R</t>
  </si>
  <si>
    <t>Hansen, Nicolaj; Simonsen, Sebastian B.; Boberg, Fredrik; Kittel, Christoph; Orr, Andrew; Souverijns, Niels; van Wessem, J. Melchior; Mottram, Ruth</t>
  </si>
  <si>
    <t>Brief communication: Impact of common ice mask in surface mass balance estimates over the Antarctic ice sheet</t>
  </si>
  <si>
    <t>REGIONAL CLIMATE MODEL; ELEVATION MODEL</t>
  </si>
  <si>
    <t>Regional climate models compute ice sheet surface mass balance (SMB) over a mask that defines the area covered by glacier ice, but ice masks have not been harmonised between models. Intercomparison studies of modelled SMB therefore use a common ice mask. The SMB in areas outside the common ice mask, which are typically coastal and high-precipitation regions, is discarded. Ice mask differences change integrated SMB by between 40.5 and 140.6 Gt yr(-1) (1.8 % to 6.0 % of ensemble mean SMB), equivalent to the entire Antarctic mass imbalance. We conclude there is a pressing need for a common ice mask protocol.</t>
  </si>
  <si>
    <t>[Hansen, Nicolaj; Boberg, Fredrik; Mottram, Ruth] Danish Meteorol Inst, Copenhagen, Denmark; [Hansen, Nicolaj; Simonsen, Sebastian B.] Tech Univ Denmark, DTU Space, Geodesy &amp; Earth Observat, Lyngby, Denmark; [Kittel, Christoph] Univ Liege, Dept Geog, Lab Climatol, SPHERES, Liege, Belgium; [Orr, Andrew] British Antarctic Survey, Madingley Rd, Cambridge, England; [Souverijns, Niels] Katholieke Univ Leuven, Dept Earth &amp; Environm Sci, Leuven, Belgium; [Souverijns, Niels] Flemish Inst Technol Res VITO, Environm Modelling Unit, Mol, Belgium; [van Wessem, J. Melchior] Univ Utrecht, Inst Marine &amp; Atmospher Res Utrecht, Utrecht, Netherlands</t>
  </si>
  <si>
    <t>Danish Meteorological Institute DMI; Technical University of Denmark; University of Liege; UK Research &amp; Innovation (UKRI); Natural Environment Research Council (NERC); NERC British Antarctic Survey; KU Leuven; VITO; Utrecht University</t>
  </si>
  <si>
    <t>Hansen, N (corresponding author), Danish Meteorol Inst, Copenhagen, Denmark.;Hansen, N (corresponding author), Tech Univ Denmark, DTU Space, Geodesy &amp; Earth Observat, Lyngby, Denmark.</t>
  </si>
  <si>
    <t>nichsen@space.dtu.dk</t>
  </si>
  <si>
    <t>Simonsen, Sebastian Bjerregaard/F-4791-2013; Hansen, Nicolaj/AAP-8709-2021</t>
  </si>
  <si>
    <t>Simonsen, Sebastian Bjerregaard/0000-0001-9569-1294; Hansen, Nicolaj/0000-0002-4448-8891; Souverijns, Niels/0000-0003-4695-9754</t>
  </si>
  <si>
    <t>Danish state through the National Centre for Climate Research; FWO; Flemish Government EWI department</t>
  </si>
  <si>
    <t>Danish state through the National Centre for Climate Research; FWO(FWO); Flemish Government EWI department</t>
  </si>
  <si>
    <t>Ruth Mottram and Fredrik Boberg acknowledge the support of the Danish state through the National Centre for Climate Research (NCKF). The COSMO-CLM2 team uses computational resources and services provided by the Flemish Supercomputer Center, funded by the FWO and the Flemish Government EWI department.</t>
  </si>
  <si>
    <t>10.5194/tc-16-711-2022</t>
  </si>
  <si>
    <t>ZK9QE</t>
  </si>
  <si>
    <t>WOS:000763315800001</t>
  </si>
  <si>
    <t>Salleh, S; Mubin, NAAA; Darif, NAM; Mohammad, M; McMinn, A</t>
  </si>
  <si>
    <t>Salleh, Sazlina; Mubin, Nur Ain Amani Abdul; Darif, Nur Aqilah Muhamad; Mohammad, Mahadi; McMinn, Andrew</t>
  </si>
  <si>
    <t>Effects of elevated pCO2 on the photosynthetic performance of the sea ice diatoms Navicula directa and Navicula glaciei</t>
  </si>
  <si>
    <t>Polar; Microalgae; carbon; Marine; PAM</t>
  </si>
  <si>
    <t>CHLOROPHYLL FLUORESCENCE; OCEAN ACIDIFICATION; PHOTOPHYSIOLOGICAL RESPONSES; MARINE DIATOMS; TEMPERATURE; CO2; GROWTH; PHYTOPLANKTON; MICROALGAE; ALGAE</t>
  </si>
  <si>
    <t>Sea ice algal communities are generally dominated by pennate diatoms, which commonly occur at the ice-water interface and in brine channels. They also make a significant contribution to higher trophic levels associated with sea ice habitats. Here, the photosynthetic responses of two sea ice diatom species, Navicula directa and Navicula glaciei, to changes in pCO(2) under controlled laboratory conditions were compared. pCO(2) (390 ppm and 750 ppm) was manipulated to simulate a shift from present levels (1990) to predicted IPCC year 2100 worst-case scenario levels. To investigate these effects, a pulse-amplitude modulation (PAM) fluorometer was used to measure the photosynthetic performance. The ability of the sea ice algae to grow and photosynthesize within physio-chemical gradients in the sea ice suggests that both sea ice species are likely to be well adapted to cope with changes in pCO(2) concentrations. Lower pH and higher pCO(2) for 7 days resulted in increased biomass, especially for N. directa. However, a decline in photosynthetic capacity (rETR(max)) was observed for both species (highest value 11.375 +/- 0.163, control; and 8.322 +/- 1.282, treatment). Navicula glaciei showed significant effects of elevated pCO(2) (p &lt; 0.05) on its photosynthetic response, while N. directa did not. Future changes in CO2 and pH may thus not significantly affect all diatoms but may lead to changes in the photosynthetic activities in some species.</t>
  </si>
  <si>
    <t>[Salleh, Sazlina; Mubin, Nur Ain Amani Abdul] Univ Sains Malaysia, Ctr Policy Res &amp; Int Studies CenPRIS, Minden 11800, Pulau Pinang, Malaysia; [Salleh, Sazlina; Darif, Nur Aqilah Muhamad; Mohammad, Mahadi] Univ Sains Malaysia, Ctr Marine &amp; Coastal Studies CEMACS, Minden 11800, Pulau Pinang, Malaysia; [Mohammad, Mahadi] Univ Sains Malaysia, Sch Biol Sci, Minden 11800, Pulau Pinang, Malaysia; [McMinn, Andrew] Univ Tasmania, Inst Marine &amp; Antarctic Studies IMAS, Private Bag 129, Hobart, Tas 7001, Australia; [McMinn, Andrew] Ocean Univ China, Coll Marine Life Sci, Yushan Rd 5, Qingdao 266003, Peoples R China</t>
  </si>
  <si>
    <t>Universiti Sains Malaysia; Universiti Sains Malaysia; Universiti Sains Malaysia; University of Tasmania; Ocean University of China</t>
  </si>
  <si>
    <t>Salleh, S (corresponding author), Univ Sains Malaysia, Ctr Policy Res &amp; Int Studies CenPRIS, Minden 11800, Pulau Pinang, Malaysia.;Salleh, S (corresponding author), Univ Sains Malaysia, Ctr Marine &amp; Coastal Studies CEMACS, Minden 11800, Pulau Pinang, Malaysia.</t>
  </si>
  <si>
    <t>sazlina@usm.my</t>
  </si>
  <si>
    <t>Salleh, Sazlina/I-1150-2012</t>
  </si>
  <si>
    <t>Salleh, Sazlina/0000-0002-8789-3387</t>
  </si>
  <si>
    <t>Yayasan Penyelidikan Sultan Mizan (YPASM) Fellowship Program, MOSTI Flagship Grant [304/CDASAR/650724/P131]; USM Research Grant [1001/PBIOLOGI/8011062, 1001/CDASAR/8011046]</t>
  </si>
  <si>
    <t>Yayasan Penyelidikan Sultan Mizan (YPASM) Fellowship Program, MOSTI Flagship Grant; USM Research Grant</t>
  </si>
  <si>
    <t>This research was supported by Yayasan Penyelidikan Sultan Mizan (YPASM) Fellowship Program, MOSTI Flagship Grant (304/CDASAR/650724/P131), and USM Research Grant (1001/PBIOLOGI/8011062 and 1001/CDASAR/8011046).</t>
  </si>
  <si>
    <t>10.1007/s10811-022-02709-y</t>
  </si>
  <si>
    <t>WOS:000761141300004</t>
  </si>
  <si>
    <t>Clarke, A; Peat, HJ</t>
  </si>
  <si>
    <t>Clarke, Andrew; Peat, Helen J.</t>
  </si>
  <si>
    <t>Seasonal and interannual variability of feeding in Antarctic benthos</t>
  </si>
  <si>
    <t>NORTHERN MARGUERITE BAY; CLIMATE-CHANGE; GROWTH; ECOLOGY; PHYTOPLANKTON; CHLOROPHYLL; COMMUNITIES; TEMPERATURE; PHYSIOLOGY; PENINSULA</t>
  </si>
  <si>
    <t>The seasonal and interannual variability of feeding in 15 species of benthic marine suspension feeder was studied over 8 yr at Ryder Bay, Antarctica. Feeding was strongly seasonal in bryozoans, gorgonians, polychaetes, and dendrochirote holothurians. The winter non-feeding period was longest in the holothurians and shortest in bryozoans. Bryozoans started feeding in late winter at very low chlorophyll concentrations, often when surface fast-ice was still present. In hydroids and actinians, feeding tentacles were deployed continuously throughout the year, though hydroid feeding intensity declined slightly in late winter. Water column phytoplankton biomass was strongly seasonal with marked interannual variability in the timing and intensity of the bloom, driven principally by ice dynamics. Correlation across years between the start of feeding and the development of the bloom was poor, and in seasons when a dense spring bloom of benthic filamentous microalgae developed, the start of feeding in many benthic species was delayed. This study indicates that feeding in benthic marine suspension feeders in Antarctica is influenced by factors additional to the seasonal availability of food in the water column.</t>
  </si>
  <si>
    <t>[Clarke, Andrew; Peat, Helen J.] British Antarctic Survey, Cambridge, England</t>
  </si>
  <si>
    <t>Clarke, A (corresponding author), British Antarctic Survey, Cambridge, England.</t>
  </si>
  <si>
    <t>accl@bas.ac.uk</t>
  </si>
  <si>
    <t>Peat, Helen J/E-9666-2015</t>
  </si>
  <si>
    <t>Peat, Helen/0000-0003-2017-8597; Clarke, Andrew/0000-0002-7582-3074</t>
  </si>
  <si>
    <t>10.1002/lno.12048</t>
  </si>
  <si>
    <t>WOS:000761241900001</t>
  </si>
  <si>
    <t>Whomersley, P; Bell, J; Clingham, E; Collins, MA; Feary, DA; Stockill, J; Weber, S; Yates, O; Bamford, K</t>
  </si>
  <si>
    <t>Whomersley, Paul; Bell, James; Clingham, Elizabeth; Collins, Martin A.; Feary, David A.; Stockill, Joanna; Weber, Sam; Yates, Oliver; Bamford, Kylie</t>
  </si>
  <si>
    <t>Editorial: Working Towards a Blue Future: Promoting Sustainability, Environmental Protection and Marine Management: Examples from the UK Government Blue Belt Programme and Current International Initiatives</t>
  </si>
  <si>
    <t>MPA (Marine Protected Area); policy; sustainable management; operational science; evidence informed decision making</t>
  </si>
  <si>
    <t>AREAS</t>
  </si>
  <si>
    <t>[Whomersley, Paul; Bell, James] Ctr Environm Fisheries &amp; Aquaculture Sci, Lowestoft, Suffolk, England; [Clingham, Elizabeth] St Helena Govt, Jamestown, St Helena; [Collins, Martin A.] British Antarctic Survey, Nat Environm Res Council, Cambridge, England; [Feary, David A.] Marine Resources Assessment Grp UK Ltd, London, England; [Stockill, Joanna] Marine Management Org, Newcastle Upon Tyne, Tyne &amp; Wear, England; [Weber, Sam] Univ Exeter, Ctr Ecol &amp; Conservat, Penryn, England; [Yates, Oliver] Royal Soc Protect Birds, Sandy, Beds, England; [Bamford, Kylie] Foreign Commonwealth &amp; Dev Off, London, England</t>
  </si>
  <si>
    <t>Centre for Environment Fisheries &amp; Aquaculture Science; UK Research &amp; Innovation (UKRI); Natural Environment Research Council (NERC); NERC British Antarctic Survey; University of Exeter; Royal Society for Protection of Birds</t>
  </si>
  <si>
    <t>Whomersley, P (corresponding author), Ctr Environm Fisheries &amp; Aquaculture Sci, Lowestoft, Suffolk, England.</t>
  </si>
  <si>
    <t>paul.whomersley@cefas.co.uk</t>
  </si>
  <si>
    <t>, Martin/ABE-6728-2020; Feary, David/ABE-6273-2020</t>
  </si>
  <si>
    <t>, Martin/0000-0001-7132-8650;</t>
  </si>
  <si>
    <t>UK Government Blue Belt Programme</t>
  </si>
  <si>
    <t>Thank you to all the authors that have contributed to this Research Topic and the editors and reviewers who have dedicated their time to ensuring the high quality of contributions. Thank you also to the UK Government Blue Belt Programme for funding this initiative.</t>
  </si>
  <si>
    <t>FEB 24</t>
  </si>
  <si>
    <t>10.3389/fmars.2022.861632</t>
  </si>
  <si>
    <t>ZX7JQ</t>
  </si>
  <si>
    <t>WOS:000772070600001</t>
  </si>
  <si>
    <t>Liu, JF; Du, ZH; Zhang, DQ; Wang, SM</t>
  </si>
  <si>
    <t>Liu, Jingfeng; Du, Zhiheng; Zhang, Dongqi; Wang, Shimeng</t>
  </si>
  <si>
    <t>Diagnoses of Antarctic Inland Water Cycle Regime: Perspectives From Atmospheric Water Vapor Isotope Observations Along the Transect From Zhongshan Station to Dome A</t>
  </si>
  <si>
    <t>atmospheric water vapor isotope; Antarctic; Dome Argus; Brewer-Dobson circulation; water cycle</t>
  </si>
  <si>
    <t>SURFACE SNOW; EAST ANTARCTICA; ACCUMULATION; TRAVERSE; ORIGIN; SIGNAL; SCALE; FIELD</t>
  </si>
  <si>
    <t>Water stable isotopes are crucial for paleoclimate reconstruction and water cycle tracing in Antarctica. Accurate measurement of atmospheric water vapor isotopic composition of hydrogen and oxygen is required urgently for understanding the processes controlling the atmosphere-snow interaction and associated isotope fractionation. This study presents in situ real-time measurements of water vapor isotopes along the transect from Zhongshan Station to Dome Argus (hereafter Dome A) in East Antarctica for the first time. The results reveal that the surface vapor stable isotopes of delta O-18 and delta D showed a gradual decreasing trend in the interior plateau region with the distance away from the coast, with significant delta O-18-temperature correlation gradient of 1.61 parts per thousand degrees/C and delta O-18-altitude gradient of -2.13 parts per thousand/100 m. Meanwhile, d-excess gradually arises with elevation rise. Moreover, the spatial variation of vapor isotopic composition displays three different characters implying different atmosphere circulation backgrounds controlling the inland water cycle; it can be divided as the coastal steep area below 2,000 m, a vast inland area with an elevation varied between 2,000 and 3,000 m, and high central plateau. Thirdly, observed high inland Antarctica water vapor d-excess quantitatively confirms stratosphere air intrusion and vapor derived from low latitudes by Brewer-Dobson circulation. Finally, the diurnal cycle signals of interior area water vapor isotopes delta O-18, delta D, and air temperature highlighted the substantial domination of the supersaturation sublimation/condensation effect in inland, and this suggests that fractionation occurs during sublimation and vapor-snow exchanges should no longer be considered insignificant for the isotopic composition of near-surface snow in Antarctica.</t>
  </si>
  <si>
    <t>[Liu, Jingfeng] Northwest Normal Univ, Coll Geog &amp; Environm Sci, Lanzhou, Peoples R China; [Liu, Jingfeng] Peking Univ, Coll Urban &amp; Environm Sci, Beijing, Peoples R China; [Du, Zhiheng; Wang, Shimeng] Chinese Acad Sci, Northwest Inst EcoEnvironm &amp; Resources, State Key Lab Cryospher Sci, Lanzhou, Peoples R China; [Zhang, Dongqi] Chinese Acad Meteorol Sci, Beijing, Peoples R China</t>
  </si>
  <si>
    <t>Northwest Normal University - China; Peking University; Chinese Academy of Sciences; China Meteorological Administration; Chinese Academy of Meteorological Sciences (CAMS)</t>
  </si>
  <si>
    <t>Liu, JF (corresponding author), Northwest Normal Univ, Coll Geog &amp; Environm Sci, Lanzhou, Peoples R China.;Liu, JF (corresponding author), Peking Univ, Coll Urban &amp; Environm Sci, Beijing, Peoples R China.</t>
  </si>
  <si>
    <t>liujingfeng@pku.edu.cn</t>
  </si>
  <si>
    <t>National Science Foundation of China [41801054, 41771064, 42071086]; Basic Research Fund of the Chinese Academy of Meteorological Sciences [2021Y021, 2021Z006]</t>
  </si>
  <si>
    <t>National Science Foundation of China(National Natural Science Foundation of China (NSFC)); Basic Research Fund of the Chinese Academy of Meteorological Sciences</t>
  </si>
  <si>
    <t>This study is supported by the National Science Foundation of China (41801054, 41771064, and 42071086) and the Basic Research Fund of the Chinese Academy of Meteorological Sciences (Grant Nos. 2021Y021 and 2021Z006).</t>
  </si>
  <si>
    <t>10.3389/feart.2022.823515</t>
  </si>
  <si>
    <t>ZR8IE</t>
  </si>
  <si>
    <t>WOS:000768020700001</t>
  </si>
  <si>
    <t>Styczynski, M; Biegniewski, G; Decewicz, P; Rewerski, B; Debiec-Andrzejewska, K; Dziewit, L</t>
  </si>
  <si>
    <t>Styczynski, Michal; Biegniewski, Gabriel; Decewicz, Przemyslaw; Rewerski, Bartosz; Debiec-Andrzejewska, Klaudia; Dziewit, Lukasz</t>
  </si>
  <si>
    <t>Application of Psychrotolerant Antarctic Bacteria and Their Metabolites as Efficient Plant Growth Promoting Agents</t>
  </si>
  <si>
    <t>FRONTIERS IN BIOENGINEERING AND BIOTECHNOLOGY</t>
  </si>
  <si>
    <t>Antarctica; biosurfactant; plant growth promoting bacteria; psychrotolerant bacteria; siderophore</t>
  </si>
  <si>
    <t>BACILLUS-SUBTILIS; PSEUDOMONAS-SYRINGAE; SYSTEMIC RESISTANCE; IRON; SIDEROPHORE; SOIL; STRAINS; GENOME; BIOSURFACTANTS; ANNOTATION</t>
  </si>
  <si>
    <t>Iron is the fourth most abundant element on earth. However, its low bioavailability is a key plant-growth limiting factor. Bacteria play an important role in plant growth promotion since they produce specific secondary metabolites that may increase macro- and micronutrient accessibility in soil. Therefore, bacterial-derived iron chelators, as well as surface-active compounds, are recognised as essential to plant welfare. In this study, three cold-active Antarctic bacterial strains, i.e. Pseudomonas sp. ANT_H12B, Psychrobacter sp. ANT_H59 and Bacillus sp. ANT_WA51, were analysed. The physiological and genomic characterisation of these strains revealed their potential for plant growth promotion, reflected in the production of various biomolecules, including biosurfactants (that may lower the medium surface tension of even up to 53%) and siderophores (including ANT_H12B-produced mixed-type siderophore that demonstrated the highest production, reaching the concentration of up to 1.065 mM), increasing the availability of nutrients in the environment and neutralising fungal pathogens. Tested bacteria demonstrated an ability to promote the growth of a model plant, alfalfa, increasing shoots' length and fresh biomass even up to 26 and 46% respectively; while their metabolites increased the bioavailability of iron in soil up to 40%. It was also revealed that the introduced strains did not disrupt physicochemical conditions and indigenous soil microbial composition, which suggests that they are promising amendments preserving the natural biodiversity of soil and increasing its fertility.</t>
  </si>
  <si>
    <t>[Styczynski, Michal; Biegniewski, Gabriel; Decewicz, Przemyslaw; Debiec-Andrzejewska, Klaudia; Dziewit, Lukasz] Univ Warsaw, Inst Microbiol, Dept Environm Microbiol &amp; Biotechnol, Fac Biol, Warsaw, Poland; [Rewerski, Bartosz] Univ Warsaw, Inst Microbiol, Dept Geomicrobiol, Fac Biol, Warsaw, Poland</t>
  </si>
  <si>
    <t>University of Warsaw; University of Warsaw</t>
  </si>
  <si>
    <t>Dziewit, L (corresponding author), Univ Warsaw, Inst Microbiol, Dept Environm Microbiol &amp; Biotechnol, Fac Biol, Warsaw, Poland.</t>
  </si>
  <si>
    <t>ldziewit@biol.uw.edu.pl</t>
  </si>
  <si>
    <t>Decewicz, Przemyslaw/ABE-4554-2020; Dziewit, Lukasz/L-1131-2016; Debiec-Andrzejewska, Klaudia/M-4394-2017</t>
  </si>
  <si>
    <t>Decewicz, Przemyslaw/0000-0002-5621-7124; Dziewit, Lukasz/0000-0002-5057-2811; Rewerski, Bartosz/0000-0002-7324-2356; Debiec-Andrzejewska, Klaudia/0000-0002-3214-0732</t>
  </si>
  <si>
    <t>2296-4185</t>
  </si>
  <si>
    <t>FRONT BIOENG BIOTECH</t>
  </si>
  <si>
    <t>Front. Bioeng. Biotechnol.</t>
  </si>
  <si>
    <t>10.3389/fbioe.2022.772891</t>
  </si>
  <si>
    <t>Biotechnology &amp; Applied Microbiology; Engineering, Biomedical</t>
  </si>
  <si>
    <t>Biotechnology &amp; Applied Microbiology; Engineering</t>
  </si>
  <si>
    <t>ZQ1VU</t>
  </si>
  <si>
    <t>WOS:000766900700001</t>
  </si>
  <si>
    <t>Sohail, T; Zika, JD; Irving, DB; Church, JA</t>
  </si>
  <si>
    <t>Sohail, Taimoor; Zika, Jan D.; Irving, Damien B.; Church, John A.</t>
  </si>
  <si>
    <t>Observed poleward freshwater transport since 1970</t>
  </si>
  <si>
    <t>OBJECTIVE ANALYSES; OCEAN; TEMPERATURE; CYCLE; VARIABLES</t>
  </si>
  <si>
    <t>Warming-induced global water cycle changes pose a significant challenge to global ecosystems and human society. However, quantifying historical water cycle change is difficult owing to a dearth of direct observations, particularly over the ocean, where 77% and 85% of global precipitation and evaporation occur, respectively(1-3). Air-sea fluxes of freshwater imprint on ocean salinity such that mean salinity is lowest in the warmest and coldest parts of the ocean, and is highest at intermediate temperatures(4). Here we track salinity trends in the warm, salty fraction of the ocean, and quantify the observed net poleward transport of freshwater in the Earth system from 1970 to 2014. Over this period, poleward freshwater transport from warm to cold ocean regions has occurred at a rate of 34-62 milli-sverdrups (mSv = 10(3) m(3) s(-1)), a rate that is not replicated in the current generation of climate models (the Climate Model Intercomparison Project Phase 6 (CMIP6)). In CMIP6 models, surface freshwater flux intensification in warm ocean regions leads to an approximately equivalent change in ocean freshwater content, with little impact from ocean mixing and circulation. Should this partition of processes hold for the real world, the implication is that the historical surface flux amplification is weaker (0.3-4.6%) in CMIP6 compared with observations (3.0-7.4%). These results establish a historical constraint on poleward freshwater transport that will assist in addressing biases in climate models.</t>
  </si>
  <si>
    <t>[Sohail, Taimoor; Zika, Jan D.] Univ New South Wales, Sch Math &amp; Stat, Sydney, NSW, Australia; [Zika, Jan D.] Univ New South Wales, UNSW Data Sci Hub, Sydney, NSW, Australia; [Zika, Jan D.; Church, John A.] Univ New South Wales, Austrarian Ctr Excellence Antarctic Sci ACEAS, Sydney, NSW, Australia; [Irving, Damien B.; Church, John A.] CSIRO, Climate Sci Ctr, Hobart, Tas, Australia; [Irving, Damien B.] Univ New South Wales, Climate Change Res Ctr, Sydney, NSW, Australia</t>
  </si>
  <si>
    <t>University of New South Wales Sydney; University of New South Wales Sydney; University of New South Wales Sydney; Commonwealth Scientific &amp; Industrial Research Organisation (CSIRO); University of New South Wales Sydney</t>
  </si>
  <si>
    <t>Sohail, T (corresponding author), Univ New South Wales, Sch Math &amp; Stat, Sydney, NSW, Australia.</t>
  </si>
  <si>
    <t>t.sohail@unsw.edu.au</t>
  </si>
  <si>
    <t>Irving, Damien/A-1479-2012; Sohail, Taimoor/T-3785-2018; Church, John A/A-1541-2012</t>
  </si>
  <si>
    <t>Irving, Damien/0000-0003-1258-5002; Church, John A/0000-0002-7037-8194; Sohail, Taimoor/0000-0002-4162-3269; Zika, Jan/0000-0003-3462-3559</t>
  </si>
  <si>
    <t>Australian Government; Australian Research Council Centre of Excellence for Climate Extremes; Centre for Southern Hemisphere Oceans Research; Australian Research Council Discovery Project scheme [DP190101173]</t>
  </si>
  <si>
    <t>Australian Government(Australian Government); Australian Research Council Centre of Excellence for Climate Extremes(Australian Research Council); Centre for Southern Hemisphere Oceans Research(Commonwealth Scientific &amp; Industrial Research Organisation (CSIRO)); Australian Research Council Discovery Project scheme(Australian Research Council)</t>
  </si>
  <si>
    <t>We acknowledge the World Climate Research Programme, the CMIP6 and DAMIP climate modelling groups, the ESGF and the funding agencies supporting CMIP6, DAMIP and ESGF. Modelling and analysis were undertaken with National Computational Infrastructure facilities, supported by the Australian Government. This work is supported by the Australian Research Council Centre of Excellence for Climate Extremes, the Centre for Southern Hemisphere Oceans Research (a joint research centre between the Qingdao National Laboratory for Marine Science and Technology and CSIRO) and the Australian Research Council Discovery Project scheme (DP190101173). We appreciate feedback from L. Zhang, which served to greatly sharpen the focus and direction of this work.</t>
  </si>
  <si>
    <t>10.1038/s41586-021-04370-w</t>
  </si>
  <si>
    <t>ZG7GF</t>
  </si>
  <si>
    <t>WOS:000760423100013</t>
  </si>
  <si>
    <t>Piepenburg, D; Lo Giudice, A; Mataloni, G; Wienecke, B; Hoye, TT; La Mesa, M; Reisinger, R; Sukhotin, A; Mutze, H</t>
  </si>
  <si>
    <t>Piepenburg, Dieter; Lo Giudice, Angelina; Mataloni, Gabriela; Wienecke, Barbara; Hoye, Toke Thomas; La Mesa, Mario; Reisinger, Ryan; Sukhotin, Alexey; Mutze, Henrike</t>
  </si>
  <si>
    <t>Understanding the biology of polar regions is more important than ever: Introducing associate editors to strengthen polar biology</t>
  </si>
  <si>
    <t>[Piepenburg, Dieter] Helmholtz Ctr Polar &amp; Marine Res, Alfred Wegener Inst, Bremerhaven, Germany; [Lo Giudice, Angelina] Natl Res Council CNR ISP, Inst Polar Sci, Messina, Italy; [Mataloni, Gabriela] Univ Nacl Gral San Martin, Buenos Aires, DF, Argentina; [Wienecke, Barbara] Australian Antarctic Div, Dept Agr Water &amp; Environm, Kingston, Australia; [Hoye, Toke Thomas] Aarhus Univ, Dept Ecosci, Aarhus, Denmark; [La Mesa, Mario] Natl Res Council CNR ISP, Inst Polar Sci, Bologna, Italy; [Reisinger, Ryan] Univ Southampton, Sch Ocean &amp; Earth Sci, Southampton, Hants, England; [Sukhotin, Alexey] Russian Acad Sci, Zool Inst, St Petersburg, Russia; [Piepenburg, Dieter; Mutze, Henrike] Univ Kiel, Inst Ecosyst Res, Kiel, Germany</t>
  </si>
  <si>
    <t>Helmholtz Association; Alfred Wegener Institute, Helmholtz Centre for Polar &amp; Marine Research; Consiglio Nazionale delle Ricerche (CNR); Istituto di Scienze Polari (ISP-CNR); Australian Antarctic Division; Aarhus University; Consiglio Nazionale delle Ricerche (CNR); Istituto di Scienze Polari (ISP-CNR); NERC National Oceanography Centre; University of Southampton; Russian Academy of Sciences; Zoological Institute of the Russian Academy of Sciences; University of Kiel</t>
  </si>
  <si>
    <t>Piepenburg, D (corresponding author), Helmholtz Ctr Polar &amp; Marine Res, Alfred Wegener Inst, Bremerhaven, Germany.;Piepenburg, D (corresponding author), Univ Kiel, Inst Ecosyst Res, Kiel, Germany.</t>
  </si>
  <si>
    <t>Editor.Polar.Biology@awi.de</t>
  </si>
  <si>
    <t>Hoye, Toke T./A-7701-2008; Reisinger, Ryan/D-6151-2014</t>
  </si>
  <si>
    <t>Hoye, Toke T./0000-0001-5387-3284; Reisinger, Ryan/0000-0002-8933-6875</t>
  </si>
  <si>
    <t>10.1007/s00300-022-03026-3</t>
  </si>
  <si>
    <t>Green Accepted, Bronze</t>
  </si>
  <si>
    <t>WOS:000761839500001</t>
  </si>
  <si>
    <t>Kakareka, S; Salivonchyk, S</t>
  </si>
  <si>
    <t>Kakareka, Sergey; Salivonchyk, Sviatlana</t>
  </si>
  <si>
    <t>Retrospective modelling of air pollution due to the operation of scientific stations in Antarctica: an experience of reanalysis</t>
  </si>
  <si>
    <t>Antarctic stations; diesel generators; dispersion modelling; emission; Enderby Land</t>
  </si>
  <si>
    <t>This article is devoted to the assessment of trends of atmospheric air pollution and atmospheric impacts on the environment in the oases of the Thala Hills, Enderby Land, East Antarctica. Estimates of annual emissions of SO2, nitrogen oxides (NOx), inhalable particulate matter with a diameter of &lt;= 10 mu m (PM10) and CO and their dynamics over 56 years of Thala Hills exploration are given, as well as levels of surface air concentrations of SO2, NOx, PM10 and PM10 atmospheric depositions using air dispersion modelling. It is shown, in particular, that average annual emissions of NOx, PM10 and CO peaked in the early 1990s and have decreased 30.9 times by now. Sulphur dioxide emissions were highest in the late 1960s-late 1970s and decreased 270 times since then. Results of comparisons of modelled air concentrations and depositions with the available data on the measurement of surface air pollutant concentrations and atmospheric depositions are presented. Sources of uncertainties in the estimates of emissions, ground-level concentrations and depositions are described. Proposed approaches can be used to assess the cumulative impacts of ongoing and planned activities on atmospheric air and on other components of the environment through assessing the atmospheric air in the Antarctic Treaty area.</t>
  </si>
  <si>
    <t>[Kakareka, Sergey; Salivonchyk, Sviatlana] Natl Acad Sci Belarus, Inst Nat Management, Skoriny Str 10, Minsk 220076, BELARUS</t>
  </si>
  <si>
    <t>National Academy of Sciences of Belarus (NASB); Institute for Nature Management of the National Academy of Sciences of Belarus</t>
  </si>
  <si>
    <t>Kakareka, S (corresponding author), Natl Acad Sci Belarus, Inst Nat Management, Skoriny Str 10, Minsk 220076, BELARUS.</t>
  </si>
  <si>
    <t>sk001@yandex.ru</t>
  </si>
  <si>
    <t>Kakareka, Sergey/0000-0002-4267-0948</t>
  </si>
  <si>
    <t>State Program's project 'Monitoring of the Earth Polar Regions, Creation of the Belarusian Antarctic Station and Support of the Polar Expeditions for 2016-2020' [20163266]</t>
  </si>
  <si>
    <t>State Program's project 'Monitoring of the Earth Polar Regions, Creation of the Belarusian Antarctic Station and Support of the Polar Expeditions for 2016-2020'</t>
  </si>
  <si>
    <t>This article was prepared based on the results obtained in the framework of the State Program's project 'Monitoring of the Earth Polar Regions, Creation of the Belarusian Antarctic Station and Support of the Polar Expeditions for 2016-2020' (project registration number 20163266). The authors appreciate consultation support from the members of Russian and Belarusian Antarctic expeditions and constructive comments on this article made by reviewers.</t>
  </si>
  <si>
    <t>PII S0954102021000547</t>
  </si>
  <si>
    <t>10.1017/S0954102021000547</t>
  </si>
  <si>
    <t>ZT8TE</t>
  </si>
  <si>
    <t>WOS:000761202300001</t>
  </si>
  <si>
    <t>He, CY; Feng, JJ; Su, J; Zhang, T; Yu, LY</t>
  </si>
  <si>
    <t>He, Chenyang; Feng, Jianju; Su, Jing; Zhang, Tao; Yu, Liyan</t>
  </si>
  <si>
    <t>Application of Matrix-Assisted Laser Desorption/Ionization Time-of-Flight Mass Spectrometry for the Rapid Identification of Yeast Species From Polar Regions</t>
  </si>
  <si>
    <t>yeasts; Arctic; Antarctic; MALDI-TOF MS; identification</t>
  </si>
  <si>
    <t>DESORPTION IONIZATION-TIME; MALDI-TOF MS; DIVERSITY; BACTERIA</t>
  </si>
  <si>
    <t>Protein profiling based on matrix-assisted laser desorption/ionization time-of-flight (MALDI-TOF) mass spectrometry (MS) has proved to be a powerful tool for yeast identification. However, it is rarely used in the identification of yeast isolates from polar regions, which may be due to the limited data available for the differentiation of polar yeast species. The present study constructed a supplementary database of MALDI-TOF MS, including 33 yeast species from the Arctic and Antarctica. These yeast species were used to assess the accuracy and practicality of MALDI-TOF MS-based identification compared to the ribosomal DNA [internal transcribed spacer (ITS) and large subunit (LSU) gene regions] sequencing identification. Their dendrogram based on main spectra profiles (MSPs) in the supplementary database was somewhat consistent with their phylogenetic tree. The accuracy of MALDI-TOF MS identification was also compared by the ethanol-formic acid extraction method and the on-plate extraction method. In addition, peptide markers of some yeast species (e.g., Glaciozyma, Phenoliferia, Mrakia, and Vishniacozyma) were identified. It is concluded that the MALDI-TOF MS method can differentiate some closely related yeast species from polar regions, thus is suitable for the identification of polar yeasts.</t>
  </si>
  <si>
    <t>[He, Chenyang; Feng, Jianju; Su, Jing; Zhang, Tao; Yu, Liyan] Chinese Acad Med Sci &amp; Peking Union Med Coll, Inst Med Biotechnol, China Pharmaceut Culture Collect, Beijing, Peoples R China</t>
  </si>
  <si>
    <t>Chinese Academy of Medical Sciences - Peking Union Medical College; Peking Union Medical College</t>
  </si>
  <si>
    <t>Zhang, T; Yu, LY (corresponding author), Chinese Acad Med Sci &amp; Peking Union Med Coll, Inst Med Biotechnol, China Pharmaceut Culture Collect, Beijing, Peoples R China.</t>
  </si>
  <si>
    <t>zhangt@cpcc.ac.cn; yly@cpcc.ac.cn</t>
  </si>
  <si>
    <t>yu, liyan/GYD-2950-2022</t>
  </si>
  <si>
    <t>yu, liyan/0000-0002-8861-9806</t>
  </si>
  <si>
    <t>National Natural Science Foundation of China (NSFC) [31670025]; CAMS Innovation Fund for Medical Sciences [2021-I2M-1-055]; Projects of the Chinese Arctic and Antarctic Administration, State Oceanic Administration; National Microbial Resource Center [NMRC-2021-3]</t>
  </si>
  <si>
    <t>National Natural Science Foundation of China (NSFC)(National Natural Science Foundation of China (NSFC)); CAMS Innovation Fund for Medical Sciences; Projects of the Chinese Arctic and Antarctic Administration, State Oceanic Administration; National Microbial Resource Center</t>
  </si>
  <si>
    <t>This research was supported by National Natural Science Foundation of China (NSFC; Grant no. 31670025); CAMS Innovation Fund for Medical Sciences (Grant no. 2021-I2M-1-055); Projects of the Chinese Arctic and Antarctic Administration, State Oceanic Administration; and National Microbial Resource Center (Grant no. NMRC-2021-3).</t>
  </si>
  <si>
    <t>FEB 23</t>
  </si>
  <si>
    <t>10.3389/fmicb.2022.832893</t>
  </si>
  <si>
    <t>1L0OC</t>
  </si>
  <si>
    <t>WOS:000798991300001</t>
  </si>
  <si>
    <t>Garelick, S; Russell, J; Richards, A; Smith, J; Kelly, M; Anderson, N; Jackson, MS; Doughty, A; Nakileza, B; Ivory, S; Dee, S; Marshall, C</t>
  </si>
  <si>
    <t>Garelick, Sloane; Russell, James; Richards, Adin; Smith, Jamila; Kelly, Meredith; Anderson, Nathan; Jackson, Margaret S.; Doughty, Alice; Nakileza, Bob; Ivory, Sarah; Dee, Sylvia; Marshall, Charlie</t>
  </si>
  <si>
    <t>The dynamics of warming during the last deglaciation in high-elevation regions of Eastern Equatorial Africa</t>
  </si>
  <si>
    <t>East africa; Tropical lapse rate; Temperature; Mountain glaciers; Last glacial maximum; Holocene; Paleoclimatology; Organic geochemistry</t>
  </si>
  <si>
    <t>DIALKYL GLYCEROL TETRAETHERS; GLACIAL MAXIMUM; RWENZORI MOUNTAINS; TROPICAL SNOWLINES; CLIMATE; TEMPERATURE; SOILS; PROXY; AGE; DISTRIBUTIONS</t>
  </si>
  <si>
    <t>Tropical mountain environments, such as the Rwenzori Mountains in equatorial Africa, are thought to be particularly sensitive to climate change. Ongoing warming in the Rwenzori is impacting local environments and communities through glacial retreat, fires, and flooding. Paleoclimate reconstructions from elsewhere in Africa suggest considerable warming accompanied glacier retreat during the last glacial termination, from similar to 21 thousand years before present (ka) through the early to mid-Holocene. Quantifying these changes has been difficult but could help to assess future impacts in the Rwenzori. Here, we present a similar to 21 thousand-year (kyr) temperature reconstruction based on the relative abundance of branched glycerol dialkyl glycerol tetraethers (brGDGTs) from Lake Mahoma (2,990 m above sea level; m asl) in the Rwenzori Mountains, Uganda. Our record, paired with existing Rwenzori glacial moraine Be-10 exposure ages, suggests that deglacial warming and glacial retreat began by similar to 20 ka and accelerated at similar to 18-18.5 ka. The timing of the onset of rapid warming matches the timing of the post-glacial rise in radiative forcing from atmospheric greenhouse gases (GHGs) from Antarctic ice cores (Brook et al., 1996; Marcott et al., 2014; Monnin et al., 2004; Schilt et al., 2010). Our temperature reconstruction registers similar to 4.9 degrees C warming from the Last Glacial Maximum (LGM) to the late Holocene. This increase is larger than the average similar to 2-4 degrees C warming observed in records from lower elevation sites in tropical East Africa, but similar to that observed at other high-elevation sites in this region. The increased warming at higher elevations thus confirms that the temperature lapse rate steepened during the LGM over this region. Our results also indicate similar to 3 degrees C of warming during the mid-Holocene relative to the late Holocene. This suggests that the freezing-level height rose above Rwenzori summit elevations at that time, likely causing complete deglaciation of the Rwenzori Mountains from similar to 5 to 7 ka. The mid-Holocene is thus a potential analog for the glacial and environmental changes that these mountains are likely to experience in the coming decades. Overall, the timing and magnitude of temperature change observed in our record has important implications for climate model projections of future warming in tropical Africa. (C) 2022 Elsevier Ltd. All rights reserved.</t>
  </si>
  <si>
    <t>[Garelick, Sloane; Russell, James; Richards, Adin; Smith, Jamila] Brown Univ, Dept Earth Environm &amp; Planetary Sci, Providence, RI 02912 USA; [Smith, Jamila] State Univ New York Fredonia, Fredonia, NY 14063 USA; [Kelly, Meredith; Anderson, Nathan; Jackson, Margaret S.] Dartmouth Coll, Dept Earth Sci, Hanover, NH 03755 USA; [Jackson, Margaret S.] Trinity Coll Dublin, Sch Nat Sci, Geog, Dublin, Ireland; [Doughty, Alice] Univ Maine, Sch Earth &amp; Climate Sci, Orono, ME USA; [Nakileza, Bob] Makerere Univ, Mt Resource Ctr, Kampala, Uganda; [Ivory, Sarah] Penn State Univ, Dept Geosci, State Coll, PA USA; [Ivory, Sarah] Penn State Univ, Earth &amp; Environm Syst Inst, State Coll, PA USA; [Dee, Sylvia; Marshall, Charlie] Rice Univ, Dept Earth Environm &amp; Planetary Sci, Houston, TX USA</t>
  </si>
  <si>
    <t>Brown University; State University of New York (SUNY) System; SUNY Fredonia; Dartmouth College; Trinity College Dublin; University of Maine System; University of Maine Orono; Makerere University; Pennsylvania Commonwealth System of Higher Education (PCSHE); Pennsylvania State University; Pennsylvania Commonwealth System of Higher Education (PCSHE); Pennsylvania State University; Rice University</t>
  </si>
  <si>
    <t>Garelick, S (corresponding author), Brown Univ, Dept Earth Environm &amp; Planetary Sci, Providence, RI 02912 USA.</t>
  </si>
  <si>
    <t>sloane_garelick@brown.edu</t>
  </si>
  <si>
    <t>Jackson, Margaret/0000-0001-7613-752X; Dee, Sylvia/0000-0002-2140-785X</t>
  </si>
  <si>
    <t>National Science Foundation [NSF-EAR-1702319, NSF-EAR-1702293, NSF-DEB-2048669]; Comer Family Foundation</t>
  </si>
  <si>
    <t>National Science Foundation(National Science Foundation (NSF)); Comer Family Foundation</t>
  </si>
  <si>
    <t>This research was partially supported by grants from the National Science Foundation (NSF-EAR-1702319, NSF-EAR-1702293 and NSF-DEB-2048669) to M. Kelly and J. Russell and funding from the Comer Family Foundation to M. Kelly. We thank Rwenzori Mountaineering Services and Rwenzori Trekking Services for logistical support and helpful guidance in performing fieldwork in the Rwenzori Mountains. Fieldwork and sample export were completed under permits from the Uganda Wildlife Authority and the Uganda National Council for Science and Technology. We further thank E. Santos for laboratory assistance.</t>
  </si>
  <si>
    <t>10.1016/j.quascirev.2022.107416</t>
  </si>
  <si>
    <t>ZQ2FE</t>
  </si>
  <si>
    <t>WOS:000766925500002</t>
  </si>
  <si>
    <t>Baeza, M; Zúñiga, S; Peragallo, V; Gutierrez, F; Barahona, S; Alcaino, J; Cifuentes, V</t>
  </si>
  <si>
    <t>Baeza, Marcelo; Zuniga, Sergio; Peragallo, Vicente; Gutierrez, Fernando; Barahona, Salvador; Alcaino, Jennifer; Cifuentes, Victor</t>
  </si>
  <si>
    <t>Response to Cold: A Comparative Transcriptomic Analysis in Eight Cold-Adapted Yeasts</t>
  </si>
  <si>
    <t>cold-adapted yeasts; Antarctic yeasts; transcriptomes; cold adaptation; stress genes; codon bias</t>
  </si>
  <si>
    <t>CODON USAGE; PHYSICOCHEMICAL FEATURES; MOLECULAR ADAPTATIONS; BACILLUS-SUBTILIS; LOW-TEMPERATURE; SWISS-MODEL; WEB SERVER; GENOME; PROTEINS; SEQUENCE</t>
  </si>
  <si>
    <t>Microorganisms have evolved to colonize all biospheres, including extremely cold environments, facing several stressor conditions, mainly low/freezing temperatures. In general, terms, the strategies developed by cold-adapted microorganisms include the synthesis of cryoprotectant and stress-protectant molecules, cold-active proteins, especially enzymes, and membrane fluidity regulation. The strategy could differ among microorganisms and concerns the characteristics of the cold environment of the microorganism, such as seasonal temperature changes. Microorganisms can develop strategies to grow efficiently at low temperatures or tolerate them and grow under favorable conditions. These differences can be found among the same kind of microorganisms and from the same cold habitat. In this work, eight cold-adapted yeasts isolated from King George Island, subAntarctic region, which differ in their growth properties, were studied about their response to low temperatures at the transcriptomic level. Sixteen ORFeomes were assembled and used for gene prediction and functional annotation, determination of gene expression changes, protein flexibilities of translated genes, and codon usage bias. Putative genes related to the response to all main kinds of stress were found. The total number of differentially expressed genes was related to the temperature variation that each yeast faced. The findings from multiple comparative analyses among yeasts based on gene expression changes and protein flexibility by cellular functions and codon usage bias raise significant differences in response to cold among the studied Antarctic yeasts. The way a yeast responds to temperature change appears to be more related to its optimal temperature for growth (OTG) than growth velocity. Yeasts with higher OTG prepare to downregulate their metabolism to enter the dormancy stage. In comparison, yeasts with lower OTG perform minor adjustments to make their metabolism adequate and maintain their growth at lower temperatures.</t>
  </si>
  <si>
    <t>[Baeza, Marcelo; Zuniga, Sergio; Peragallo, Vicente; Gutierrez, Fernando; Alcaino, Jennifer; Cifuentes, Victor] Univ Chile, Fac Ciencias, Dept Ciencias Ecol, Santiago, Chile; [Baeza, Marcelo; Barahona, Salvador; Alcaino, Jennifer; Cifuentes, Victor] Univ Chile, Fac Ciencias, Ctr Biotecnol, Santiago, Chile</t>
  </si>
  <si>
    <t>Universidad de Chile; Universidad de Chile</t>
  </si>
  <si>
    <t>Baeza, M (corresponding author), Univ Chile, Fac Ciencias, Dept Ciencias Ecol, Santiago, Chile.;Baeza, M (corresponding author), Univ Chile, Fac Ciencias, Ctr Biotecnol, Santiago, Chile.</t>
  </si>
  <si>
    <t>mabeza@uchile.cl</t>
  </si>
  <si>
    <t>Alcaino, Jennifer/H-4576-2012</t>
  </si>
  <si>
    <t>Baeza, Marcelo/0000-0001-8853-395X</t>
  </si>
  <si>
    <t>Agencia Nacional de Investigacion y Desarrollo [Fondecyt 1180233]</t>
  </si>
  <si>
    <t>Agencia Nacional de Investigacion y Desarrollo</t>
  </si>
  <si>
    <t>This research was funded by Agencia Nacional de Investigacion y Desarrollo, grant number Fondecyt 1180233.</t>
  </si>
  <si>
    <t>10.3389/fmicb.2022.828536</t>
  </si>
  <si>
    <t>ZR3BJ</t>
  </si>
  <si>
    <t>WOS:000767662700001</t>
  </si>
  <si>
    <t>Yang, YB; Han, WX; Ye, CC; Galy, A; Fang, XM</t>
  </si>
  <si>
    <t>Yang, Yibo; Han, Wenxia; Ye, Chengcheng; Galy, Albert; Fang, Xiaomin</t>
  </si>
  <si>
    <t>Trends and Transitions in Silicate Weathering in the Asian Interior (NE Tibet) Since 53 Ma</t>
  </si>
  <si>
    <t>Cenozoic; chemical weathering; tectonic uplift; global cooling; Asian monsoon; clay mineral; Antarctic ice sheets; eccentricity cycle</t>
  </si>
  <si>
    <t>WESTERN QAIDAM BASIN; CHINESE LOESS PLATEAU; XINING BASIN; CARBON-CYCLE; LATE MIOCENE; GEOCHEMICAL RECORDS; TECTONIC EVOLUTION; CLIMATE-CHANGE; MIDDLE EOCENE; QILIAN SHAN</t>
  </si>
  <si>
    <t>The relationship between silicate weathering, Tibetan Plateau uplift, and global cooling during the Cenozoic provides a valuable case study for understanding the interaction of tectonics and climate. The Tibetan Plateau uplift is considered to have caused Cenozoic cooling via the atmospheric CO2 drawdown by increased silicate weathering. However, this hypothesis has been intensively debated over the past few decades due to the lack of complete silicate weathering records from the continental interior, which can directly track the effects of uplift on weathering. We provide the first complete long (past 53 Myr) continental silicate weathering record from the NE Tibetan Plateau, combined with a comprehensive analysis on its evolution pattern, critical transitions, and associated driving forces. The silicate weathering intensity in NE Tibet is characterized by a long-term Paleogene decrease, modulated by global cooling, and a Neogene increase that may be related to the East Asian summer monsoon (EASM) intensification. Three major system transitions in regional silicate weathering are identified at similar to 26-23 Ma, similar to 16 Ma and similar to 8 Ma, which are linked to enhanced EASM forced primarily by tectonic uplift at these intervals, with some surbordinate influences from global climate at similar to 16 Ma. We also capture an intensification of the 100-kyr cycle at similar to 16 Ma and similar to 8 Ma in the obtained silicate weathering record, which is in coincidence in time with the enhancement of the EASM. This might suggest some contribution of the Antarctic ice sheets on modulating the regional silicate weathering in the NE Tibetan Plateau on a timescale of 10(5)-10(6) years, through its influences on the EASM as proposed by previous studies.</t>
  </si>
  <si>
    <t>[Yang, Yibo; Fang, Xiaomin] Chinese Acad Sci, Inst Tibetan Plateau Res, State Key Lab Tibetan Plateau Earth Syst Sci, Resources &amp; Environm TPESRE, Beijing, Peoples R China; [Han, Wenxia] Linyi Univ, Coll Resources &amp; Environm Sci, Shandong Prov Key Lab Water &amp; Soil Conservat &amp; En, Linyi, Shandong, Peoples R China; [Ye, Chengcheng] Shanghai Normal Univ, Sch Environm &amp; Geog Sci, Shanghai, Peoples R China; [Galy, Albert] Univ Lorraine, Ctr Recherches Petrograph &amp; Geochim, UMR7358, Vandoeuvre Les Nancy, France; [Fang, Xiaomin] Univ Chinese Acad Sci, Beijing, Peoples R China</t>
  </si>
  <si>
    <t>Chinese Academy of Sciences; Institute of Tibetan Plateau Research, CAS; Linyi University; Shanghai Normal University; Universite de Lorraine; Centre National de la Recherche Scientifique (CNRS); CNRS - National Institute for Earth Sciences &amp; Astronomy (INSU); Chinese Academy of Sciences; University of Chinese Academy of Sciences, CAS</t>
  </si>
  <si>
    <t>Yang, YB (corresponding author), Chinese Acad Sci, Inst Tibetan Plateau Res, State Key Lab Tibetan Plateau Earth Syst Sci, Resources &amp; Environm TPESRE, Beijing, Peoples R China.;Han, WX (corresponding author), Linyi Univ, Coll Resources &amp; Environm Sci, Shandong Prov Key Lab Water &amp; Soil Conservat &amp; En, Linyi, Shandong, Peoples R China.</t>
  </si>
  <si>
    <t>yangyibo@itpcas.ac.cn; wenxia_han@163.com</t>
  </si>
  <si>
    <t>Yang, Yibo/K-7454-2015; Galy, Albert/M-3101-2019</t>
  </si>
  <si>
    <t>Galy, Albert/0000-0001-9978-4287</t>
  </si>
  <si>
    <t>10.3389/feart.2022.824404</t>
  </si>
  <si>
    <t>ZQ1PJ</t>
  </si>
  <si>
    <t>WOS:000766884000001</t>
  </si>
  <si>
    <t>Veyssiere, G; Castellani, G; Wilkinson, J; Karcher, M; Hayward, A; Stroeve, JC; Nicolaus, M; Kim, JH; Yang, EJ; Valcic, L; Kauker, F; Khan, AL; Rogers, I; Jung, JY</t>
  </si>
  <si>
    <t>Veyssiere, Gaelle; Castellani, Giulia; Wilkinson, Jeremy; Karcher, Michael; Hayward, Alexander; Stroeve, Julienne C.; Nicolaus, Marcel; Kim, Joo-Hong; Yang, Eun-Jin; Valcic, Lovro; Kauker, Frank; Khan, Alia L.; Rogers, Indea; Jung, Jinyoung</t>
  </si>
  <si>
    <t>Under-Ice Light Field in the Western Arctic Ocean During Late Summer</t>
  </si>
  <si>
    <t>transmittance; arctic; late summer; first-year ice; ice extinction coefficient; under-ice irradiance</t>
  </si>
  <si>
    <t>SEA-ICE; OPTICAL-PROPERTIES; ALGAL PRODUCTION; PACK ICE; PHYTOPLANKTON; TRANSMISSION; BIOMASS; SNOW; VARIABILITY; REFLECTION</t>
  </si>
  <si>
    <t>The Arctic is no longer a region dominated by thick multi-year ice (MYI), but by thinner, more dynamic, first-year-ice (FYI). This shift towards a seasonal ice cover has consequences for the under-ice light field, as sea-ice and its snow cover are a major factor influencing radiative transfer and thus, biological activity within- and under the ice. This work describes in situ measurements of light transmission through different types of sea-ice (MYI and FYI) performed during two expeditions to the Chukchi sea in August 2018 and 2019, as well as a simple characterisation of the biological state of the ice microbial system. Our analysis shows that, in late summer, two different states of FYI exist in this region: 1) FYI in an enhanced state of decay, and 2) robust FYI, more likely to survive the melt season. The two FYI types have different average ice thicknesses: 0.74 +/- 0.07 m (N = 9) and 0.93 +/- 0.11 m (N = 9), different average values of transmittance: 0.15 +/- 0.04 compared to 0.09 +/- 0.02, and different ice extinction coefficients: 1.49 +/- 0.28 and 1.12 +/- 0.19 m(-1). The measurements performed over MYI present different characteristics with a higher average ice thickness of 1.56 +/- 0.12 m, lower transmittance (0.05 +/- 0.01) with ice extinction coefficients of 1.24 +/- 0.26 m(-1) (N = 12). All ice types show consistently low salinity, chlorophyll a concentrations and nutrients, which may be linked to the timing of the measurements and the flushing of melt-water through the ice. With continued Arctic warming, the summer ice will continue to retreat, and the decayed variant of FYI, with a higher scattering of light, but a reduced thickness, leading to an overall higher light transmittance, may become a more relevant ice type. Our results suggest that in this scenario, more light would reach the ice interior and the upper-ocean.</t>
  </si>
  <si>
    <t>[Veyssiere, Gaelle; Wilkinson, Jeremy] British Antarctic Survey, Cambridge, England; [Castellani, Giulia; Karcher, Michael; Nicolaus, Marcel; Kauker, Frank] Alfred Wegener Inst, Bremerhaven, Germany; [Karcher, Michael; Kauker, Frank] OA Sys Ocean Atmosphere Syst GmbH, Hamburg, Germany; [Hayward, Alexander] Natl Inst Water &amp; Atmospher Res, Wellington, New Zealand; [Hayward, Alexander] Univ Otago, Dunedin, New Zealand; [Stroeve, Julienne C.] UCL, Dept Earth Sci, London, England; [Stroeve, Julienne C.] Univ Manitoba, Ctr Earth Observat Sci, Winnipeg, MB, Canada; [Stroeve, Julienne C.] Univ Colorado, Natl Snow &amp; Ice Data Ctr, Boulder, CO USA; [Kim, Joo-Hong; Yang, Eun-Jin; Jung, Jinyoung] Korea Polar Res Inst, Incheon, South Korea; [Valcic, Lovro] Bruncin, Zagreb, Croatia; [Khan, Alia L.] Washington Univ, Dept Environm Sci, Bellingham, WA USA; [Rogers, Indea] George Washington Univ, Washington, WA USA</t>
  </si>
  <si>
    <t>UK Research &amp; Innovation (UKRI); Natural Environment Research Council (NERC); NERC British Antarctic Survey; Helmholtz Association; Alfred Wegener Institute, Helmholtz Centre for Polar &amp; Marine Research; National Institute of Water &amp; Atmospheric Research (NIWA) - New Zealand; University of Otago; University of London; University College London; University of Manitoba; University of Colorado System; University of Colorado Boulder; Korea Polar Research Institute (KOPRI); George Washington University</t>
  </si>
  <si>
    <t>Veyssiere, G (corresponding author), British Antarctic Survey, Cambridge, England.</t>
  </si>
  <si>
    <t>gaevey@bas.ac.uk</t>
  </si>
  <si>
    <t>Nicolaus, Marcel/A-3658-2013</t>
  </si>
  <si>
    <t>Nicolaus, Marcel/0000-0003-0903-1746; Karcher, Michael/0000-0002-9587-811X; Veyssiere, Gaelle/0000-0003-4843-4935</t>
  </si>
  <si>
    <t>10.3389/feart.2021.643737</t>
  </si>
  <si>
    <t>ZP7SI</t>
  </si>
  <si>
    <t>WOS:000766619700001</t>
  </si>
  <si>
    <t>Bernhard, GH; McKenzie, RL; Lantz, K; Stierle, S</t>
  </si>
  <si>
    <t>Bernhard, Germar H.; McKenzie, Richard L.; Lantz, Kathleen; Stierle, Scott</t>
  </si>
  <si>
    <t>Updated analysis of data from Palmer Station, Antarctica (64° S), and San Diego, California (32° N), confirms large effect of the Antarctic ozone hole on UV radiation</t>
  </si>
  <si>
    <t>PHOTOCHEMICAL &amp; PHOTOBIOLOGICAL SCIENCES</t>
  </si>
  <si>
    <t>Ozone hole; Antarctica; UV radiation; Radiative transfer; Montreal protocol</t>
  </si>
  <si>
    <t>The status of the stratospheric ozone layer is assessed by a panel of experts every 4 years. Reports prepared by this panel include a section with common questions and answers (Q&amp;A) about ozone depletion and related matters. Since 2002, this Q&amp;A supplement has featured a plot comparing historical and current ultraviolet (UV) Index data from Palmer Station, Antarctica (64 degrees S), with measurements at San Diego, California (32 degrees N), and Barrow, Alaska (79 degrees N). The assumptions in generating these plots are discussed and an updated version is presented. The revised plot uses additional data up to the year 2020 and the methods used to create it are better defined and substantiated compared to those used for the legacy plot. Differences between the old and new UV Index values are small (typically &lt; 5%). Both versions illustrate that the ozone hole has led to a large increase in the UV Index at Palmer Station. Between mid-September and mid-November, the maximum UV Index at this site has more than doubled compared to the pre-ozone-hole era (i.e., prior to 1980). When Palmer Station was below the ozone hole in December 1998, an extreme UV Index of 14 was observed, exceeding the highest UV Index of 12 ever measured at San Diego despite the city's subtropical latitude. Increases in the UV Index at Barrow and San Diego remain below 40% and 3%, respectively.</t>
  </si>
  <si>
    <t>[Bernhard, Germar H.] Biospher Inc, San Diego, CA 92110 USA; [McKenzie, Richard L.] Natl Inst Water &amp; Atmospher Res, Lauder, Central Otago, New Zealand; [Lantz, Kathleen; Stierle, Scott] NOAA Global Monitoring Lab, Boulder, CO USA; [Stierle, Scott] Univ Colorado, Cooperat Inst Res Environm Sci CIRES, Boulder, CO USA</t>
  </si>
  <si>
    <t>National Institute of Water &amp; Atmospheric Research (NIWA) - New Zealand; University of Colorado System; University of Colorado Boulder</t>
  </si>
  <si>
    <t>Bernhard, GH (corresponding author), Biospher Inc, San Diego, CA 92110 USA.</t>
  </si>
  <si>
    <t>bernhard@biospherical.com</t>
  </si>
  <si>
    <t>Lantz, Kathleen/JDV-7677-2023</t>
  </si>
  <si>
    <t>Lantz, Kathleen/0000-0001-9515-160X; McKenzie, Richard Lloyd/0000-0002-4484-7057</t>
  </si>
  <si>
    <t>US National Science Foundation's Office of Polar Programs [OPP 0000373]; NOAA's Global Monitoring Laboratory; NOAA's Western Acquisition Division [RA133R17SE0836P20003]</t>
  </si>
  <si>
    <t>US National Science Foundation's Office of Polar Programs(National Science Foundation (NSF)); NOAA's Global Monitoring Laboratory; NOAA's Western Acquisition Division</t>
  </si>
  <si>
    <t>The NSF Ultraviolet Spectral Irradiance Monitoring Network (UVSIMN) was sponsored by the US National Science Foundation's Office of Polar Programs (Prime Contract Number OPP 0000373) and was operated by Biospherical Instruments Inc. (BSI) until 2008. The NOAA Antarctic UV Monitoring Network is funded by NOAA's Global Monitoring Laboratory. BSI has a sub-contract (contract number RA133R17SE0836P20003) from NOAA's Western Acquisition Division for processing data of the NOAA Antarctic UV Monitoring Network.</t>
  </si>
  <si>
    <t>1474-905X</t>
  </si>
  <si>
    <t>1474-9092</t>
  </si>
  <si>
    <t>PHOTOCH PHOTOBIO SCI</t>
  </si>
  <si>
    <t>Photochem. Photobiol. Sci.</t>
  </si>
  <si>
    <t>10.1007/s43630-022-00178-3</t>
  </si>
  <si>
    <t>Biochemistry &amp; Molecular Biology; Biophysics; Chemistry, Physical</t>
  </si>
  <si>
    <t>Biochemistry &amp; Molecular Biology; Biophysics; Chemistry</t>
  </si>
  <si>
    <t>ZY8MW</t>
  </si>
  <si>
    <t>WOS:000760051000004</t>
  </si>
  <si>
    <t>Burns, AL; Schaerf, TM; Lizier, J; Kawaguchi, S; Cox, M; King, R; Krause, J; Ward, AJW</t>
  </si>
  <si>
    <t>Burns, Alicia L.; Schaerf, Timothy M.; Lizier, Joseph; Kawaguchi, So; Cox, Martin; King, Rob; Krause, Jens; Ward, Ashley J. W.</t>
  </si>
  <si>
    <t>Self-organization and information transfer in Antarctic krill swarms</t>
  </si>
  <si>
    <t>krill; Euphausia superba; schooling; rules of motion; collective behaviour</t>
  </si>
  <si>
    <t>EUPHAUSIA-SUPERBA; RULES</t>
  </si>
  <si>
    <t>Antarctic krill swarms are one of the largest known animal aggregations, and yet, despite being the keystone species of the Southern Ocean, little is known about how swarms are formed and maintained. Understanding the local interactions between individuals that provide the basis for these swarms is fundamental to knowing how swarms arise in nature, and what potential factors might lead to their breakdown. Here, we analysed the trajectories of captive, wild-caught krill in 3D to determine individual-level interaction rules and quantify patterns of information flow. Our results demonstrate that krill align with near neighbours and that they regulate both their direction and speed relative to the positions of groupmates. These results suggest that social factors are vital to the formation and maintenance of swarms. Furthermore, krill operate a novel form of collective organization, with measures of information flow and individual movement adjustments expressed most strongly in the vertical dimension, a finding not seen in other swarming species. This research represents a vital step in understanding the fundamentally important swarming behaviour of krill.</t>
  </si>
  <si>
    <t>[Burns, Alicia L.; Ward, Ashley J. W.] Univ Sydney, Sch Life &amp; Environm Sci, Sydney, NSW, Australia; [Schaerf, Timothy M.] Univ New England, Sch Sci &amp; Technol, Armidale, NSW, Australia; [Lizier, Joseph] Univ Sydney, Fac Engn &amp; IT, Complex Syst Res Grp, Sydney, NSW, Australia; [Kawaguchi, So; Cox, Martin; King, Rob] Australian Antarctic Div, Kingston, Tas, Australia; [Krause, Jens] Leibniz Inst Freshwater Ecol &amp; Inland Fisheri, Dept Biol &amp; Ecol Fishes, Muggelseedamm 310, D-12587 Berlin, Germany; [Krause, Jens] Humboldt Univ, Fac Life Sci, Invalidenstr 42, D-10115 Berlin, Germany; [Burns, Alicia L.] Taronga Conservat Soc Australia, Taronga Inst Sci &amp; Learning, Mosman, NSW, Australia</t>
  </si>
  <si>
    <t>University of Sydney; University of New England; University of Sydney; Australian Antarctic Division; Leibniz Institut fur Gewasserokologie und Binnenfischerei (IGB); Humboldt University of Berlin; Taronga Conservation Society Australia</t>
  </si>
  <si>
    <t>Burns, AL (corresponding author), Univ Sydney, Sch Life &amp; Environm Sci, Sydney, NSW, Australia.;Burns, AL (corresponding author), Taronga Conservat Soc Australia, Taronga Inst Sci &amp; Learning, Mosman, NSW, Australia.</t>
  </si>
  <si>
    <t>alicialburns@gmail.com</t>
  </si>
  <si>
    <t>Schaerf, Timothy/M-7821-2015; Lizier, Joseph/B-8093-2008; Krause, Jens/J-4381-2013</t>
  </si>
  <si>
    <t>Schaerf, Timothy/0000-0001-6642-8374; Lizier, Joseph/0000-0002-9910-8972; Krause, Jens/0000-0002-1289-2857</t>
  </si>
  <si>
    <t>Australian Research Council [DP190100660]</t>
  </si>
  <si>
    <t>This work was supported by funding from the Australian Research Council under project DP190100660.</t>
  </si>
  <si>
    <t>10.1098/rspb.2021.2361</t>
  </si>
  <si>
    <t>ZF2DF</t>
  </si>
  <si>
    <t>WOS:000759381700004</t>
  </si>
  <si>
    <t>Al-Handal, AY; Torstensson, A; Wulff, A</t>
  </si>
  <si>
    <t>Al-Handal, Adil Y.; Torstensson, Anders; Wulff, Angela</t>
  </si>
  <si>
    <t>Revisiting Potter Cove, King George Island, Antarctica, 12 years later: new observations of marine benthic diatoms</t>
  </si>
  <si>
    <t>BOTANICA MARINA</t>
  </si>
  <si>
    <t>distribution; ecology; epipelic; microalgae; sediment</t>
  </si>
  <si>
    <t>SP-NOV; UV-RADIATION; FRAGILARIOPSIS-CYLINDRUS; CLIMATE-CHANGE; MORPHOLOGY; GENUS; ASSEMBLAGES; GYROSIGMA; TAXONOMY; BAY</t>
  </si>
  <si>
    <t>Continuous observations of Antarctic benthic diatoms are necessary to detect changes in species composition and biodiversity that may result from environmental changes. The present work provides a systematic list of benthic diatoms from Potter Cove (62.03 degrees S 58.35 degrees W) collected during summer 2015. The new findings are compared with observations made 12 years ago (summer 2003). In total, 80 taxa were found, similar to that encountered earlier, but 17 species (21% of the total species number) were not observed in 2003, and 26 species (31%) of those reported in 2003 did not appear in 2015. The dominant species in 2003 and 2015 was the large epipelic and cosmopolitan Gyrosigma fasciola. Most of the species either newly observed in the present study, or absent in the present study but observed previously, occurred either rarely or very rarely. Gyrosigma arcuatum and Pleurosigma diversestriatum were newly observed in 2015 and not previously reported from polar regions. This study provides systematic and ecological information on all taxa encountered and is illustrated with light microscopy and scanning electron microscopy (SEM) images. We emphasize that ice-inhabiting and other benthic diatoms should be included when considering the biodiversity of polar diatoms. Thus, we hope that the present study will add a piece to the puzzle of climate change effects on the benthic diatoms in this vulnerable region and will complement earlier published species records in the area.</t>
  </si>
  <si>
    <t>[Al-Handal, Adil Y.; Torstensson, Anders; Wulff, Angela] Univ Gothenburg, Dept Biol &amp; Environm Sci, Carl Skottsberg Gata 22B, SE-41319 Gothenburg, Sweden</t>
  </si>
  <si>
    <t>University of Gothenburg</t>
  </si>
  <si>
    <t>Wulff, A (corresponding author), Univ Gothenburg, Dept Biol &amp; Environm Sci, Carl Skottsberg Gata 22B, SE-41319 Gothenburg, Sweden.</t>
  </si>
  <si>
    <t>adil.alhandal@gmail.com; torstensson.anders@gmail.com; angela.wulff@bioenv.gu.se</t>
  </si>
  <si>
    <t>Al-Handal, Adil/0000-0003-4703-7823; Torstensson, Anders/0000-0002-8283-656X</t>
  </si>
  <si>
    <t>European Union FP7 Project IMCONet; Royal Society of Arts and Sciences, Gothenburg, Sweden; Swedish Research Council for Environment, Agricultural Sciences and Spatial Planning (FORMAS) [2017-00850]; Formas [2017-00850] Funding Source: Formas</t>
  </si>
  <si>
    <t>European Union FP7 Project IMCONet; Royal Society of Arts and Sciences, Gothenburg, Sweden; Swedish Research Council for Environment, Agricultural Sciences and Spatial Planning (FORMAS)(Swedish Research Council Formas); Formas(Swedish Research Council Formas)</t>
  </si>
  <si>
    <t>This research was funded by the European Union FP7 Project IMCONet and the Royal Society of Arts and Sciences, Gothenburg, Sweden. Laboratory work was supported by the Swedish Research Council for Environment, Agricultural Sciences and Spatial Planning (FORMAS) as part of the project 2017-00850.</t>
  </si>
  <si>
    <t>WALTER DE GRUYTER GMBH</t>
  </si>
  <si>
    <t>GENTHINER STRASSE 13, D-10785 BERLIN, GERMANY</t>
  </si>
  <si>
    <t>0006-8055</t>
  </si>
  <si>
    <t>1437-4323</t>
  </si>
  <si>
    <t>BOT MAR</t>
  </si>
  <si>
    <t>Bot. Marina</t>
  </si>
  <si>
    <t>10.1515/bot-2021-0066</t>
  </si>
  <si>
    <t>0G2MT</t>
  </si>
  <si>
    <t>WOS:000760976100001</t>
  </si>
  <si>
    <t>Ambrozova, K; Laska, K; Matejka, M; Reuder, J</t>
  </si>
  <si>
    <t>Ambrozova, Klara; Laska, Kamil; Matejka, Michael; Reuder, Joachim</t>
  </si>
  <si>
    <t>Interannual variability of air temperature inversions in ice-free area of northern James Ross Island, Antarctica</t>
  </si>
  <si>
    <t>POLAR WEATHER RESEARCH; BOUNDARY-LAYER; DOME C; ACTIVE-LAYER; MODEL; SNOW; CLIMATE; BALANCE</t>
  </si>
  <si>
    <t>Air temperature inversions are common features in Antarctica, especially in the interior where they are observed nearly year-round. Large temporal variability of air temperature inversion incidence is typical for the coastal areas and little is known about its occurrence in the Antarctic deglaciated areas. Here we present a 12-year-long time series of near-surface air temperature inversion derived from two automatic weather stations situated at different altitudes (10 and 375 m a.s.l.) in ice-free part of northern James Ross Island (Antarctic Peninsula). The highest monthly relative frequency of temperature inversions during 2006-2017 was observed in July (38%) when the range between minimum and maximum monthly frequencies reached 34%. Both the lowest monthly relative frequency of temperature inversions and the range were found in December with values of 7% and 15%, respectively. The correlation between mean lapse rate and selected mesoscale flow characteristics were tested. The highest correlations were found between lapse rate and specific humidity for the yearly means (0.69 in the 925 hPa pressure level). Negative correlation coefficients were established between lapse rate and air temperature in summer (- 0.65 in the 500 hPa pressure level). Finally, we also used the Weather and Research Forecasting (WRF) model to ascertain its ability to simulate situations as complicated as near-surface air temperature inversion formation in complex terrain. For a strong winter air temperature inversion, simulated air temperature was compared with in situ observations to assess the model performance.</t>
  </si>
  <si>
    <t>[Ambrozova, Klara; Laska, Kamil; Matejka, Michael] Masaryk Univ, Fac Sci, Dept Geog, Brno 60200, Czech Republic; [Reuder, Joachim] Univ Bergen, Geophys Inst, N-5020 Bergen, Norway; [Reuder, Joachim] Univ Bergen, Bjerknes Ctr Climate Res, N-5020 Bergen, Norway</t>
  </si>
  <si>
    <t>Masaryk University Brno; University of Bergen; Bjerknes Centre for Climate Research; University of Bergen</t>
  </si>
  <si>
    <t>Reuder, J (corresponding author), Univ Bergen, Geophys Inst, N-5020 Bergen, Norway.;Reuder, J (corresponding author), Univ Bergen, Bjerknes Ctr Climate Res, N-5020 Bergen, Norway.</t>
  </si>
  <si>
    <t>ambrozova.kl@mail.muni.cz; joachim.reuder@uib.no</t>
  </si>
  <si>
    <t>Laska, Kamil/L-7875-2013; Matějka, Michael/AAX-2290-2021</t>
  </si>
  <si>
    <t>Laska, Kamil/0000-0002-5199-9737; Matějka, Michael/0000-0003-1108-7474</t>
  </si>
  <si>
    <t>Erasmus + Europe: Staff Mobility for Training within Key Activity 1 [KA 103]; Czech Science Foundation project [GA20-20240S]; Czech Polar Research Infrastructure project - Ministry of Education, Youth and Sports of the Czech Republic [LM2015078]; CERIT-SC Center [LM2015085]; UNINETT Sigma2 [NN9506K]</t>
  </si>
  <si>
    <t>Erasmus + Europe: Staff Mobility for Training within Key Activity 1; Czech Science Foundation project(Grant Agency of the Czech Republic); Czech Polar Research Infrastructure project - Ministry of Education, Youth and Sports of the Czech Republic; CERIT-SC Center; UNINETT Sigma2</t>
  </si>
  <si>
    <t>The authors are grateful to members of the Czech summer expeditions 2004-2018 to James Ross Island for their field assistance and service of meteorological stations on James Ross Island. Long-term support of EMS Brno (Czech Republic) and sharing the knowledge on instrumentation and measuring devices is very much appreciated. This study was supported by Erasmus + Europe: Staff Mobility for Training within Key Activity 1 (KA 103), the Czech Science Foundation project (GA20-20240S) and the Czech Polar Research Infrastructure project (LM2015078) funded by the Ministry of Education, Youth and Sports of the Czech Republic. Access to the CERIT-SC computing and storage facilities provided by the CERIT-SC Center, under the programme Projects of Large Research, Development, and Innovations Infrastructures (CERIT Scientific Cloud LM2015085) and to the UNINETT Sigma2 within the project NN9506K (Investigating the Atmospheric Boundary Layer with LES) is greatly appreciated.</t>
  </si>
  <si>
    <t>Vienna</t>
  </si>
  <si>
    <t>Prinz-Eugen-Strasse 8-10, A-1040 Vienna, AUSTRIA</t>
  </si>
  <si>
    <t>10.1007/s00704-021-03912-6</t>
  </si>
  <si>
    <t>0U0YW</t>
  </si>
  <si>
    <t>WOS:000760049900001</t>
  </si>
  <si>
    <t>Holt, T; Glasser, NF</t>
  </si>
  <si>
    <t>Holt, Tom; Glasser, Neil F.</t>
  </si>
  <si>
    <t>Changes in area, flow speed and structure of southwest Antarctic Peninsula ice shelves in the 21st century</t>
  </si>
  <si>
    <t>Antarctic glaciology; ice shelves; ice velocity; remote sensing; structural glaciology</t>
  </si>
  <si>
    <t>LARSEN-C; SEA-ICE; DYNAMIC CHANGES; MASS-BALANCE; BREAK-UP; GLACIER; SURFACE; COLLAPSE; DISINTEGRATION; RETREAT</t>
  </si>
  <si>
    <t>Since the mid-20th century, ice shelves around the Antarctic Peninsula have declined in extent and thickness, and some have shown signs of structural instability. Here, using satellite imagery from 1999/2000 to 2019/20 (Landsat 7 and 8, Sentinel-2 and ASTER), we measure areal changes, calculate surface flow speeds, and quantify structural changes of Bach, Stange and George VI ice shelves, located in the southwest Antarctic Peninsula. We recorded a total area loss of 797.5 km(2) from 2009/10 to 2019/20, though spatial and temporal patterns varied at individual ice fronts. Flow speeds remained largely stable over the observation periods, but notable acceleration was calculated for Bach Ice Shelf, and at the northern and southern extents of George VI Ice Shelf. Open fractures widened and lengthened between 2009/10 and 2019/20 on all three ice shelves. We conclude that Stange Ice Shelf is stable, and not under any immediate threat of enhanced recession. Continued ice-mass loss and consequential speed up of George VI South may cause further fracturing and destabilisation in the coming decades. Of more immediate concern are the glaciological changes noted for Bach Ice Shelf and George VI North; substantial areas of stabilising ice have already, or will soon be removed, that may lead to enhanced recession within the next decade.</t>
  </si>
  <si>
    <t>[Holt, Tom; Glasser, Neil F.] Aberystwyth Univ, Ctr Glaciol, Dept Geog &amp; Earth Sci, Aberystwyth SY23 3DB, Dyfed, Wales</t>
  </si>
  <si>
    <t>Aberystwyth University</t>
  </si>
  <si>
    <t>Holt, T (corresponding author), Aberystwyth Univ, Ctr Glaciol, Dept Geog &amp; Earth Sci, Aberystwyth SY23 3DB, Dyfed, Wales.</t>
  </si>
  <si>
    <t>toh08@aber.ac.uk</t>
  </si>
  <si>
    <t>Glasser, Neil/0000-0002-8245-2670; Holt, Tom/0000-0001-8361-0688</t>
  </si>
  <si>
    <t>PII S0022143022000077</t>
  </si>
  <si>
    <t>10.1017/jog.2022.7</t>
  </si>
  <si>
    <t>WOS:000759962500001</t>
  </si>
  <si>
    <t>Fan, PL; Cho, MS; Lin, ZH; Ouyang, ZT; Qi, JG; Chen, JQ; Moran, EF</t>
  </si>
  <si>
    <t>Fan, Peilei; Cho, Myung Sik; Lin, Zihan; Ouyang, Zutao; Qi, Jiaguo; Chen, Jiquan; Moran, Emilio F.</t>
  </si>
  <si>
    <t>Recently constructed hydropower dams were associated with reduced economic production, population, and greenness in nearby areas</t>
  </si>
  <si>
    <t>hydropower dams; impacts; economy; population; environment</t>
  </si>
  <si>
    <t>GLOBAL SURFACE-WATER; ECOLOGICAL IMPACTS; LAND-USE; RIVER; RESETTLEMENT; BIODIVERSITY; MANAGEMENT; CHINA</t>
  </si>
  <si>
    <t>Hydropower dams produce huge impacts on renewable energy production, water resources, and economic development, particularly in the Global South, where accelerated dam construction has made it a global hotspot. We do not fully understand the multiple impacts that dams have in the nearby areas from a global perspective, including the spatial differentiations. In this study, we examined the impacts of hydropower dam construction in nearby areas. We first found that more than one-third of global gross domestic production (GDP) and almost one-third of global population fall within 50 km of the world's 7,155 hydropower dams (&lt;10% of the global land area sans the Antarctic). We further analyzed impacts of 631 hydropower dams (&gt;= 1-megawatt capacity) constructed since 2001 and commissioned before 2015 for their effects on economy, population, and environment in nearby areas and examined the results in five regions (i.e., Africa, Asia, Europe, North America, and South America) and by different dam sizes. We found that recently constructed dams were associated with increased GDP in North America and urban areas in Europe but with decreased GDP, urban land, and population in the Global South and greenness in Africa in nearby areas. Globally, these dams were linked with reduced economic production, population, and greenness of areas within 50 km of the dams. While large dams were related with reduced GDP and greenness significantly, small and medium dams were coupled with lowered population and urban land substantially, and large and medium dams were connected to diminished nighttime light noticeably in nearby areas.</t>
  </si>
  <si>
    <t>[Fan, Peilei] Michigan State Univ, Sch Planning Design &amp; Construct, E Lansing, MI 48824 USA; [Fan, Peilei; Cho, Myung Sik; Lin, Zihan; Qi, Jiaguo; Chen, Jiquan; Moran, Emilio F.] Michigan State Univ, Ctr Global Change &amp; Earth Observat, E Lansing, MI 48824 USA; [Cho, Myung Sik; Lin, Zihan; Qi, Jiaguo; Chen, Jiquan; Moran, Emilio F.] Michigan State Univ, Dept Geog Environm &amp; Spatial Sci, E Lansing, MI 48824 USA; [Ouyang, Zutao] Stanford Univ, Dept Earth Syst Sci, Stanford, CA 94305 USA</t>
  </si>
  <si>
    <t>Michigan State University; Michigan State University; Michigan State University; Stanford University</t>
  </si>
  <si>
    <t>Fan, PL (corresponding author), Michigan State Univ, Sch Planning Design &amp; Construct, E Lansing, MI 48824 USA.;Fan, PL (corresponding author), Michigan State Univ, Ctr Global Change &amp; Earth Observat, E Lansing, MI 48824 USA.</t>
  </si>
  <si>
    <t>fanpeile@msu.edu</t>
  </si>
  <si>
    <t>Lin, Zihan/ACZ-3778-2022; Chen, Jiquan/D-1955-2009; Fan, Peilei/ADY-3708-2022</t>
  </si>
  <si>
    <t>Lin, Zihan/0000-0003-2213-7959; Chen, Jiquan/0000-0003-0761-9458; Qi, Jiaguo/0000-0002-8183-0297; Cho, Myung Sik/0000-0003-1465-1827; Yang, Zutao/0000-0002-6919-569X; Fan, Peilei/0000-0003-4448-4281</t>
  </si>
  <si>
    <t>NASA [80NSSC17K0259, 80NSSC20K0740]; NSF [1639115]; Div Of Chem, Bioeng, Env, &amp; Transp Sys; Directorate For Engineering [1639115] Funding Source: National Science Foundation</t>
  </si>
  <si>
    <t>NASA(National Aeronautics &amp; Space Administration (NASA)); NSF(National Science Foundation (NSF)); Div Of Chem, Bioeng, Env, &amp; Transp Sys; Directorate For Engineering(National Science Foundation (NSF)NSF - Directorate for Engineering (ENG))</t>
  </si>
  <si>
    <t>We thank the funding support of NASA (80NSSC17K0259 and 80NSSC20K0740) and NSF (1639115). We appreciate Kristine Blakesleewho provided editorial assistance for improving the manuscript. We thank Yuyu Zhou at Iowa State University who shared with us the processed data of global nighttime light images (1992-2018). None of the above agencies and individuals should be held responsible for the findings and results presented in this paper as they are the sole responsibility of the authors.</t>
  </si>
  <si>
    <t>FEB 22</t>
  </si>
  <si>
    <t>e2108038119</t>
  </si>
  <si>
    <t>10.1073/pnas.2108038119</t>
  </si>
  <si>
    <t>ZQ2ER</t>
  </si>
  <si>
    <t>WOS:000766924200013</t>
  </si>
  <si>
    <t>Cordero, RR; Sepúlveda, E; Feron, S; Damiani, A; Fernandoy, F; Neshyba, S; Rowe, PM; Asencio, V; Carrasco, J; Alfonso, JA; Llanillo, P; Wachter, P; Seckmeyer, G; Stepanova, M; Carrera, JM; Jorquera, J; Wang, CH; Malhotra, A; Dana, J; Khan, AL; Casassa, G</t>
  </si>
  <si>
    <t>Cordero, Raul R.; Sepulveda, Edgardo; Feron, Sarah; Damiani, Alessandro; Fernandoy, Francisco; Neshyba, Steven; Rowe, Penny M.; Asencio, Valentina; Carrasco, Jorge; Alfonso, Juan A.; Llanillo, Pedro; Wachter, Paul; Seckmeyer, Gunther; Stepanova, Marina; Carrera, Juan M.; Jorquera, Jose; Wang, Chenghao; Malhotra, Avni; Dana, Jacob; Khan, Alia L.; Casassa, Gino</t>
  </si>
  <si>
    <t>Black carbon footprint of human presence in Antarctica</t>
  </si>
  <si>
    <t>LIGHT-ABSORBING PARTICLES; SOUTHERN-OCEAN; MINERAL DUST; SNOW; ALBEDO; IMPURITIES; ABSORPTION; DEPOSITION; GLACIERS; SURFACE</t>
  </si>
  <si>
    <t>The snow surrounding research facilities and shore tourist-landing sites in Antarctica was found to be darker than elsewhere in the continent, which suggests that local emissions of black carbon are accelerating seasonal snowmelt in impacted regions. Black carbon (BC) from fossil fuel and biomass combustion darkens the snow and makes it melt sooner. The BC footprint of research activities and tourism in Antarctica has likely increased as human presence in the continent has surged in recent decades. Here, we report on measurements of the BC concentration in snow samples from 28 sites across a transect of about 2,000 km from the northern tip of Antarctica (62 degrees S) to the southern Ellsworth Mountains (79 degrees S). Our surveys show that BC content in snow surrounding research facilities and popular shore tourist-landing sites is considerably above background levels measured elsewhere in the continent. The resulting radiative forcing is accelerating snow melting and shrinking the snowpack on BC-impacted areas on the Antarctic Peninsula and associated archipelagos by up to 23 mm water equivalent (w.e.) every summer.</t>
  </si>
  <si>
    <t>[Cordero, Raul R.; Sepulveda, Edgardo; Feron, Sarah; Stepanova, Marina; Carrera, Juan M.; Jorquera, Jose] Univ Santiago Chile, Av Bernardo OHiggins, Santiago 3363, Chile; [Feron, Sarah] Univ Groningen, NL-8911 CE Leeuwarden, Netherlands; [Damiani, Alessandro] Chiba Univ, Ctr Environm Remote Sensing, Inage Ward, 1-33 Yayoicho, Chiba 2638522, Japan; [Fernandoy, Francisco] Univ Andres Bello, Quillota 980, Vina Del Mar, Chile; [Neshyba, Steven] Univ Puget Sound, Dept Chem, Tacoma, WA 98416 USA; [Rowe, Penny M.] NorthWest Res Associates, Redmond, WA USA; [Asencio, Valentina] Select Carbon Pty Ltd, 562 Wellington St, Perth, WA 6000, Australia; [Carrasco, Jorge; Casassa, Gino] Univ Magallanes, Av Manuel Bulnes 1855, Punta Arenas, Chile; [Alfonso, Juan A.] Inst Venezolano Invest Cient IVIC, Caracas 20632, Venezuela; [Llanillo, Pedro] Alfred Wegener Inst AWI, Handelshafen 12, D-27570 Bremerhaven, Germany; [Wachter, Paul] German Aerosp Ctr DLR, German Remote Sensing Data Ctr DFD, Wessling, Germany; [Seckmeyer, Gunther] Leibniz Univ Hannover, Herrenhauser Str 2, Hannover, Germany; [Wang, Chenghao] Stanford Univ, Dept Earth Syst Sci, Stanford, CA 94305 USA; [Malhotra, Avni] Univ Zurich, Winterthurerstr 190, CH-8057 Zurich, Switzerland; [Dana, Jacob; Khan, Alia L.] Western Washington Univ, 516 High St, Bellingham, WA 98225 USA; [Khan, Alia L.] Univ Colorado, Natl Snow &amp; Ice Data Ctr, Cooperat Inst Res Environm Sci, Boulder, CO USA</t>
  </si>
  <si>
    <t>Universidad de Santiago de Chile; University of Groningen; Chiba University; Universidad Andres Bello; NorthWest Research Associates; Universidad de Magallanes; Helmholtz Association; Alfred Wegener Institute, Helmholtz Centre for Polar &amp; Marine Research; Helmholtz Association; German Aerospace Centre (DLR); Leibniz University Hannover; Stanford University; University of Zurich; Western Washington University; University of Colorado System; University of Colorado Boulder</t>
  </si>
  <si>
    <t>Feron, S; Stepanova, M (corresponding author), Univ Santiago Chile, Av Bernardo OHiggins, Santiago 3363, Chile.;Feron, S (corresponding author), Univ Groningen, NL-8911 CE Leeuwarden, Netherlands.;Damiani, A (corresponding author), Chiba Univ, Ctr Environm Remote Sensing, Inage Ward, 1-33 Yayoicho, Chiba 2638522, Japan.</t>
  </si>
  <si>
    <t>s.c.feron@rug.nl; damiani@chiba-u.jp; marina.stepanova@usach.cl</t>
  </si>
  <si>
    <t>Carrasco, Jorge/AAC-4799-2021; Carrasco, Jorge/ACG-6766-2022; Stepanova, Marina V/D-6329-2011; Wang, Chenghao/O-7961-2017; Llanillo, Pedro/L-5877-2015</t>
  </si>
  <si>
    <t>Carrasco, Jorge/0000-0003-2154-5483; Carrasco, Jorge/0000-0003-2154-5483; Stepanova, Marina V/0000-0002-1053-3375; Wang, Chenghao/0000-0001-8846-4130; Damiani, Alessandro/0000-0003-3014-6193; Malhotra, Avni/0000-0002-7850-6402; Rowe, Penny/0000-0002-7594-0553; Llanillo, Pedro/0000-0002-9308-501X; Feron, Sarah/0000-0002-0572-5639; Cordero, Raul R./0000-0001-7607-7993</t>
  </si>
  <si>
    <t>INACH [RT_69-20, RT_70-18]; ANID [ANILLO ACT210046, FONDECYT 1191932, DFG190004, REDES180158]; CORFO [Preis 19BP-117358, 18BPE-93920, 18BPCR-89100]; Dicyt-USACH; Antarctica XXI</t>
  </si>
  <si>
    <t>INACH; ANID; CORFO; Dicyt-USACH; Antarctica XXI</t>
  </si>
  <si>
    <t>The support of INACH (RT_69-20 &amp; RT_70-18), ANID (ANILLO ACT210046, FONDECYT 1191932, DFG190004, and REDES180158), CORFO (Preis 19BP-117358, 18BPE-93920, and 18BPCR-89100), Dicyt-USACH, and Antarctica XXI is gratefully acknowledged.</t>
  </si>
  <si>
    <t>10.1038/s41467-022-28560-w</t>
  </si>
  <si>
    <t>ZF8ET</t>
  </si>
  <si>
    <t>WOS:000759803800008</t>
  </si>
  <si>
    <t>Bharathidasan, V; Borisanova, AO; Sarathy, PP; Murugesan, P</t>
  </si>
  <si>
    <t>Bharathidasan, Veeraiyan; Borisanova, Anastasia O.; Sarathy, Palanivel Partha; Murugesan, Perumal</t>
  </si>
  <si>
    <t>New entoproct-polychaete association recorded in the Bay of Bengal, southeastern coast of India</t>
  </si>
  <si>
    <t>Entoprocta; Kamptozoa; Loxosomella; Diopatra; India</t>
  </si>
  <si>
    <t>SOUTH-EAST-COAST; LOXOSOMATIDAE ENTOPROCTA; LOXOSOMELLA ENTOPROCTA; ANTARCTIC ENTOPROCTA; COMMUNITY STRUCTURE; COCHIN BACKWATERS; HOST-SPECIFICITY; DIVERSITY; SEA; MACROBENTHOS</t>
  </si>
  <si>
    <t>The solitary entoproct species, Loxosomella diopatricola is recorded from the Bay of Bengal, southeastern coast of India. The species was found on the eunicid polychaete Diopatra sp. collected from depth of 15 m. Loxosomella diopatricola is a medium-sized species with average body length up to 396 mu m, eight tentacles and oval in calyx shape. The Loxosomella diopatricola was first time recorded in India. A list of all Loxosomella species associated with polychaetes is given.</t>
  </si>
  <si>
    <t>[Bharathidasan, Veeraiyan; Sarathy, Palanivel Partha; Murugesan, Perumal] Annamalai Univ, Fac Marine Sci, Ctr Adv Study Marine Biol, Parangipettai 608502, Tamil Nadu, India; [Borisanova, Anastasia O.] Moscow MV Lomonosov State Univ, Fac Biol, Moscow 119991, Russia</t>
  </si>
  <si>
    <t>Annamalai University; Lomonosov Moscow State University</t>
  </si>
  <si>
    <t>Bharathidasan, V (corresponding author), Annamalai Univ, Fac Marine Sci, Ctr Adv Study Marine Biol, Parangipettai 608502, Tamil Nadu, India.</t>
  </si>
  <si>
    <t>vrbharathi1989@gmail.com; borisanovaao@mail.ru; partha7915@gmail.com; pmurugesaan74@gmail.com</t>
  </si>
  <si>
    <t>Borisanova, Anastasia/AAG-4427-2020</t>
  </si>
  <si>
    <t>Borisanova, Anastasia/0000-0002-9700-6446; Bharathidasan, Veeraiyan/0000-0002-0151-616X; Palanivel, Partha Sarathy/0000-0003-2282-4652</t>
  </si>
  <si>
    <t>Centre of Advanced Study in Marine Biology, Faculty of Marine Sciences, Annamalai University; Ministry of Earth Sciences-National Centre for Coastal Research, New Delhi [MoES/ICMAM-PD:81/2017]; Scientific Project of the State Order of the Government of Russian Federation [121032300121-0]; Russian Science Foundation [18-14-00082]</t>
  </si>
  <si>
    <t>Centre of Advanced Study in Marine Biology, Faculty of Marine Sciences, Annamalai University; Ministry of Earth Sciences-National Centre for Coastal Research, New Delhi; Scientific Project of the State Order of the Government of Russian Federation; Russian Science Foundation(Russian Science Foundation (RSF))</t>
  </si>
  <si>
    <t>The authors are thankful to the Centre of Advanced Study in Marine Biology, Faculty of Marine Sciences, Anna-malai University, for the support. The authors also acknowledge the Ministry of Earth Sciences-National Centre for Coastal Research (MoES/ICMAM-PD:81/2017) , New Delhi. The authors are thankful to the Zoological Surveyof India, Marine Aquarium and Regional Centre, Digha, West Bengal, India. The research was carried out as part of the Scientific Project of the State Order of the Government of Russian Federation to Lomonosov Moscow State University No. 121032300121-0. The project was supported by the Russian Science Foundation (Project No. 18-14-00082) . The authors are gratefully indebted to the Reviewers, Dr. Claus Nielsen and Dr. Hannelore Paxton, for the thoughtful comments and constructive suggestions, and to the Editor, Dr. Helena Wiklund, for the help in preparing the final version of the manuscript.</t>
  </si>
  <si>
    <t>10.11646/zootaxa.5100.4.2</t>
  </si>
  <si>
    <t>ZH2YV</t>
  </si>
  <si>
    <t>WOS:000760810700002</t>
  </si>
  <si>
    <t>Fiddes, SL; Woodhouse, MT; Utembe, S; Schofield, R; Alexander, SP; Alroe, J; Chambers, SD; Chen, ZY; Cravigan, L; Dunne, E; Humphries, RS; Johnson, G; Keywood, MD; Lane, TP; Miljevic, B; Omori, Y; Protat, A; Ristovski, Z; Selleck, P; Swan, HB; Tanimoto, H; Ward, JP; Williams, AG</t>
  </si>
  <si>
    <t>Fiddes, Sonya L.; Woodhouse, Matthew T.; Utembe, Steve; Schofield, Robyn; Alexander, Simon P.; Alroe, Joel; Chambers, Scott D.; Chen, Zhenyi; Cravigan, Luke; Dunne, Erin; Humphries, Ruhi S.; Johnson, Graham; Keywood, Melita D.; Lane, Todd P.; Miljevic, Branka; Omori, Yuko; Protat, Alain; Ristovski, Zoran; Selleck, Paul; Swan, Hilton B.; Tanimoto, Hiroshi; Ward, Jason P.; Williams, Alastair G.</t>
  </si>
  <si>
    <t>The contribution of coral-reef-derived dimethyl sulfide to aerosol burden over the Great Barrier Reef: a modelling study</t>
  </si>
  <si>
    <t>MASS-SPECTROMETER; BOUNDARY-LAYER; AIR-QUALITY; ATMOSPHERIC DIMETHYLSULFIDE; MARINE STRATOCUMULUS; CLOUD MICROPHYSICS; PARTICLE FORMATION; SOUTHEAST PACIFIC; GLOBAL-MODEL; VOCALS-REX</t>
  </si>
  <si>
    <t>Coral reefs have been found to produce the sulfur compound dimethyl sulfide (DMS), a climatically relevant aerosol precursor predominantly associated with phytoplankton. Until recently, the role of coral-reef-derived DMS within the climate system had not been quantified. A study preceding the present work found that DMS produced by corals had negligible long-term climatic forcing at the global-regional scale. However, at sub-daily timescales more typically associated with aerosol and cloud formation, the influence of coral-reef-derived DMS on local aerosol radiative effects remains unquantified. The Weather Research and Forecasting model coupled with Chemistry (WRF-Chem) has been used in this work to study the role of coral-reef-derived DMS at sub-daily timescales for the first time. WRF-Chem was run to coincide with an October 2016 field campaign over the Great Barrier Reef, Queensland, Australia, against which the model was evaluated. After updating and scaling the DMS surface water climatology, the model reproduced DMS and sulfur concentrations well. The inclusion of coral-reef-derived DMS resulted in no significant change in sulfate aerosol mass or total aerosol number. Subsequently, no direct or indirect aerosol effects were detected. The results suggest that the co-location of the Great Barrier Reef with significant anthropogenic aerosol sources along the Queensland coast prevents coral-reef-derived aerosol from having a modulating influence on local aerosol burdens in the current climate.</t>
  </si>
  <si>
    <t>[Fiddes, Sonya L.] Univ Melbourne, ARC Ctr Excellence Climate Syst Sci, Melbourne, Vic, Australia; [Fiddes, Sonya L.] Univ Melbourne, Australian German Climate &amp; Energy Coll, Melbourne, Vic, Australia; [Fiddes, Sonya L.; Woodhouse, Matthew T.; Dunne, Erin; Humphries, Ruhi S.; Keywood, Melita D.; Selleck, Paul; Ward, Jason P.] CSIRO, Climate Sci Ctr, Oceans &amp; Atmosphere, Aspendale, Vic, Australia; [Utembe, Steve] Environm Protect Author Victoria, Macleod, Australia; [Schofield, Robyn; Lane, Todd P.] Univ Melbourne, ARC Ctr Excellence Climate Extremes, Melbourne, Vic, Australia; [Alexander, Simon P.] Australian Antarctic Div, Hobart, Tas, Australia; [Alroe, Joel; Cravigan, Luke; Johnson, Graham; Miljevic, Branka; Ristovski, Zoran] Queensland Univ Technol, Sch Earth &amp; Atmospher Sci, Int Lab Air Qual &amp; Hlth, Brisbane, Qld, Australia; [Chambers, Scott D.; Williams, Alastair G.] Australian Nucl Sci &amp; Technol Org, Lucas Heights, NSW, Australia; [Chen, Zhenyi] Chinese Acad Sci, Anhui Inst Opt &amp; Fine Mech, Key Lab Environm Opt &amp; Technol, Hefei 230031, Peoples R China; [Omori, Yuko] Univ Tsukuba, Fac Life &amp; Environm Sci, Tsukuba, Ibaraki, Japan; [Omori, Yuko; Tanimoto, Hiroshi] Natl Inst Environm Studies, Earth Syst Div, Tsukuba, Ibaraki, Japan; [Protat, Alain] Australian Bur Meteorol, Melbourne, Vic, Australia; [Swan, Hilton B.] Southern Cross Univ, Fac Sci &amp; Engn, Lismore, NSW, Australia; [Fiddes, Sonya L.] Univ Tasmania, Inst Marine &amp; Antarctic Studies, Australian Antarctic Program Partnership, Hobart, Tas, Australia</t>
  </si>
  <si>
    <t>ARC Centre of Excellence for Climate System Science; University of Melbourne; Melbourne Genomics Health Alliance; Melbourne Genomics Health Alliance; University of Melbourne; Commonwealth Scientific &amp; Industrial Research Organisation (CSIRO); Melbourne Genomics Health Alliance; University of Melbourne; Australian Antarctic Division; Queensland University of Technology (QUT); Australian Nuclear Science &amp; Technology Organisation; Chinese Academy of Sciences; Hefei Institutes of Physical Science, CAS; Anhui Institute of Optics &amp; Fine Mechanics (AIOFM), CAS; University of Tsukuba; National Institute for Environmental Studies - Japan; Bureau of Meteorology - Australia; Southern Cross University; University of Tasmania</t>
  </si>
  <si>
    <t>Fiddes, SL (corresponding author), Univ Melbourne, ARC Ctr Excellence Climate Syst Sci, Melbourne, Vic, Australia.;Fiddes, SL (corresponding author), Univ Melbourne, Australian German Climate &amp; Energy Coll, Melbourne, Vic, Australia.;Fiddes, SL (corresponding author), CSIRO, Climate Sci Ctr, Oceans &amp; Atmosphere, Aspendale, Vic, Australia.;Fiddes, SL (corresponding author), Univ Tasmania, Inst Marine &amp; Antarctic Studies, Australian Antarctic Program Partnership, Hobart, Tas, Australia.</t>
  </si>
  <si>
    <t>sonya.fiddes@utas.edu.au</t>
  </si>
  <si>
    <t>Schofield, Robyn/A-4062-2010; Fiddes, Sonya L./HKM-5559-2023; Omori, Yuko/B-9962-2017; Alroe, Joel/IXD-9543-2023; Fiddes, Sonya/ABA-7818-2020; SWAN, Hilton/B-1426-2013; Williams, Alastair/P-6946-2014; Ristovski, Zoran/D-3308-2009; Tanimoto, Hiroshi/E-6779-2010; keywood, melita/C-5139-2011; Woodhouse, Matthew/E-4808-2013</t>
  </si>
  <si>
    <t>Schofield, Robyn/0000-0002-4230-717X; Fiddes, Sonya L./0000-0002-2752-0845; Alroe, Joel/0000-0003-2618-7320; Fiddes, Sonya/0000-0002-2752-0845; Chambers, Scott/0000-0002-2521-959X; SWAN, Hilton/0000-0002-1608-3977; Williams, Alastair/0000-0002-0568-8487; Ristovski, Zoran/0000-0001-6066-6638; Tanimoto, Hiroshi/0000-0002-5424-9923; Cravigan, Luke/0000-0003-2636-928X; keywood, melita/0000-0001-9953-6806; Woodhouse, Matthew/0000-0002-9892-4492; Miljevic, Branka/0000-0003-4408-2047; Alexander, Simon/0000-0001-6823-8857</t>
  </si>
  <si>
    <t>Australian Research Council [DP150101649, CE170100023, CE110001028, 15H01732, 17KK0016]; Ministry of Education, Culture, Sports, Science and Technology, Japan</t>
  </si>
  <si>
    <t>Australian Research Council(Australian Research Council); Ministry of Education, Culture, Sports, Science and Technology, Japan(Ministry of Education, Culture, Sports, Science and Technology, Japan (MEXT))</t>
  </si>
  <si>
    <t>This research has been supported by the Australian Research Council (grant nos. DP150101649, CE170100023, and CE110001028) and the Grant-in-Aid for Scientific Research (15H01732 and 17KK0016) from the Ministry of Education, Culture, Sports, Science and Technology, Japan.</t>
  </si>
  <si>
    <t>10.5194/acp-22-2419-2022</t>
  </si>
  <si>
    <t>ZH3QS</t>
  </si>
  <si>
    <t>WOS:000760857500001</t>
  </si>
  <si>
    <t>Lee, J; Lee, WS; Jung, H; Lee, SG</t>
  </si>
  <si>
    <t>Lee, Jeonghoon; Lee, Won Sang; Jung, Hyejung; Lee, Seung-Gu</t>
  </si>
  <si>
    <t>Comparison between total least squares and ordinary least squares in obtaining the linear relationship between stable water isotopes</t>
  </si>
  <si>
    <t>Ordinary least squares; Total least squares; Stable water isotopes; Monte Carlo</t>
  </si>
  <si>
    <t>RAINFALL</t>
  </si>
  <si>
    <t>The linear relationship between two stable water isotopes (delta D and delta O-18) has been used to examine the physical processes and movements or changes of three water phases (water vapor, liquid water and ice), including deuterium excess. The ordinary least squares (OLS) method has been the most commonly used method to fit the linear relationship between two isotopic compositions of water. However, an alternative method, the total least squares (TLS) method, has been proposed because it considers the presence of errors in the explanatory variable (horizontal axis, delta O-18). However, not many studies have examined the differences of the relationship using two stable isotopes between the OLS and TLS for various types of water. In this work, these two methods were compared using isotopic compositions of three types of water (Antarctic snow, water vapor and summer and winter rainfall). Statistically, the slopes and intercepts obtained by the two linear regression methods were not significantly different except for summer rainfall, which has the smallest coefficient of variations (R-2). The TLS method produced larger slopes than the OLS method and the degrees of difference between the two methods were greater when the coefficient of variation was lower. In addition, with a Monte Carlo method, we showed that the differences between the two methods increased as the uncertainty increased. Moreover, the results of Bayesian linear regression were consistent with the two linear regressions. Although the TLS method is theoretically more suited to the linear regression for the stable water isotopes than the OLS method is, the application of the widely used OLS method can be recommended in the case of small measurements uncertainties after testing whether the linear parameters, slopes and intercepts, derived from the two methods are statistically significant different.</t>
  </si>
  <si>
    <t>[Lee, Jeonghoon; Jung, Hyejung] Ewha Womans Univ, Dept Sci Educ, Seoul 120750, South Korea; [Lee, Won Sang] Korea Polar Res Inst, Incheon 21990, South Korea; [Lee, Seung-Gu] Korea Inst Geosci &amp; Mineral Resources, Daejeon 34132, South Korea</t>
  </si>
  <si>
    <t>Ewha Womans University; Korea Polar Research Institute (KOPRI); Korea Institute of Geoscience &amp; Mineral Resources (KIGAM)</t>
  </si>
  <si>
    <t>Lee, J (corresponding author), Ewha Womans Univ, Dept Sci Educ, Seoul 120750, South Korea.</t>
  </si>
  <si>
    <t>jeonghoon.d.lee@gmail.com</t>
  </si>
  <si>
    <t>Lee, Jeonghoon/0000-0002-1256-4431; Jung, Hyejung/0000-0003-0211-6501</t>
  </si>
  <si>
    <t>Korean Ministry of Oceans and Fisheries [KIMST20190361]; Korea Institute of Geoscience and Mineral Resources [GP2017-018]</t>
  </si>
  <si>
    <t>Korean Ministry of Oceans and Fisheries; Korea Institute of Geoscience and Mineral Resources</t>
  </si>
  <si>
    <t>This work was sponsored by a research grant from the Korean Ministry of Oceans and Fisheries (KIMST20190361) and partially supported by the principal Research Fund of the Korea Institute of Geoscience and Mineral Resources (GP2017-018).</t>
  </si>
  <si>
    <t>10.1186/s40562-022-00219-w</t>
  </si>
  <si>
    <t>ZF4PT</t>
  </si>
  <si>
    <t>WOS:000759552500001</t>
  </si>
  <si>
    <t>Prekrasna, I; Pavlovska, M; Dzhulai, A; Dykyi, E; Alygizakis, N; Slobodnik, J</t>
  </si>
  <si>
    <t>Prekrasna, Ievgeniia; Pavlovska, Mariia; Dzhulai, Artem; Dykyi, Evgen; Alygizakis, Nikiforos; Slobodnik, Jaroslav</t>
  </si>
  <si>
    <t>Antibiotic Resistance in Black Sea Microbial Communities</t>
  </si>
  <si>
    <t>ARGs; beta-lactam; macrolide; colistin; vancomycin; qPCR; Black Sea</t>
  </si>
  <si>
    <t>GENES; BACTERIA; REGION; WATER; CONTAMINATION; FISH</t>
  </si>
  <si>
    <t>Background: Antibiotic resistance genes (ARGs) are considered as pollutants and are found in natural and anthropogenically impacted environments. Distribution of ARGs in marine environment poses a threat to human health turning the water body into a pool for the ARGs' transmission.Objectives: A large-scale study of antibiotic resistance in microbial communities has been performed in the Black Sea, both in the coastal and offshore regions.Methods: The quantitative distribution of the genes responsible for the inactivation of the beta-lactam (bla(CMY), bla(SHV)), vancomycin (vanA, vanB), macrolides (ermB) and colistin (mcr-1) was assessed with real-time quantitative PCR. Concentrations of the antibiotics belonging to the classes of beta-lactam/cephalosporin/carbapenem, macrolides and glycopeptides were determined by LC-ESI-QTOF-MS.Results: The present study revealed the distribution of antibiotic resistance genes targeting the response to all antibiotics included in our analysis at various locations across the Black Sea. According to the ARGs copy number normalized to the 16S rRNA, vanB (2 x 10(-1) +/- 1 x 10(-1)) and bla(SHV) (4 x 10(-2) +/- 1 x 10(-2)) were the most numerous genes, followed by bla(CMY) (1 x 10(-2) +/- 3 x 10(-3)) and mcr-1 (3 x 10(-2) +/- 2 x 10(-2)). The less abundant gene was ermB (1 x 10(-3) +/- 5 x 10(-4)) and vanA (1 x 10(-5) +/- 5 x 10(-4)). The mcr-1, bla(CMY) and bla(SHV) had moderate positive correlation with markers of ruminant faecal pollution. The concentration of antibiotics in seawater was below the detection limit. The abundance of all ARGs included in the study was significantly higher (p-value&lt;0.05) within the northwest coastal area when compared to the offshore stations. The results clearly indicate an alarming antibiotic resistance problem in the region and call for a regular monitoring of ARGs abundance in the Black Sea and its major freshwater tributaries.</t>
  </si>
  <si>
    <t>[Prekrasna, Ievgeniia; Pavlovska, Mariia; Dzhulai, Artem; Dykyi, Evgen] State Inst Natl Antarctic Sci Ctr, Dept Biol &amp; Ecol, Kiev, Ukraine; [Pavlovska, Mariia] Natl Univ Life &amp; Environm Sci Ukraine, Fac Plant Protect Biotechnol &amp; Ecol, Kiev, Ukraine; [Alygizakis, Nikiforos; Slobodnik, Jaroslav] Environm Inst, Kos, Slovakia; [Alygizakis, Nikiforos] Natl &amp; Kapodistrian Univ Athens, Dept Chem, Lab Analyt Chem, Athens, Greece</t>
  </si>
  <si>
    <t>Ministry of Education &amp; Science of Ukraine; State Institution National Antarctic Scientific Center; National University of Life &amp; Environmental Sciences of Ukraine; Environmental Institute; National &amp; Kapodistrian University of Athens</t>
  </si>
  <si>
    <t>Slobodnik, J (corresponding author), Environm Inst, Kos, Slovakia.</t>
  </si>
  <si>
    <t>slobodnik@ei.sk</t>
  </si>
  <si>
    <t>Alygizakis, Nikiforos/I-8111-2018</t>
  </si>
  <si>
    <t>Alygizakis, Nikiforos/0000-0002-5727-4999</t>
  </si>
  <si>
    <t>EU/UNDP Project: Improving Environmental Monitoring in the Black Sea-Selected Measures (EMBLAS-Plus) [ENPI/2018/389-859]</t>
  </si>
  <si>
    <t>EU/UNDP Project: Improving Environmental Monitoring in the Black Sea-Selected Measures (EMBLAS-Plus)</t>
  </si>
  <si>
    <t>This work was supported by the EU/UNDP Project: Improving Environmental Monitoring in the Black Sea-Selected Measures (EMBLAS-Plus), ENPI/2018/389-859.</t>
  </si>
  <si>
    <t>FEB 21</t>
  </si>
  <si>
    <t>10.3389/fenvs.2022.823172</t>
  </si>
  <si>
    <t>ZY1TM</t>
  </si>
  <si>
    <t>WOS:000772372500001</t>
  </si>
  <si>
    <t>Fan, SY; Gao, Y; Lai, B; Elzinga, EJ; Yu, S</t>
  </si>
  <si>
    <t>Fan, Songyun; Gao, Yuan; Lai, Barry; Elzinga, Evert J.; Yu, Shun</t>
  </si>
  <si>
    <t>Aerosol iron speciation and seasonal variation of iron oxidation state over the western Antarctic Peninsula</t>
  </si>
  <si>
    <t>Fe oxidation states; Antarctic Peninsula; Aerosols; XANES; Fe mineralogy</t>
  </si>
  <si>
    <t>PARTICLE-SIZE DISTRIBUTIONS; CLIMATE-CHANGE; TRACE-ELEMENTS; ENVIRONMENTAL-CHANGES; SOUTHERN-OCEAN; MINERAL DUST; ICE CORE; SOLUBILITY; VARIABILITY; TRANSPORT</t>
  </si>
  <si>
    <t>The iron (Fe) speciation and oxidation state have been considered critical factors affecting Fe solubility in the atmosphere and bioavailability in the surface ocean. In this study, elemental composition and Fe speciation in aerosol samples collected at the Palmer Station in the West Antarctic Peninsula were determined using synchrotron-based X-ray fluorescence (XRF) and X-ray Absorption Near-Edge Structure (XANES) spectroscopy. The elemental composition of coarse-mode (&gt;1 mu m) Fe-containing particles suggests that the region's crustal emission is the primary source of aerosol Fe. The Fe minerals in these aerosol particles were predominantly hematite and biotite, but minor fractions of pyrite and ilmenite were observed as well. The Fe oxidation state showed an evident seasonal variation. The Fe(II) content accounted for 71% of the total Fe in the austral summer, while this fraction dropped to 60% in the austral winter. Multivariate linear models involving meteorological parameters suggested that the wind speed, relative humidity, and solar irradiance were the factors that significantly controlled the percentage of Fe(II) in the austral summer. On the contrary, no relationship was found between these factors and the Fe(II) percentage in the austral winter, suggesting that atmospheric photoreduction and regional dust emission were limited. Moreover, the snow depth was significantly (p &lt; 0.05) correlated with the aerosol Fe concentration, confirming the limiting effect of snow/ice cover on the regional dust emission. Given that the Antarctic Peninsula has experienced rapid warming during recent decades, the ice-free areas in the Antarctic Peninsula may act as potential dust sources.</t>
  </si>
  <si>
    <t>[Fan, Songyun; Gao, Yuan; Elzinga, Evert J.; Yu, Shun] Rutgers State Univ, Dept Earth &amp; Environm Sci, Newark, NJ 07102 USA; [Lai, Barry] Argonne Natl Lab, Adv Photon Source, Argonne, IL 60439 USA</t>
  </si>
  <si>
    <t>Rutgers University System; Rutgers University New Brunswick; Rutgers University Newark; United States Department of Energy (DOE); Argonne National Laboratory</t>
  </si>
  <si>
    <t>Gao, Y (corresponding author), Rutgers State Univ, Dept Earth &amp; Environm Sci, Newark, NJ 07102 USA.</t>
  </si>
  <si>
    <t>yuangaoh@newark.rutgers.edu</t>
  </si>
  <si>
    <t>US National Science Foundation [OPP-1341494, OCE-2048858]; [DE-AC02-06CH11357]</t>
  </si>
  <si>
    <t>US National Science Foundation(National Science Foundation (NSF));</t>
  </si>
  <si>
    <t>This research was sponsored by the US National Science Foundation Grant OPP-1341494 and OCE-2048858 to YG. Sample analyses were performed on Beamline 2-ID-D at the Advanced Photon Source, a US Department of Energy Office of Science User Facility operated by Argonne National Laboratory, under Contract No. DE-AC02-06CH11357. We are grateful to PamiMukherjee, Rafael Jusino-Atresino, and Guojie Xu for assistance with air sampling preparation. This work would not have become possible without the support from the staff of Palmer Station and the US Antarctic Program.</t>
  </si>
  <si>
    <t>10.1016/j.scitotenv.2022.153890</t>
  </si>
  <si>
    <t>ZN2SP</t>
  </si>
  <si>
    <t>WOS:000764890800015</t>
  </si>
  <si>
    <t>Thums, M; Ferreira, LC; Jenner, C; Jenner, M; Harris, D; Davenport, A; Andrews-Goff, V; Double, M; Möller, L; Attard, CRM; Bilgmann, K; Thomson, PG; McCauley, R</t>
  </si>
  <si>
    <t>Thums, Michele; Ferreira, Luciana C.; Jenner, Curt; Jenner, Micheline; Harris, Danielle; Davenport, Andrew; Andrews-Goff, Virginia; Double, Mike; Moller, Luciana; Attard, Catherine R. M.; Bilgmann, Kerstin; Thomson, Paul G.; McCauley, Robert</t>
  </si>
  <si>
    <t>Pygmy blue whale movement, distribution and important areas in the Eastern Indian Ocean</t>
  </si>
  <si>
    <t>Migration; Foraging; Satellite telemetry; Passive acoustics; Biologically Important Areas; Ecologically significant areas</t>
  </si>
  <si>
    <t>BIOLOGICALLY SIGNIFICANT AREAS; BALAENOPTERA-MUSCULUS; MIGRATION; SEABIRDS; PACIFIC; LONG</t>
  </si>
  <si>
    <t>Pygmy blue whales in the South-east Indian Ocean migrate from the southern coast of Australia to Indonesia, with a significant part of their migration route passing through areas subject to oil and gas production. This study aimed at improving our understanding of the spatial extent of the distribution, migration and foraging areas, to better inform impact assessment of anthropogenic activities in these regions. Using a combination of passive acoustic monitoring of the NW Australian coast (46 instruments from 2006 to 2019) and satellite telemetry data (22 tag deployments from 2009 to 2021) we quantified the pygmy blue whale distribution and important areas during their northern and southern migration. We show extensive use of slope habitat off Western Australia and only minimal use of shelf habitat, compared to southern Australia where use of the continental shelf and shelf break predominates. In addition, movement behaviour estimated by a state-space model on satellite tag data showed that in general pygmy blue whales off Western Australia were mostly engaged in migration, interspersed with relatively short periods (median = 28 h, range = 2 - 1080 h) of low move persistence (slow movement with high turning angles), which is indicative of foraging. Using the spatial overlap of time and number of whales in area analysis of the satellite tracking data (top 50% of grid cells) with foraging movement behaviour, we quantified the spatial extent of pygmy blue whale high use areas for foraging and migration. We compared these areas to the previously described areas of importance to foraging and migrating whales (Biologically Important Areas; BIAs). In some cases these had good agreement with the most important areas we calculated from our data, but others had only low (5%) to moderate (15%) overlap. Month was the most important variable predicting the number of pygmy blue whale units and number of singers (acting as indices of pygmy blue whale density). Whale density was highest in the southern part of the NW Australian coast and whales were present there between April-June, and November-December, a pattern also confirmed by the satellite tracking data. Available data indicated pygmy blue whales spent up to 124 days in Indonesian waters (34% of annual cycle). Since this area may also be the calving ground for this population, inter-jurisdictional management is necessary to ensure their full protection.</t>
  </si>
  <si>
    <t>[Thums, Michele; Ferreira, Luciana C.] Univ Western Australia, Indian Ocean Marine Res Ctr, Australian Inst Marine Sci, Crawley, WA 6009, Australia; [Jenner, Curt; Jenner, Micheline; Davenport, Andrew] Ctr Whale Res WA Inc, Fremantle, WA 6010, Australia; [Harris, Danielle] Univ St Andrews, Ctr Res Ecol &amp; Environm Modelling, The Observ, St Andrews KY16 9LZ, Fife, Scotland; [Andrews-Goff, Virginia; Double, Mike] Dept Agr Water &amp; Environm, Australian Antarctic Div, Sci Branch, Kingston, Tas 7050, Australia; [Moller, Luciana; Attard, Catherine R. M.; Bilgmann, Kerstin] Flinders Univ S Australia, Coll Sci &amp; Engn, Cetacean Ecol Behav &amp; Evolut Lab, Bedford Pk, SA 5042, Australia; [Bilgmann, Kerstin] Macquarie Univ, Sch Nat Sci, Sydney, NSW 2109, Australia; [Thomson, Paul G.] Univ Western Australia, Ocean Grad Sch, 35 Stirling Highway, Perth, WA 6009, Australia; [Thomson, Paul G.] Univ Western Australia, UWA Oceans Inst, 35 Stirling Highway, Perth, WA 6009, Australia; [Davenport, Andrew; McCauley, Robert] Curtin Univ, Ctr Marine Sci &amp; Technol, Bentley, WA 6102, Australia</t>
  </si>
  <si>
    <t>University of Western Australia; Australian Institute of Marine Science; University of St Andrews; Australian Antarctic Division; Flinders University South Australia; Macquarie University; University of Western Australia; University of Western Australia; Curtin University</t>
  </si>
  <si>
    <t>Thums, M (corresponding author), Univ Western Australia, Indian Ocean Marine Res Ctr, Australian Inst Marine Sci, Crawley, WA 6009, Australia.</t>
  </si>
  <si>
    <t>m.thums@aims.gov.au</t>
  </si>
  <si>
    <t>Thums, Michele/A-3850-2013</t>
  </si>
  <si>
    <t>Andrews-Goff, Virginia/0000-0002-4609-7317; Harris, Danielle Veronica/0000-0003-1447-1420; Bilgmann, Kerstin/0000-0003-0681-2301; Cerqueira Ferreira, Luciana/0000-0001-6755-2799</t>
  </si>
  <si>
    <t>Santos; National Natural Science Foundation of China (NSFC) [91955210, 41625016]; China Academy of Science (CAS) [GJHZ1776]; Perth Canyon</t>
  </si>
  <si>
    <t>Santos; National Natural Science Foundation of China (NSFC)(National Natural Science Foundation of China (NSFC)); China Academy of Science (CAS)(Chinese Academy of Sciences); Perth Canyon</t>
  </si>
  <si>
    <t>This study was conducted as part of AIMS' North West Shoals to Shore Research Program (NWSSRP) and was supported by Santos as part of the company's commitment to better understand Western Australia's marine environment. Hydrophone pressure data from Ocean Bottom Seismometers (OBS) were provided by the CANPASS project, jointly funded by the National Natural Science Foundation of China (NSFC grants 91955210, 41625016) , and the China Academy of Science (CAS program GJHZ1776) . Instruments were pro-vided by the Australian National instrument pool ANSIR (http://ansir.org.au/) . ANSIR, OBS data was also made data available from the Geoscience Australia and Shell. Data was sourced from Australia's Integrated Marine Observing System (IMOS) - IMOS is enabled by the National Collaborative Research Infrastructure Strategy (NCRIS) . In particular, we acknowledge the Passive Acoustics sub-facility of IMOS (IMOS http://imos.org.au/) and the contribution from the WA State Government that supported sea noise data collection from WA. IMOS also supported sea noise data collection from the Perth Canyon and co-funded the Slocum glider deployments.</t>
  </si>
  <si>
    <t>e02054</t>
  </si>
  <si>
    <t>10.1016/j.gecco.2022.e02054</t>
  </si>
  <si>
    <t>ZH6AA</t>
  </si>
  <si>
    <t>WOS:000761018100003</t>
  </si>
  <si>
    <t>Carneiro, APB; Dias, MP; Oppel, S; Pearmain, EJ; Clark, BL; Wood, AG; Clavelle, T; Phillips, RA</t>
  </si>
  <si>
    <t>Carneiro, A. P. B.; Dias, M. P.; Oppel, S.; Pearmain, E. J.; Clark, B. L.; Wood, A. G.; Clavelle, T.; Phillips, R. A.</t>
  </si>
  <si>
    <t>Integrating immersion with GPS data improves behavioural classification for wandering albatrosses and shows scavenging behind fishing vessels mirrors natural foraging</t>
  </si>
  <si>
    <t>ANIMAL CONSERVATION</t>
  </si>
  <si>
    <t>fine-scale; fisheries; hidden Markov models; immersion; radar; random forest models; seabirds; vessel</t>
  </si>
  <si>
    <t>AREA-RESTRICTED SEARCH; MARINE PREDATOR; SEABIRDS; FISHERY; STRATEGIES; FOOTPRINT; TRACKING; SUCCESS; BYCATCH</t>
  </si>
  <si>
    <t>Advances in biologging techniques and the availability of high-resolution fisheries data have improved our ability to understand the interactions between seabirds and fisheries and to evaluate mortality risk due to bycatch. However, it remains unclear whether movement patterns and behaviour differ between birds foraging naturally or scavenging behind vessels and whether this could be diagnostic of fisheries interactions. We deployed novel loggers that record the GPS position of birds at sea and scan the surroundings to detect radar transmissions from vessels and immersion (activity) loggers on wandering albatrosses Diomedea exulans from South Georgia. We matched these data to remotely sensed fishing vessel positions and used a combination of hidden Markov and random forest models to investigate whether it was possible to detect a characteristic signature from the seabird tracking and activity data that would indicate fine-scale vessel overlap and interactions. Including immersion data in our hidden Markov models allowed two distinct foraging behaviours to be identified, both indicative of Area Restricted Search (ARS) but with or without landing behaviour (likely prey capture attempts) that would not be detectable with location data alone. Birds approached vessels during all behavioural states, and there was no clear pattern associated with this type of scavenging behaviour. The random forest models had very low sensitivity, partly because foraging events at vessels occurred very rarely, and did not contain any diagnostic movement or activity pattern that was distinct from natural behaviours away from vessels. Thus, we were unable to predict accurately whether foraging bouts occurred in the vicinity of a fishing vessel, or naturally, based on behaviour alone. Our method provides a coherent and generalizable framework to segment trips using auxiliary biologging (immersion) data and to refine the classification of foraging strategies of seabirds. These results nevertheless underline the value of using radar detectors that detect vessel proximity or remotely sensed vessel locations for a better understanding of seabird-fishery interactions.</t>
  </si>
  <si>
    <t>[Carneiro, A. P. B.; Dias, M. P.; Pearmain, E. J.; Clark, B. L.] BirdLife Int, David Attenborough Bldg,Pembroke St, Cambridge CB2 3QZ, England; [Dias, M. P.] Univ Lisbon, Ctr Ecol Evolut &amp; Environm Changes, Fac Ciencias, Lisbon, Portugal; [Dias, M. P.] Univ Lisbon, Dept Anim Biol, Fac Ciencias, Lisbon, Portugal; [Oppel, S.] Royal Soc Protect Birds, David Attenborough Bldg, Cambridge, England; [Wood, A. G.; Phillips, R. A.] British Antarctic Survey, Nat Environm Res Council, High Cross,Madingley Rd, Cambridge CB3 0ET, England; [Clavelle, T.] Global Fishing Watch, Washington, DC USA</t>
  </si>
  <si>
    <t>BirdLife International; Universidade de Lisboa; Universidade de Lisboa; Royal Society for Protection of Birds; UK Research &amp; Innovation (UKRI); Natural Environment Research Council (NERC); NERC British Antarctic Survey</t>
  </si>
  <si>
    <t>Carneiro, APB (corresponding author), BirdLife Int, David Attenborough Bldg,Pembroke St, Cambridge CB2 3QZ, England.;Phillips, RA (corresponding author), British Antarctic Survey, Nat Environm Res Council, High Cross,Madingley Rd, Cambridge CB3 0ET, England.</t>
  </si>
  <si>
    <t>ana.carneiro@birdlife.org; raphil@bas.ac.uk</t>
  </si>
  <si>
    <t>Carneiro, Ana Paula/IQT-6077-2023; Dias, Maria P./D-1331-2012</t>
  </si>
  <si>
    <t>Dias, Maria P./0000-0002-7281-4391; Clark, Bethany Louise/0000-0001-5803-7744; , Ana/0000-0003-0573-7549</t>
  </si>
  <si>
    <t>Natural Environment Research Council; BirdLife International Marine programme; Darwin Plus 092 (DPLUS092)</t>
  </si>
  <si>
    <t>Natural Environment Research Council(UK Research &amp; Innovation (UKRI)Natural Environment Research Council (NERC)); BirdLife International Marine programme; Darwin Plus 092 (DPLUS092)</t>
  </si>
  <si>
    <t>We are grateful to all those involved in data collection at Bird Island, in particular, Rosie Hall, Alex Dodds and James Crymble. This paper is a contribution to the Ecosystems component of the British Antarctic Survey Polar Science for Planet Earth Programme, funded by the Natural Environment Research Council and the BirdLife International Marine programme. Funding was provided by Darwin Plus 092 (DPLUS092).</t>
  </si>
  <si>
    <t>1367-9430</t>
  </si>
  <si>
    <t>1469-1795</t>
  </si>
  <si>
    <t>ANIM CONSERV</t>
  </si>
  <si>
    <t>Anim. Conserv.</t>
  </si>
  <si>
    <t>10.1111/acv.12768</t>
  </si>
  <si>
    <t>5K6FQ</t>
  </si>
  <si>
    <t>WOS:000758165200001</t>
  </si>
  <si>
    <t>Uenzelmann-Neben, G; Gohl, K; Hochmuth, K; Salzmann, U; Larter, RD; Hillenbrand, CD; Klages, JP</t>
  </si>
  <si>
    <t>Uenzelmann-Neben, Gabriele; Gohl, Karsten; Hochmuth, Katharina; Salzmann, Ulrich; Larter, Robert D.; Hillenbrand, Claus-Dieter; Klages, Johann P.</t>
  </si>
  <si>
    <t>Sci Team Expedition PS104</t>
  </si>
  <si>
    <t>Deep water inflow slowed offshore expansion of the West Antarctic Ice Sheet at the Eocene-Oligocene transition</t>
  </si>
  <si>
    <t>AMUNDSEN SEA EMBAYMENT; MARIE-BYRD-LAND; CONTINENTAL-SHELF; WILKES LAND; SOUTHERN-HEMISPHERE; OCEAN CIRCULATION; LATE PLEISTOCENE; VARIABILITY; CLIMATE; SEDIMENTATION</t>
  </si>
  <si>
    <t>The growth of the West Antarctic Ice Sheet was inhibited by incursions of relatively warm circumpolar deep water as early as the Eocene-Oligocene transition, according to seismic imaging of a sediment drift on the shelf of the Amundsen Sea Embayment. The stability of the West Antarctic Ice Sheet is threatened by the incursion of warm Circumpolar Deepwater which flows southwards via cross-shelf troughs towards the coast there melting ice shelves. However, the onset of this oceanic forcing on the development and evolution of the West Antarctic Ice Sheet remains poorly understood. Here, we use single- and multichannel seismic reflection profiles to investigate the architecture of a sediment body on the shelf of the Amundsen Sea Embayment. We estimate the formation age of this sediment body to be around the Eocene-Oligocene Transition and find that it possesses the geometry and depositional pattern of a plastered sediment drift. We suggest this indicates a southward inflow of deep water which probably supplied heat and, thus, prevented West Antarctic Ice Sheet advance beyond the coast at this time. We conclude that the West Antarctic Ice Sheet has likely experienced a strong oceanic influence on its dynamics since its initial formation.</t>
  </si>
  <si>
    <t>[Uenzelmann-Neben, Gabriele; Gohl, Karsten; Hochmuth, Katharina; Klages, Johann P.] Helmholtz Zentrum Polar &amp; Meeresforsch, Alfred Wegener Inst, Bremerhaven, Germany; [Hochmuth, Katharina] Univ Leicester, Sch Geog Geol &amp; Environm, Leicester, Leics, England; [Salzmann, Ulrich] Northumbria Univ, Dept Geog &amp; Environm Sci, Newcastle Upon Tyne, Tyne &amp; Wear, England; [Larter, Robert D.; Hillenbrand, Claus-Dieter] British Antarctic Survey, Cambridge, England</t>
  </si>
  <si>
    <t>Helmholtz Association; Alfred Wegener Institute, Helmholtz Centre for Polar &amp; Marine Research; University of Leicester; Northumbria University; UK Research &amp; Innovation (UKRI); Natural Environment Research Council (NERC); NERC British Antarctic Survey</t>
  </si>
  <si>
    <t>Uenzelmann-Neben, G (corresponding author), Helmholtz Zentrum Polar &amp; Meeresforsch, Alfred Wegener Inst, Bremerhaven, Germany.</t>
  </si>
  <si>
    <t>gabriele.uenzelmann-neben@awi.de</t>
  </si>
  <si>
    <t>Pälike, Heiko/A-6560-2008</t>
  </si>
  <si>
    <t>Pälike, Heiko/0000-0003-3386-0923; Klages, Johann Philipp/0000-0003-0968-1183; Hochmuth, Katharina/0000-0003-2789-2179; Gohl, Karsten/0000-0002-9558-2116; Uenzelmann-Neben, Gabriele/0000-0002-0115-5923; Larter, Robert/0000-0002-8414-7389; Spiegel, Cornelia/0000-0002-1432-3447; Riefstahl, Florian/0000-0002-1198-1698</t>
  </si>
  <si>
    <t>Alfred Wegener Institute (AWI) [AWI_PS104_001]; MARUM Center for Marine Environmental Sciences; British Antarctic Survey through its Polar Science for Planet Earth programme; Natural Environmental Research Council; AWI PACES II programme; Helmholtz Association [PD-201]; NERC UK IODP; BAS; NERC [NE/P019080/1, NE/R018219/1, NE/M013081/1, NE/I006257/1, NE/L004607/1] Funding Source: UKRI</t>
  </si>
  <si>
    <t>Alfred Wegener Institute (AWI); MARUM Center for Marine Environmental Sciences; British Antarctic Survey through its Polar Science for Planet Earth programme; Natural Environmental Research Council(UK Research &amp; Innovation (UKRI)Natural Environment Research Council (NERC)); AWI PACES II programme; Helmholtz Association(Helmholtz Association); NERC UK IODP; BAS; NERC(UK Research &amp; Innovation (UKRI)Natural Environment Research Council (NERC))</t>
  </si>
  <si>
    <t>Funding(s) :Record # 1 We thank the captains and crews of RV Polarstern Expeditions ANT-XXVI/3 and PS104, as well as the MARUM-MeBo70 and the seismic teams for their support. We further thank Brian Romans and two anonymous reviewers for their very helpful comments and suggestions, which improved the manuscript. The authors would like to thank Emerson E&amp;P Software, Emerson Automation Solutions, for providing licenses for their seismic processing and mapping software Paradigm in the scope of the Emerson Academic Program. The operation of the MARUM-MeBo70 Sea Floor Drill Rig was funded by the Alfred Wegener Institute (AWI) through its Research Program PACES II Topic 3 and grant no. AWI_PS104_001, the MARUM Center for Marine Environmental Sciences, the British Antarctic Survey through its Polar Science for Planet Earth programme, and the Natural Environmental Research Council funded UK IODP programme. G.U.-N., K.G. and J.P.K. were funded by the AWI PACES II programme. J.P.K. was further funded by the Helmholtz Association (PD-201). BAS and NERC UK IODP funded UK participation in expedition PS104.</t>
  </si>
  <si>
    <t>10.1038/s43247-022-00369-x</t>
  </si>
  <si>
    <t>ZE3MI</t>
  </si>
  <si>
    <t>WOS:000758790500001</t>
  </si>
  <si>
    <t>Pecl, GT; Alexander, KA; Melbourne-Thomas, J; Novaglio, C; Villanueva, C; Nash, KL</t>
  </si>
  <si>
    <t>Pecl, Gretta T.; Alexander, Karen A.; Melbourne-Thomas, Jess; Novaglio, Camilla; Villanueva, Cecilia; Nash, Kirsty L.</t>
  </si>
  <si>
    <t>Future Seas 2030: pathways to sustainability for the UN Ocean Decade and beyond</t>
  </si>
  <si>
    <t>[Pecl, Gretta T.; Alexander, Karen A.; Melbourne-Thomas, Jess; Novaglio, Camilla; Villanueva, Cecilia; Nash, Kirsty L.] Univ Tasmania, Ctr Marine Socioecol, Private Bag 129, Hobart, Tas 7001, Australia; [Pecl, Gretta T.; Alexander, Karen A.; Novaglio, Camilla; Villanueva, Cecilia; Nash, Kirsty L.] Univ Tasmania, Inst Marine &amp; Antarctic Studies, Private Bag 129, Hobart, Tas 7001, Australia; [Alexander, Karen A.] Heriot Watt Univ, Int Ctr Isl Technol, Robert Rendall Bldg,Franklin Rd, Stromness KW16 3AW, Orkney, Scotland; [Melbourne-Thomas, Jess] CSIRO Oceans &amp; Atmosphere, Battery Point, Tas 7004, Australia</t>
  </si>
  <si>
    <t>University of Tasmania; University of Tasmania; Heriot Watt University; Commonwealth Scientific &amp; Industrial Research Organisation (CSIRO)</t>
  </si>
  <si>
    <t>Pecl, GT (corresponding author), Univ Tasmania, Ctr Marine Socioecol, Private Bag 129, Hobart, Tas 7001, Australia.</t>
  </si>
  <si>
    <t>Gretta.Pecl@utas.edu.au</t>
  </si>
  <si>
    <t>Melbourne-Thomas, Jess/N-2437-2019; Nash, Kirsty L/B-5456-2015; Pecl, Gretta/D-7267-2011; Alexander, Karen/O-7042-2017</t>
  </si>
  <si>
    <t>Melbourne-Thomas, Jess/0000-0001-6585-876X; Nash, Kirsty L/0000-0003-0976-3197; Pecl, Gretta/0000-0003-0192-4339; Alexander, Karen/0000-0001-8801-413X</t>
  </si>
  <si>
    <t>U Riawunna Centre at UTAS; Centre for Marine Socioecology, IMAS, MENZIES; College of Arts, Law and Education at UTAS; College of Science and Engineering at UTAS; DVCR Office at UTAS; ARC Future Fellowship</t>
  </si>
  <si>
    <t>U Riawunna Centre at UTAS; Centre for Marine Socioecology, IMAS, MENZIES; College of Arts, Law and Education at UTAS; College of Science and Engineering at UTAS; DVCR Office at UTAS; ARC Future Fellowship(Australian Research Council)</t>
  </si>
  <si>
    <t>U Riawunna Centre at UTAS provided advice and support for the Indigenous and Traditional working group, and the Future Seas project as a whole. Funding for Future Seas was provided by the Centre for Marine Socioecology, IMAS, MENZIES and the College of Arts, Law and Education, and the College of Science and Engineering at UTAS. We acknowledge support from a Research Enhancement Program grant from the DVCR Office at UTAS. GP was supported by an ARC Future Fellowship. We are grateful to the 130 participants within the broader Future Seas project who participated in the workshops described in this special issue and contributed to the development of the methods, and to the Managing Editors Robert Stephenson and Jessica Blythe for their valuable guidance. We acknowledge and pay respect to the traditional owners and custodians of sea country all around the world and recognise their collective wisdom and knowledge of our oceans and coasts. We are in particular deeply grateful to the Indigenous and Traditional working group for their time, knowledge, trust and collaboration. Thank you to David Finnigan and Jordan Prosser for their 'Full Metal Aquatic' art-science interpretation of the Future Seas special issue, and Dean Greeno, Bas Kohler, Stacey McCormack from Visual Knowledge, and Animate Your Science for artwork, images and graphical abstracts.</t>
  </si>
  <si>
    <t>10.1007/s11160-022-09705-y</t>
  </si>
  <si>
    <t>WOS:000758994100001</t>
  </si>
  <si>
    <t>Schmidt, SK; Johnson, BW; Solon, AJ; Sommers, P; Darcy, JL; Vincent, K; Vimercati, L; Fountain, AG; Porazinska, DL</t>
  </si>
  <si>
    <t>Schmidt, S. K.; Johnson, B. W.; Solon, A. J.; Sommers, P.; Darcy, J. L.; Vincent, K.; Vimercati, L.; Fountain, A. G.; Porazinska, D. L.</t>
  </si>
  <si>
    <t>Microbial biogeochemistry and phosphorus limitation in cryoconite holes on glaciers across the Taylor Valley, McMurdo Dry Valleys, Antarctica</t>
  </si>
  <si>
    <t>Phosphorus limitation; O-2 saturation; Nitrogen fixation; Nostoc; Ancient carbon; Microbial biogeochemistry</t>
  </si>
  <si>
    <t>CARBON CONCENTRATING MECHANISMS; ECOENZYMATIC STOICHIOMETRY; NUTRIENT LIMITATION; PSEUDOMONAS-FLUORESCENS; ISOTOPIC COMPOSITION; ORGANIC-MATTER; NITROGEN; SOIL; LANDSCAPE; EVOLUTION</t>
  </si>
  <si>
    <t>Cryoconite holes host active microbial communities despite their extreme physical conditions. In the McMurdo Dry Valleys of Antarctica, these perennially cold, mini-ecosystems form ice lids that can persist for many years thereby isolating the cryoconite from nutrient and carbon inputs. Despite much recent work on cryoconite holes in Antarctica, little is known about nutrient dynamics and limitations in these ice-enclosed ecosystems. We used multiple biogeochemical approaches, including stable isotope signatures (delta N-15 and delta C-13), nutrients concentrations (C, N, P), and enzyme activities, to evaluate what nutrients are likely limiting to biological activity in cryoconite hole sediments on Taylor, Canada, and Commonwealth glaciers in Taylor Valley, one of the McMurdo Dry Valleys. Nutrient concentrations (C, N, and P) varied in accordance with previous studies showing that the most inland of the three glaciers (Taylor Glacier) is the most oligotrophic. C-to-N ratios of Canada and Commonwealth cryoconite-hole sediments were close to the global mean for biologically-active sediments and soils, whereas Taylor Glacier cryoconite deviated from the global mean and were similar to the high C:N ratios seen in Taylor Valley soils. C and N stable isotope signatures on Commonwealth and Canada glaciers are congruent with values for efficient C and N fixation by nostocalean cyanobacteria, combined with higher levels of denitrification on Canada Glacier. In contrast, stable isotope signatures on the more oligotrophic Taylor Glacier are reflective of atmospheric deposition of N and C, or N inputs from nearby soils. Enzyme stoichiometric approaches further support extreme nutrient limitation on Taylor Glacier and indicate that P is the ultimate limiting nutrient across all three glaciers. Extremely high DIN-to-phosphate ratios also indicate P limitation across all three glaciers with Commonwealth Glacier being less severely P-limited than the other two glaciers. At a broader scale, this work provides a comprehensive framework for understanding how biogeochemical cycling of C, N and P vary across nutrient and climatic gradients in the cryobiosphere, and point towards the need for experimental work to test the relative controls of climate, microbes, and nutrients on biogeochemistry of cryoconite holes and other ecosystems of the cryosphere.</t>
  </si>
  <si>
    <t>[Schmidt, S. K.; Solon, A. J.; Sommers, P.; Vincent, K.; Vimercati, L.] Univ Colorado, Dept Ecol &amp; Evolutionary Biol, Campus Box 334, Boulder, CO 80309 USA; [Johnson, B. W.] Iowa State Univ, Dept Geol &amp; Atmospher Sci, Ames, IA 50011 USA; [Darcy, J. L.] Univ Colorado, Div Biomed Informat &amp; Personalized Med, Aschutz Med Campus, Aurora, CO USA; [Fountain, A. G.] Portland State Univ, Dept Geol, Portland, OR 97207 USA; [Porazinska, D. L.] Univ Florida, Dept Entomol &amp; Nematol, Gainesville, FL 32611 USA</t>
  </si>
  <si>
    <t>University of Colorado System; University of Colorado Boulder; Iowa State University; University of Colorado System; University of Colorado Anschutz Medical Campus; Portland State University; State University System of Florida; University of Florida</t>
  </si>
  <si>
    <t>Schmidt, SK (corresponding author), Univ Colorado, Dept Ecol &amp; Evolutionary Biol, Campus Box 334, Boulder, CO 80309 USA.</t>
  </si>
  <si>
    <t>Steve.Schmidt@Colorado.EDU</t>
  </si>
  <si>
    <t>Johnson, Benjamin William/AGO-6862-2022; Johnson, Benjamin/ABG-3416-2021; SCHMIDT, STEVEN K/G-2771-2010</t>
  </si>
  <si>
    <t>Johnson, Benjamin William/0000-0001-6925-3223; Johnson, Benjamin/0000-0001-6925-3223; SCHMIDT, STEVEN K/0000-0002-9175-2085</t>
  </si>
  <si>
    <t>US Antarctic Program; NSF Polar Programs Award [1443578]; NSF EAR postdoctoral fellowship [1725784]; Directorate For Geosciences; Division Of Earth Sciences [1725784] Funding Source: National Science Foundation; Directorate For Geosciences; Office of Polar Programs (OPP) [1443578] Funding Source: National Science Foundation</t>
  </si>
  <si>
    <t>US Antarctic Program; NSF Polar Programs Award(National Science Foundation (NSF)NSF - Directorate for Geosciences (GEO)); NSF EAR postdoctoral fellowship; Directorate For Geosciences; Division Of Earth Sciences(National Science Foundation (NSF)NSF - Directorate for Geosciences (GEO)); Directorate For Geosciences; Office of Polar Programs (OPP)(National Science Foundation (NSF)NSF - Directorate for Geosciences (GEO))</t>
  </si>
  <si>
    <t>We thank the late Diana Nemergut whose visionary leadership launched this project. This work would not have been possible without support from US Antarctic Program support staff and contractors. We thank T. Nylen and B. Hodges from UNAVCO for invaluable GPS support, and Kaelin Cawley for helpful comments. Chemistry of extracted nutrients was performed by the Colorado State University Soil, Water, and Plant Testing Lab. This work was funded by NSF Polar Programs Award 1443578. BWJ was funded by NSF EAR postdoctoral fellowship 1725784.</t>
  </si>
  <si>
    <t>10.1007/s10533-022-00900-4</t>
  </si>
  <si>
    <t>ZY8NB</t>
  </si>
  <si>
    <t>WOS:000759360500002</t>
  </si>
  <si>
    <t>Barnes, PW; Robson, TM; Neale, PJ; Williamson, CE; Zepp, RG; Madronich, S; Wilson, SR; Andrady, AL; Heikkila, AM; Bernhard, GH; Bais, AF; Neale, RE; Bornman, JF; Jansen, MAK; Klekociuk, AR; Martinez-Abaigar, J; Robinson, SA; Wang, QW; Banaszak, AT; Hader, DP; Hylander, S; Rose, KC; Wangberg, SA; Foereid, B; Hou, WC; Ossola, R; Paul, ND; Ukpebor, JE; Andersen, MPS; Longstreth, J; Schikowski, T; Solomon, KR; Sulzberger, B; Bruckman, LS; Pandey, KK; White, CC; Zhu, L; Zhu, M; Aucamp, PJ; Liley, JB; McKenzie, RL; Berwick, M; Byrne, SN; Hollestein, LM; Lucas, RM; Olsen, CM; Rhodes, LE; Yazar, S; Young, AR</t>
  </si>
  <si>
    <t>Barnes, P. W.; Robson, T. M.; Neale, P. J.; Williamson, C. E.; Zepp, R. G.; Madronich, S.; Wilson, S. R.; Andrady, A. L.; Heikkila, A. M.; Bernhard, G. H.; Bais, A. F.; Neale, R. E.; Bornman, J. F.; Jansen, M. A. K.; Klekociuk, A. R.; Martinez-Abaigar, J.; Robinson, S. A.; Wang, Q-W; Banaszak, A. T.; Haeder, D-P; Hylander, S.; Rose, K. C.; Wangberg, S-A; Foereid, B.; Hou, W-C; Ossola, R.; Paul, N. D.; Ukpebor, J. E.; Andersen, M. P. S.; Longstreth, J.; Schikowski, T.; Solomon, K. R.; Sulzberger, B.; Bruckman, L. S.; Pandey, K. K.; White, C. C.; Zhu, L.; Zhu, M.; Aucamp, P. J.; Liley, J. B.; McKenzie, R. L.; Berwick, M.; Byrne, S. N.; Hollestein, L. M.; Lucas, R. M.; Olsen, C. M.; Rhodes, L. E.; Yazar, S.; Young, A. R.</t>
  </si>
  <si>
    <t>Environmental effects of stratospheric ozone depletion, UV radiation, and interactions with climate change: UNEP Environmental Effects Assessment Panel, Update 2021</t>
  </si>
  <si>
    <t>TRIFLUOROACETIC-ACID; SYNTHETIC HALOCARBONS; ULTRAVIOLET-RADIATION; ATMOSPHERIC CHEMISTRY; PHOTOINDUCED TOXICITY; ORGANIC-MATTER; SURFACE WATERS; B RADIATION; EXPOSURE; QUANTIFICATION</t>
  </si>
  <si>
    <t>The Environmental Effects Assessment Panel of the Montreal Protocol under the United Nations Environment Programme evaluates effects on the environment and human health that arise from changes in the stratospheric ozone layer and concomitant variations in ultraviolet (UV) radiation at the Earth's surface. The current update is based on scientific advances that have accumulated since our last assessment (Photochem and Photobiol Sci 20(1):1-67, 2021). We also discuss how climate change affects stratospheric ozone depletion and ultraviolet radiation, and how stratospheric ozone depletion affects climate change. The resulting interlinking effects of stratospheric ozone depletion, UV radiation, and climate change are assessed in terms of air quality, carbon sinks, ecosystems, human health, and natural and synthetic materials. We further highlight potential impacts on the biosphere from extreme climate events that are occurring with increasing frequency as a consequence of climate change. These and other interactive effects are examined with respect to the benefits that the Montreal Protocol and its Amendments are providing to life on Earth by controlling the production of various substances that contribute to both stratospheric ozone depletion and climate change.</t>
  </si>
  <si>
    <t>[Barnes, P. W.] Loyola Univ, Biol Sci &amp; Environm Program, New Orleans, LA 70118 USA; [Robson, T. M.] Univ Helsinki, Viikki Plant Sci Ctr ViPS, Organismal &amp; Evolutionary Biol OEB, Helsinki, Finland; [Neale, P. J.] Smithsonian Environm Res Ctr, Edgewater, MD USA; [Williamson, C. E.] Miami Univ, Dept Biol, Oxford, OH 45056 USA; [Zepp, R. G.] US EPA, ORD CEMM, Athens, GA USA; [Madronich, S.] Natl Ctr Atmospher Res, Atmospher Chem Observat &amp; Modeling Lab, Boulder, CO USA; [Wilson, S. R.; Robinson, S. A.] Univ Wollongong, Sch Earth Atmospher &amp; Life Sci, Wollongong, NSW, Australia; [Andrady, A. L.] North Carolina State Univ, Chem &amp; Biomol Engn, Apex, Raleigh, NC USA; [Heikkila, A. M.] Finnish Meteorol Inst, Helsinki, Finland; [Bernhard, G. H.] Biospher Inc, San Diego, CA USA; [Bais, A. F.] Aristotle Univ Thessaloniki, Dept Phys, Lab Atmospher Phys, Thessaloniki, Greece; [Neale, R. E.; Olsen, C. M.] QIMR Berghofer Med Res Inst, Populat Hlth Dept, Brisbane, Qld, Australia; [Bornman, J. F.] Murdoch Univ, Food Futures Inst, Perth, WA, Australia; [Jansen, M. A. K.] Univ Coll Cork, BEES, Cork, Ireland; [Klekociuk, A. R.] Australian Antarctic Div, Antarctic Climate Program, Kingston, Australia; [Martinez-Abaigar, J.] Univ La Rioja, Fac Sci &amp; Technol, Logrono, La Rioja, Spain; [Robinson, S. A.] Univ Wollongong, Global Challenges Program, Securing Antarct Environm Future, Wollongong, NSW, Australia; [Wang, Q-W] Chinese Acad Sci, Inst Appl Ecol, Shenyang, Peoples R China; [Banaszak, A. T.] Univ Nacl Autonoma Mexico, Unidad Acad Sistemas Arrecifales, Puerto Morelos, Mexico; [Haeder, D-P] Friedrich Alexander Univ, Dept Biol, Mohrendorf, Germany; [Hylander, S.] Linnaeus Univ, Ctr Ecol &amp; Evolut Microbial Model Syst EEMiS, Kalmar, Sweden; [Rose, K. C.] Rensselaer Polytech Inst, Biol Sci, Troy, NY USA; [Wangberg, S-A] Univ Gothenburg, Marine Sci, Gothenburg, Sweden; [Foereid, B.] Norwegian Inst Bioecon Res, Environm &amp; Nat Resources, As, Norway; [Hou, W-C] Natl Cheng Kung Univ, Environm Engn, Tainan, Taiwan; [Ossola, R.] Swiss Fed Inst Technol, Environm Syst Sci USYS, Zurich, Switzerland; [Paul, N. D.] Univ Lancaster, Lancaster Environm Ctr, Lancaster, England; [Ukpebor, J. E.] Univ Benin, Fac Phys Sci, Chem Dept, Benin, Nigeria; [Andersen, M. P. S.] Calif State Univ Northridge, Dept Chem &amp; Biochem, Northridge, CA 91330 USA; [Andersen, M. P. S.] Univ Copenhagen, Dept Chem, Copenhagen, Denmark; [Longstreth, J.] Inst Global Risk Res LLC, Bethesda, MD USA; [Schikowski, T.] Leibniz Inst Environm Med, Res Grp Environm Epidemiol, Dusseldorf, Germany; [Solomon, K. R.] Univ Guelph, Ctr Toxicol, Sch Environm Sci, Guelph, ON, Canada; [Sulzberger, B.] Swiss Fed Inst Aquat Sci &amp; Technol, CH-8600 Dubendorf, Switzerland; [Bruckman, L. S.] Case Western Reserve Univ, Mat Sci &amp; Engn, Cleveland, OH 44106 USA; [Pandey, K. K.] Inst Wood Sci &amp; Technol, Wood Proc Div, Bangalore, Karnataka, India; [White, C. C.] Exponent, Polymer Sci &amp; Mat Chem, Bethesda, MD USA; [Zhu, L.] Donghua Univ, Coll Mat Sci &amp; Engn, Shanghai, Peoples R China; [Zhu, M.] Donghua Univ, State Key Lab Modificat Chem Fibers &amp; Polymer Mat, Shanghai, Peoples R China; [Aucamp, P. J.] Ptersa Environm Consultants, Pretoria, South Africa; [Liley, J. B.; McKenzie, R. L.] Natl Inst Water &amp; Atmospher Res, Alexandra, New Zealand; [Berwick, M.] Univ New Mexico, Internal Med, Albuquerque, NM 87131 USA; [Byrne, S. N.] Univ Sydney, Appl Med Sci, Sydney, NSW, Australia; [Hollestein, L. M.] Erasmus MC Canc Inst, Dept Dermatol, Rotterdam, Netherlands; [Lucas, R. M.] Australian Natl Univ, Natl Ctr Epidemiol &amp; Populat Hlth, Canberra, ACT, Australia; [Rhodes, L. E.] Univ Manchester, Fac Biol Med &amp; Hlth, Dermatol Res Ctr, Sch Biol Sci,Photobiol Unit, Manchester, Lancs, England; [Yazar, S.] Garvan Inst Med Res, Sydney, NSW, Australia; [Young, A. R.] Kings Coll London KCL, St Johns Inst Dermatol, London, England</t>
  </si>
  <si>
    <t>Loyola University New Orleans; University of Helsinki; Smithsonian Institution; Smithsonian Environmental Research Center; University System of Ohio; Miami University; United States Environmental Protection Agency; National Center Atmospheric Research (NCAR) - USA; University of Wollongong; North Carolina State University; Finnish Meteorological Institute; Aristotle University of Thessaloniki; QIMR Berghofer Medical Research Institute; Murdoch University; University College Cork; Australian Antarctic Division; Universidad de La Rioja; University of Wollongong; Chinese Academy of Sciences; Shenyang Institute of Applied Ecology, CAS; Universidad Nacional Autonoma de Mexico; University of Erlangen Nuremberg; Linnaeus University; Rensselaer Polytechnic Institute; University of Gothenburg; Norwegian Institute of Bioeconomy Research; National Cheng Kung University; Swiss Federal Institutes of Technology Domain; ETH Zurich; Lancaster University; University of Benin; California State University System; California State University Northridge; University of Copenhagen; Leibniz Institut fur Umweltmedizinische Forschung (IUF); University of Guelph; Swiss Federal Institutes of Technology Domain; Swiss Federal Institute of Aquatic Science &amp; Technology (EAWAG); University System of Ohio; Case Western Reserve University; Indian Council of Forestry Research &amp; Education (ICFRE); Institute of Wood Science &amp; Technology (IWST); Exponent; Donghua University; Donghua University; University of New Mexico; University of Sydney; Erasmus University Rotterdam; Erasmus MC; Erasmus MC Cancer Institute; Australian National University; University of Manchester; Garvan Institute of Medical Research; University of London; King's College London</t>
  </si>
  <si>
    <t>Bornman, JF (corresponding author), Murdoch Univ, Food Futures Inst, Perth, WA, Australia.;Hylander, S (corresponding author), Linnaeus Univ, Ctr Ecol &amp; Evolut Microbial Model Syst EEMiS, Kalmar, Sweden.</t>
  </si>
  <si>
    <t>janet.bornman@murdoch.edu.au; samuel.hylander@lnu.se</t>
  </si>
  <si>
    <t>Heikkilä, Anu M/F-1261-2017; Byrne, Scott/K-2622-2019; Yazar, Seyhan/U-4032-2018; Neale, Patrick/A-3683-2012; Bais, Alkiviadis F/D-2230-2009; Robson, Thomas Matthew/J-3381-2012; Neale, Rachel E./I-4427-2018; Bruckman, Laura/X-4067-2019; Hollestein, Loes/AFL-0006-2022; Olsen, Catherine/C-8785-2009; Sulbaek Andersen, Mads/C-4708-2008; Paul, Nigel D/E-5350-2014; Wang, Qing-Wei/GRQ-7463-2022; Klekociuk, Andrew R/A-4498-2015; Rhodes, Lesley E/H-5324-2015; Banaszak, Anastazia Teresa/H-6362-2019; Wilson, Stephen/B-8541-2008; Hou, Wen-Che/F-5736-2011; Madronich, Sasha/D-3284-2015</t>
  </si>
  <si>
    <t>Bais, Alkiviadis F/0000-0003-3899-2001; Robson, Thomas Matthew/0000-0002-8631-796X; Neale, Rachel E./0000-0001-7162-0854; Bruckman, Laura/0000-0003-1271-1072; Hollestein, Loes/0000-0001-8922-6791; Olsen, Catherine/0000-0003-4483-1888; Sulbaek Andersen, Mads/0000-0002-7976-5852; Wang, Qing-Wei/0000-0002-5169-9881; Rhodes, Lesley E/0000-0002-9107-6654; Banaszak, Anastazia Teresa/0000-0002-6667-3983; Wilson, Stephen/0000-0003-4546-2527; Barnes, Paul/0000-0002-5715-3679; Andrady, Anthony/0000-0001-8683-9998; Hou, Wen-Che/0000-0001-9884-2932; Madronich, Sasha/0000-0003-0983-1313; Neale, Patrick/0000-0002-4047-8098</t>
  </si>
  <si>
    <t>Linnaeus University, Sweden</t>
  </si>
  <si>
    <t>Open access funding was provided by Linnaeus University, Sweden.</t>
  </si>
  <si>
    <t>10.1007/s43630-022-00176-5</t>
  </si>
  <si>
    <t>WOS:000759012000003</t>
  </si>
  <si>
    <t>Hughes, S; Meffre, S; Gregory, D; Chase, Z</t>
  </si>
  <si>
    <t>Hughes, S.; Meffre, S.; Gregory, D.; Chase, Z.</t>
  </si>
  <si>
    <t>Quantifying and characterising metal concentrations in Derwent Estuary sediments using portable X-ray fluorescence spectrometry</t>
  </si>
  <si>
    <t>AUSTRALIAN JOURNAL OF EARTH SCIENCES</t>
  </si>
  <si>
    <t>portable X-ray fluorescence; sediment; heavy metals; Derwent Estuary; Tasmania; contamination; sediment cores; sedimentation; rehabilitation time frame</t>
  </si>
  <si>
    <t>HEAVY-METALS; ACCUMULATION; PXRF; AUSTRALIA; SAMPLES</t>
  </si>
  <si>
    <t>The Derwent Estuary is highly enriched in potentially toxic elements, such as Zn, Pb, Cu, As, Hg and Cd, owing to inputs from historical industrial activity adjacent to the river, predominantly prior to strict environmental protections introduced in the 1970s. Contaminants are now buried at shallow depths within the sediment profile, in one or two highly concentrated layers decreasing in concentration away from an electrolytic zinc refinery, regarded as the main source of the contaminants. Enriched metals (Zn, Pb, Cu, Cd and As) in the estuary were estimated from data collected from 37 sediment cores using a portable X-ray fluorescence spectrometer that was validated against inductively coupled plasma mass spectrometer analyses. The thickness of the metal and metalloid enriched layers ranges from 32.5 to 107.5 cm, with an average thickness of 63 cm. Sedimentation rates based on this layer and the time since the start of zinc processing are approximately 0.46 cm/year. Sedimentation rates based on the thickness since maximum metal and metalloid concentrations are between 0.17 and 1.64 cm/year. Based on these sedimentation rates, the average time it will take for surface sediments to return to background metal and metalloid concentrations, if left undisturbed, is approximately 123 years.</t>
  </si>
  <si>
    <t>[Hughes, S.] GHD Pty Ltd, Geosci Team Hobart, Hobart, Tas, Australia; [Meffre, S.] Univ Tasmania, Earth Sci, Hobart, Tas, Australia; [Gregory, D.] Earth Sci Ctr, Toronto, ON, Canada; [Chase, Z.] Inst Marine &amp; Antarctic Studies, Hobart, Tas, Australia</t>
  </si>
  <si>
    <t>Hughes, S (corresponding author), GHD Pty Ltd, Geosci Team Hobart, 202 Carella St, Howrah, Tas 7018, Australia.</t>
  </si>
  <si>
    <t>sahughes09@hotmail.com</t>
  </si>
  <si>
    <t>Meffre, Sebastien/J-8700-2014; Chase, Zanna/E-9232-2013</t>
  </si>
  <si>
    <t>Meffre, Sebastien/0000-0003-2741-6076; Chase, Zanna/0000-0001-5060-779X; Hughes, Stuart/0000-0003-3655-2096</t>
  </si>
  <si>
    <t>UTAS</t>
  </si>
  <si>
    <t>This work was originally funded by UTAS in 2014 as an honours thesis project. Contributions were made by Nyrstar in the form of ICPMS tests at their laboratory and covering the cost of boat hire for the collection of sediment cores during fieldwork. ANSTO analyses were funded through a reciprocal arrangement with UTAS, organised by Zanna Chase (co-author).</t>
  </si>
  <si>
    <t>0812-0099</t>
  </si>
  <si>
    <t>1440-0952</t>
  </si>
  <si>
    <t>AUST J EARTH SCI</t>
  </si>
  <si>
    <t>Aust. J. Earth Sci.</t>
  </si>
  <si>
    <t>JUL 4</t>
  </si>
  <si>
    <t>10.1080/08120099.2022.2037706</t>
  </si>
  <si>
    <t>1B7AP</t>
  </si>
  <si>
    <t>WOS:000758864300001</t>
  </si>
  <si>
    <t>Güller, M; Zelaya, DG</t>
  </si>
  <si>
    <t>Gueller, Marina; Zelaya, Diego G.</t>
  </si>
  <si>
    <t>The smallest marine bivalves from the end of the world (Tierra del Fuego, Isla de Los Estados and Burdwood Bank)</t>
  </si>
  <si>
    <t>Neoleptonidae; Condylocardiidae; Pachykellya; Benthocardiella; Patagonia; Burdwood Bank; MPA Namuncura</t>
  </si>
  <si>
    <t>NEOLEPTON MONTEROSATO; MOLLUSCA; GENUS; SIZE</t>
  </si>
  <si>
    <t>Small molluscs are known to be particularly abundant towards the poles. Although recent studies on sub-Antarctic waters of the southernmost tip of South America have begun to show a highly diversified small-sized fauna, micromolluscs have not yet received sufficient attention. Recently, samplings targeting the smallest molluscan benthic fauna have been conducted in the sub-Antarctic waters of South America, providing material of three new minute species occurring in The End of the World (Tierra del Fuego, Isla de los Estados and Burdwood Bank). The present study describes Pachykellya fuegiensis n.sp. (Neoleptonidae), Benthocardiella ituartei n.sp. and Benthocardiella finisterra n.sp. (Condylocardiidae). These are not only the smallest bivalves currently known from the area, but are also smaller than any other species thus far known from the adjacent Antarctic waters, and are included among the smallest species of their respective genera. To confirm generic placement, the type species of Pachykellya (P. edwardsi F.B. Bernard 1897) and Benthocardiella (B. pusilla Powell 1930) are studied for the first time with scanning electron microscopy. This study allows to amend the previous descriptions of hinge teeth number, morphology and arrangement for these genera. Based on these new findings, Pachykellya and Benthocardiella are here reported for the first time in South America.</t>
  </si>
  <si>
    <t>[Gueller, Marina; Zelaya, Diego G.] Univ Buenos Aires, Fac Ciencias Exactas &amp; Nat, Dept Biodiversidad &amp; Biol Expt, Lab Malacol, Intendente Guiraldes 2160,C1428EGA, Buenos Aires, DF, Argentina; [Gueller, Marina; Zelaya, Diego G.] Consejo Nacl Invest Cient &amp; Tecn CONICET, Buenos Aires, DF, Argentina</t>
  </si>
  <si>
    <t>University of Buenos Aires; Consejo Nacional de Investigaciones Cientificas y Tecnicas (CONICET)</t>
  </si>
  <si>
    <t>Zelaya, DG (corresponding author), Univ Buenos Aires, Fac Ciencias Exactas &amp; Nat, Dept Biodiversidad &amp; Biol Expt, Lab Malacol, Intendente Guiraldes 2160,C1428EGA, Buenos Aires, DF, Argentina.;Zelaya, DG (corresponding author), Consejo Nacl Invest Cient &amp; Tecn CONICET, Buenos Aires, DF, Argentina.</t>
  </si>
  <si>
    <t>dzelaya@bg.fcen.uba.ar</t>
  </si>
  <si>
    <t>UBACYT [20020150100195BA]; PICT [2016-2983]</t>
  </si>
  <si>
    <t>UBACYT; PICT(ANPCyT)</t>
  </si>
  <si>
    <t>This study was funded by UBACYT 20020150100195BA and PICT 2016-2983. This work is contribution No 57 MPA Namuncura (Law 26.875). The authors are members of the Consejo Nacional de Investigaciones Cientificas y Tecnicas (CONICET), Argentina.</t>
  </si>
  <si>
    <t>10.1007/s00300-022-03018-3</t>
  </si>
  <si>
    <t>WOS:000758070200001</t>
  </si>
  <si>
    <t>Duliere, V; Guillaumot, C; Lacroix, G; Saucede, T; Lopez-Farran, Z; Danis, B; Schon, I; Baetens, K</t>
  </si>
  <si>
    <t>Duliere, Valerie; Guillaumot, Charlene; Lacroix, Genevieve; Saucede, Thomas; Lopez-Farran, Zambra; Danis, Bruno; Schon, Isa; Baetens, Katrijn</t>
  </si>
  <si>
    <t>Dispersal models alert on the risk of non-native species introduction by Ballast water in protected areas from the Western Antarctic Peninsula</t>
  </si>
  <si>
    <t>Antarctic tourism; ballast water; dispersal modelling; invasive species; marine protected areas; maritime traffic; Southern Ocean</t>
  </si>
  <si>
    <t>SOUTHERN-OCEAN; CLIMATE-CHANGE; BIOLOGICAL INVASIONS; 1ST RECORD; MARINE; TRANSPORT; VARIABILITY; IMPACTS; LARVAE; CONNECTIVITY</t>
  </si>
  <si>
    <t>Aim The Western Antarctic Peninsula is challenged by climate change and increasing maritime traffic that together facilitate the introduction of marine non-native species from warmer regions neighbouring the Southern Ocean. Ballast water exchange has been frequently reported as an introduction vector. This study uses a Lagrangian approach to model the passive drift of virtual propagules departing from Ballast water hypothetic exchange zones, at contrasting distances from the coasts. Location Western Antarctic Peninsula. Methods Virtual propagules were released over the 2008-2016 period and at three distances from the nearest coasts: 200 (convention for the management of Ballast Water, 2004), 50 or 11 nautical miles (NM). Results Results show that exchanging Ballast water at 200 NM considerably reduces the arrival of propagules in proposed marine protected areas of the western side of the Antarctic Peninsula. On the eastern side, propagules can reach north-eastern marine protected areas within a few days due to strong currents for all tested scenarios. Seasonal and yearly variations indicate that exceptional climate events could influence the trajectory of particles in the region. Ballast water should be exchanged at least 200 NM offshore on the western side of the Antarctic Peninsula and avoided on the eastern side to limit particle arrival in proposed marine protected areas. Focusing on Deception Island, our results suggested that the Patagonian crab (Halicarcinus planatus) observed in 2010 could have been introduced in case of Ballast water exchange at 50 NM or less from the coast. Main conclusions This study highlights the importance of respecting Ballast water exchange convention to limit the risk of non-native species introduction. Ballast water exchange should be operated at least at 200 NM from the coasts, which further limits particle arrival in shallow water areas. This is especially important in the context of a more visited and warmer Southern Ocean.</t>
  </si>
  <si>
    <t>[Duliere, Valerie; Lacroix, Genevieve; Schon, Isa; Baetens, Katrijn] Royal Inst Nat Sci, OD Nat, Vautierstr 29, B-1000 Brussels, Belgium; [Guillaumot, Charlene; Danis, Bruno] Univ Libre Bruxelles, Lab Biol Marine, Ave FD Roosevelt 50,Cp 160-15, B-1050 Brussels, Belgium; [Guillaumot, Charlene; Saucede, Thomas] Univ Bourgogne Franche Comte, UMR Biogeosci 6282, CNRS, EPHE, Dijon, France; [Lopez-Farran, Zambra] Univ Chile, Inst Ecol &amp; Biodiversidad, Fac Ciencias, Dept Ciencias Ecol,LEM Lab Ecol Mol, Santiago, Chile; [Lopez-Farran, Zambra] Univ Austral Chile, Ecosyst Fondap IDEAL, Res Ctr Dynam High Latitude Marine, Valdivia, Chile; [Lopez-Farran, Zambra] Univ Magallanes, LEMAS Lab Ecol Macroalgas Antart &amp; Sub Antart, Punta Arenas, Chile</t>
  </si>
  <si>
    <t>Royal Belgian Institute of Natural Sciences; Universite Libre de Bruxelles; Universite PSL; Ecole Pratique des Hautes Etudes (EPHE); Universite de Bourgogne; Centre National de la Recherche Scientifique (CNRS); Universidad de Chile; Universidad Austral de Chile; Universidad de Magallanes</t>
  </si>
  <si>
    <t>Duliere, V (corresponding author), Royal Inst Nat Sci, OD Nat, Vautierstr 29, B-1000 Brussels, Belgium.;Guillaumot, C (corresponding author), Univ Libre Bruxelles, Lab Biol Marine, Ave FD Roosevelt 50,Cp 160-15, B-1050 Brussels, Belgium.</t>
  </si>
  <si>
    <t>vduliere@naturalsciences.be; charleneguillaumot21@gmall.com</t>
  </si>
  <si>
    <t>Danis, Bruno/0000-0002-9037-7623</t>
  </si>
  <si>
    <t>10.1111/ddi.13464</t>
  </si>
  <si>
    <t>ZU8MQ</t>
  </si>
  <si>
    <t>WOS:000757804000001</t>
  </si>
  <si>
    <t>Chelle-Michou, C; McCarthy, A; Moyen, JF; Cawood, PA; Capitanio, FA</t>
  </si>
  <si>
    <t>Chelle-Michou, Cyril; McCarthy, Anders; Moyen, Jean-Francois; Cawood, Peter A.; Capitanio, Fabio A.</t>
  </si>
  <si>
    <t>Make subductions diverse again</t>
  </si>
  <si>
    <t>Benioff-type subduction; Ampferer-type subduction; Polysemism; Scientific biases; Lithospheric recycling; Lithospheric foundering; Tectonic regime</t>
  </si>
  <si>
    <t>PARTIAL CONVECTIVE OVERTURN; OVERRIDING PLATE DEFORMATION; HIGH-PRESSURE METAMORPHISM; STAGNANT LID CONVECTION; FLAT-SLAB SUBDUCTION; WESTERN ALPS; OCEANIC PLATEAUS; PILBARA CRATON; ANDEAN OROGENY; ARC MAGMAS</t>
  </si>
  <si>
    <t>In the original plate-tectonic centric framework for Earth evolution as proposed in the 1960s, the term 'subduction' was initially applied to the down thrusting of oceanic lithosphere below a continental or oceanic upper plate, delineated by a Wadati-Benioff zone of earthquake foci. Over time, the use of the term has broadened and its meaning weakened by its application to the diversity of mechanisms accommodating lithospheric convergence, foundering and recycling. This has led to complex and sterile debates regarding the tectonic processes in orogens, the initiation of (modern) plate tectonics, or the tectonic regime on other planets, hampering a clear and concise discussion of those problems. We discuss three instances where the use of the ill-defined term subduction or even proto-subduction, through biases and polysemism, has hampered scientific discourse, namely (i) the Cenozoic subduction of the Western Tethys leading to the formation of the European Alps; (ii) the initiation of (modern) subduction in the (eo)Archean; and, (iii) lithospheric recycling on Venus. We highlight that Benioff-type subduction is only one of a spectrum of mechanisms that have operated through time (Archean to present) for the foundering and recycling of lithosphere into the mantle. We propose a framework that summarizes the various end-member modes of foundering by focussing on two parameters (i) the type of lithosphere being foundered into the mantle and (ii) the mechanical driver of the foundering process, which might predominantly control convergence and recycling.</t>
  </si>
  <si>
    <t>[Chelle-Michou, Cyril; McCarthy, Anders] Swiss Fed Inst Technol, Dept Earth Sci, Clausiusstr 25, CH-8092 Zurich, Switzerland; [McCarthy, Anders] Univ Tasmania, Inst Marine &amp; Antarctic Studies, Hobart, Tas, Australia; [Moyen, Jean-Francois] Univ Lyon, Lab Magmas &amp; Volcans, UJM UBP CNRS IRD, 23 Rue Dr Paul Michelon, F-42023 St Etienne, France; [Moyen, Jean-Francois; Cawood, Peter A.; Capitanio, Fabio A.] Monash Univ, Sch Earth Environm &amp; Atmosphere Sci, Clayton, Vic 3800, Australia</t>
  </si>
  <si>
    <t>Swiss Federal Institutes of Technology Domain; ETH Zurich; University of Tasmania; Monash University</t>
  </si>
  <si>
    <t>Chelle-Michou, C (corresponding author), Swiss Fed Inst Technol, Dept Earth Sci, Clausiusstr 25, CH-8092 Zurich, Switzerland.</t>
  </si>
  <si>
    <t>cyril.chelle-michou@erdw.ethz.ch</t>
  </si>
  <si>
    <t>Moyen, Jean-Francois/E-2043-2012; Cawood, Peter A/JOZ-4033-2023</t>
  </si>
  <si>
    <t>Cawood, Peter A/0000-0003-1200-3826; Chelle-Michou, Cyril/0000-0003-1760-3492</t>
  </si>
  <si>
    <t>Swiss National Science Foundation [P2LAP2 _171819, P400P2_180794]; Australian Research Council [FL160100168, FT170100254]; Australian Research Council [FT170100254] Funding Source: Australian Research Council; Swiss National Science Foundation (SNF) [P400P2_180794, P2LAP2_171819] Funding Source: Swiss National Science Foundation (SNF)</t>
  </si>
  <si>
    <t>Swiss National Science Foundation(Swiss National Science Foundation (SNSF)); Australian Research Council(Australian Research Council); Australian Research Council(Australian Research Council); Swiss National Science Foundation (SNF)(Swiss National Science Foundation (SNSF))</t>
  </si>
  <si>
    <t>Acknowledgments We thank ETH Zurich, the Swiss National Science Foundation (grants P2LAP2 _171819 and P400P2_180794) and the Australian Research Council (grants FL160100168 and FT170100254) for support. Finally, we are grateful to Eduardo Garzanti and an anonymous reviewer for their very insightful and constructive comments that have considerably helped in improving this manuscript.</t>
  </si>
  <si>
    <t>10.1016/j.earscirev.2022.103966</t>
  </si>
  <si>
    <t>0T6PV</t>
  </si>
  <si>
    <t>WOS:000787089400006</t>
  </si>
  <si>
    <t>Shvets, AV; Nickolaenko, AP; Koloskov, AV; Yampolsky, YM; Budanov, OV; Shvets, AA</t>
  </si>
  <si>
    <t>Shvets, Alexander, V; Nickolaenko, Alexander P.; Koloskov, Alexander, V; Yampolsky, Yuri M.; Budanov, Oleg, V; Shvets, Alisa A.</t>
  </si>
  <si>
    <t>Day after day variations of arrival angles and polarisation parameters of Q bursts recorded at Antarctic station Akademik Vernadsky</t>
  </si>
  <si>
    <t>Earth-ionosphere cavity; Extremely low frequencies (ELF); Q burst; Direction finding; Lightning strokes; Day-night non-uniformity</t>
  </si>
  <si>
    <t>TRANSIENT EXCITATION; ELF; IONOSPHERE; DEVIATIONS</t>
  </si>
  <si>
    <t>We present variations in the source bearings and polarization of the horizontal magnetic field of Q bursts recorded at Antarctic station Akademik Vernadsky  (65.2458 degrees S, 64.2572 degrees W). We analyzed the parameters of the polarization ellipse  inscribed in the initial impulse of the Q-burst, which is formed by a direct wave propagating from lightning to the observer along a short path in the Earth-ionosphere cavity. Three days, from March 31 to April 2, 2019, a significant part of the Q burst flux was stably observed in a narrow northerly azimuth sector associated with the direction to lightnings in South America. During this period, regular deviations of the measured azimuths from the northern direction were observed up to 8-10 degrees, to the west when the morning terminator passed and to the east at the evening terminator. Duration of these deviations was about 4 h. The azimuth deviations were accompanied by characteristic oscillations in the ellipticity  value of the direct wave field, N-shaped during the passage of the evening terminator, and a mirror-symmetric H-shaped oscillation on the morning terminator. We found that, on average, the polarization of the direct wave field is close to linear when the paths from the sources to the observer were on the day side, while at night side its ellipticity  increases to 0.1. The observed azimuth deviations were qualitatively interpreted using the concept of geometric optics of the reflection of radio waves from the day-night non-uniformity in the Earth-ionosphere cavity. The measurement period was close to the day of the vernal equinox, when the propagation path from the sources and the lines of the solar terminator run almost parallel and radio waves are incident on the day-night interface at sliding angles, which enhances their reflection.</t>
  </si>
  <si>
    <t>[Shvets, Alexander, V; Nickolaenko, Alexander P.; Shvets, Alisa A.] Natl Acad Sci Ukraine, OYa Usikov Inst Radiophys &amp; Elect, 12 Akad Proskura Str, UA-61085 Kharkiv, Ukraine; [Koloskov, Alexander, V; Yampolsky, Yuri M.; Budanov, Oleg, V] Natl Acad Sci Ukraine, Inst Radio Astron, 4 Mystetstv Str, UA-61002 Kharkiv, Ukraine; [Koloskov, Alexander, V] State Inst Natl Antarctic Sci Ctr Minist Educ &amp; S, 16 Taras Shevchenko Blvd, UA-01601 Kiev, Ukraine</t>
  </si>
  <si>
    <t>National Academy of Sciences Ukraine; O. Ya. Usikov Institute for Radio Physics &amp; Electronics, National Academy of Sciences of Ukraine; National Academy of Sciences Ukraine; Institute of Radio Astronomy of the National Academy of Sciences of Ukraine; Ministry of Education &amp; Science of Ukraine; State Institution National Antarctic Scientific Center</t>
  </si>
  <si>
    <t>Shvets, AV (corresponding author), Natl Acad Sci Ukraine, OYa Usikov Inst Radiophys &amp; Elect, 12 Akad Proskura Str, UA-61085 Kharkiv, Ukraine.</t>
  </si>
  <si>
    <t>lxndrshvts9@gmail.com</t>
  </si>
  <si>
    <t>Koloskov, Oleksandr/ABB-4631-2020</t>
  </si>
  <si>
    <t>Koloskov, Oleksandr/0000-0001-8921-3851; Budanov, Oleg/0000-0002-1105-4245; Yampolski, Yuri/0000-0002-6142-5753</t>
  </si>
  <si>
    <t>State Institution National Antarctic Scientific Center, Ministry of Education and Science of Ukraine [0121U112331, 0121U112293, 0117U004040, 0121U108635]</t>
  </si>
  <si>
    <t>State Institution National Antarctic Scientific Center, Ministry of Education and Science of Ukraine</t>
  </si>
  <si>
    <t>The authors express their gratitude to the State Institution National Antarctic Scientific Center, Ministry of Education and Science of Ukraine (http://uac.gov.ua) for partly funding within the research works (0121U112331, 0121U112293), and for organizational and logistical support of these studies at Akademik Vernadsky station. The topic of this study corresponds to the main scientific tasks of the departmental research works Inversiya (0117U004040) and Yatagan-4 (0121U108635).</t>
  </si>
  <si>
    <t>10.1016/j.jastp.2021.105811</t>
  </si>
  <si>
    <t>0V5EE</t>
  </si>
  <si>
    <t>WOS:000788365500003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</si>
</sst>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87</v>
      </c>
      <c r="AC2" t="s">
        <v>88</v>
      </c>
      <c r="AD2" t="s">
        <v>89</v>
      </c>
      <c r="AE2" t="s">
        <v>90</v>
      </c>
      <c r="AF2" t="s">
        <v>74</v>
      </c>
      <c r="AG2">
        <v>82</v>
      </c>
      <c r="AH2">
        <v>3</v>
      </c>
      <c r="AI2">
        <v>3</v>
      </c>
      <c r="AJ2">
        <v>2</v>
      </c>
      <c r="AK2">
        <v>7</v>
      </c>
      <c r="AL2" t="s">
        <v>91</v>
      </c>
      <c r="AM2" t="s">
        <v>92</v>
      </c>
      <c r="AN2" t="s">
        <v>93</v>
      </c>
      <c r="AO2" t="s">
        <v>94</v>
      </c>
      <c r="AP2" t="s">
        <v>95</v>
      </c>
      <c r="AQ2" t="s">
        <v>74</v>
      </c>
      <c r="AR2" t="s">
        <v>77</v>
      </c>
      <c r="AS2" t="s">
        <v>96</v>
      </c>
      <c r="AT2" t="s">
        <v>97</v>
      </c>
      <c r="AU2">
        <v>2022</v>
      </c>
      <c r="AV2">
        <v>69</v>
      </c>
      <c r="AW2">
        <v>7</v>
      </c>
      <c r="AX2" t="s">
        <v>74</v>
      </c>
      <c r="AY2" t="s">
        <v>74</v>
      </c>
      <c r="AZ2" t="s">
        <v>74</v>
      </c>
      <c r="BA2" t="s">
        <v>74</v>
      </c>
      <c r="BB2">
        <v>2740</v>
      </c>
      <c r="BC2">
        <v>2752</v>
      </c>
      <c r="BD2" t="s">
        <v>74</v>
      </c>
      <c r="BE2" t="s">
        <v>98</v>
      </c>
      <c r="BF2" t="str">
        <f>HYPERLINK("http://dx.doi.org/10.1111/sed.13016","http://dx.doi.org/10.1111/sed.13016")</f>
        <v>http://dx.doi.org/10.1111/sed.13016</v>
      </c>
      <c r="BG2" t="s">
        <v>74</v>
      </c>
      <c r="BH2" t="s">
        <v>99</v>
      </c>
      <c r="BI2">
        <v>13</v>
      </c>
      <c r="BJ2" t="s">
        <v>100</v>
      </c>
      <c r="BK2" t="s">
        <v>101</v>
      </c>
      <c r="BL2" t="s">
        <v>100</v>
      </c>
      <c r="BM2" t="s">
        <v>102</v>
      </c>
      <c r="BN2" t="s">
        <v>74</v>
      </c>
      <c r="BO2" t="s">
        <v>74</v>
      </c>
      <c r="BP2" t="s">
        <v>74</v>
      </c>
      <c r="BQ2" t="s">
        <v>74</v>
      </c>
      <c r="BR2" t="s">
        <v>103</v>
      </c>
      <c r="BS2" t="s">
        <v>104</v>
      </c>
      <c r="BT2" t="str">
        <f>HYPERLINK("https%3A%2F%2Fwww.webofscience.com%2Fwos%2Fwoscc%2Ffull-record%2FWOS:000808569700001","View Full Record in Web of Science")</f>
        <v>View Full Record in Web of Science</v>
      </c>
    </row>
    <row r="3" spans="1:72" x14ac:dyDescent="0.15">
      <c r="A3" t="s">
        <v>72</v>
      </c>
      <c r="B3" t="s">
        <v>105</v>
      </c>
      <c r="C3" t="s">
        <v>74</v>
      </c>
      <c r="D3" t="s">
        <v>74</v>
      </c>
      <c r="E3" t="s">
        <v>74</v>
      </c>
      <c r="F3" t="s">
        <v>106</v>
      </c>
      <c r="G3" t="s">
        <v>74</v>
      </c>
      <c r="H3" t="s">
        <v>74</v>
      </c>
      <c r="I3" t="s">
        <v>107</v>
      </c>
      <c r="J3" t="s">
        <v>108</v>
      </c>
      <c r="K3" t="s">
        <v>74</v>
      </c>
      <c r="L3" t="s">
        <v>74</v>
      </c>
      <c r="M3" t="s">
        <v>78</v>
      </c>
      <c r="N3" t="s">
        <v>79</v>
      </c>
      <c r="O3" t="s">
        <v>74</v>
      </c>
      <c r="P3" t="s">
        <v>74</v>
      </c>
      <c r="Q3" t="s">
        <v>74</v>
      </c>
      <c r="R3" t="s">
        <v>74</v>
      </c>
      <c r="S3" t="s">
        <v>74</v>
      </c>
      <c r="T3" t="s">
        <v>74</v>
      </c>
      <c r="U3" t="s">
        <v>109</v>
      </c>
      <c r="V3" t="s">
        <v>110</v>
      </c>
      <c r="W3" t="s">
        <v>111</v>
      </c>
      <c r="X3" t="s">
        <v>112</v>
      </c>
      <c r="Y3" t="s">
        <v>113</v>
      </c>
      <c r="Z3" t="s">
        <v>114</v>
      </c>
      <c r="AA3" t="s">
        <v>115</v>
      </c>
      <c r="AB3" t="s">
        <v>116</v>
      </c>
      <c r="AC3" t="s">
        <v>74</v>
      </c>
      <c r="AD3" t="s">
        <v>74</v>
      </c>
      <c r="AE3" t="s">
        <v>74</v>
      </c>
      <c r="AF3" t="s">
        <v>74</v>
      </c>
      <c r="AG3">
        <v>67</v>
      </c>
      <c r="AH3">
        <v>0</v>
      </c>
      <c r="AI3">
        <v>0</v>
      </c>
      <c r="AJ3">
        <v>0</v>
      </c>
      <c r="AK3">
        <v>1</v>
      </c>
      <c r="AL3" t="s">
        <v>117</v>
      </c>
      <c r="AM3" t="s">
        <v>118</v>
      </c>
      <c r="AN3" t="s">
        <v>119</v>
      </c>
      <c r="AO3" t="s">
        <v>120</v>
      </c>
      <c r="AP3" t="s">
        <v>121</v>
      </c>
      <c r="AQ3" t="s">
        <v>74</v>
      </c>
      <c r="AR3" t="s">
        <v>108</v>
      </c>
      <c r="AS3" t="s">
        <v>122</v>
      </c>
      <c r="AT3" t="s">
        <v>123</v>
      </c>
      <c r="AU3">
        <v>2022</v>
      </c>
      <c r="AV3">
        <v>16</v>
      </c>
      <c r="AW3">
        <v>6</v>
      </c>
      <c r="AX3" t="s">
        <v>74</v>
      </c>
      <c r="AY3" t="s">
        <v>74</v>
      </c>
      <c r="AZ3" t="s">
        <v>74</v>
      </c>
      <c r="BA3" t="s">
        <v>74</v>
      </c>
      <c r="BB3">
        <v>2183</v>
      </c>
      <c r="BC3">
        <v>2202</v>
      </c>
      <c r="BD3" t="s">
        <v>74</v>
      </c>
      <c r="BE3" t="s">
        <v>124</v>
      </c>
      <c r="BF3" t="str">
        <f>HYPERLINK("http://dx.doi.org/10.5194/tc-16-2183-2022","http://dx.doi.org/10.5194/tc-16-2183-2022")</f>
        <v>http://dx.doi.org/10.5194/tc-16-2183-2022</v>
      </c>
      <c r="BG3" t="s">
        <v>74</v>
      </c>
      <c r="BH3" t="s">
        <v>74</v>
      </c>
      <c r="BI3">
        <v>20</v>
      </c>
      <c r="BJ3" t="s">
        <v>125</v>
      </c>
      <c r="BK3" t="s">
        <v>101</v>
      </c>
      <c r="BL3" t="s">
        <v>126</v>
      </c>
      <c r="BM3" t="s">
        <v>127</v>
      </c>
      <c r="BN3" t="s">
        <v>74</v>
      </c>
      <c r="BO3" t="s">
        <v>128</v>
      </c>
      <c r="BP3" t="s">
        <v>74</v>
      </c>
      <c r="BQ3" t="s">
        <v>74</v>
      </c>
      <c r="BR3" t="s">
        <v>103</v>
      </c>
      <c r="BS3" t="s">
        <v>129</v>
      </c>
      <c r="BT3" t="str">
        <f>HYPERLINK("https%3A%2F%2Fwww.webofscience.com%2Fwos%2Fwoscc%2Ffull-record%2FWOS:000809112900001","View Full Record in Web of Science")</f>
        <v>View Full Record in Web of Science</v>
      </c>
    </row>
    <row r="4" spans="1:72" x14ac:dyDescent="0.15">
      <c r="A4" t="s">
        <v>72</v>
      </c>
      <c r="B4" t="s">
        <v>130</v>
      </c>
      <c r="C4" t="s">
        <v>74</v>
      </c>
      <c r="D4" t="s">
        <v>74</v>
      </c>
      <c r="E4" t="s">
        <v>74</v>
      </c>
      <c r="F4" t="s">
        <v>131</v>
      </c>
      <c r="G4" t="s">
        <v>74</v>
      </c>
      <c r="H4" t="s">
        <v>74</v>
      </c>
      <c r="I4" t="s">
        <v>132</v>
      </c>
      <c r="J4" t="s">
        <v>133</v>
      </c>
      <c r="K4" t="s">
        <v>74</v>
      </c>
      <c r="L4" t="s">
        <v>74</v>
      </c>
      <c r="M4" t="s">
        <v>78</v>
      </c>
      <c r="N4" t="s">
        <v>79</v>
      </c>
      <c r="O4" t="s">
        <v>74</v>
      </c>
      <c r="P4" t="s">
        <v>74</v>
      </c>
      <c r="Q4" t="s">
        <v>74</v>
      </c>
      <c r="R4" t="s">
        <v>74</v>
      </c>
      <c r="S4" t="s">
        <v>74</v>
      </c>
      <c r="T4" t="s">
        <v>134</v>
      </c>
      <c r="U4" t="s">
        <v>135</v>
      </c>
      <c r="V4" t="s">
        <v>136</v>
      </c>
      <c r="W4" t="s">
        <v>137</v>
      </c>
      <c r="X4" t="s">
        <v>138</v>
      </c>
      <c r="Y4" t="s">
        <v>139</v>
      </c>
      <c r="Z4" t="s">
        <v>140</v>
      </c>
      <c r="AA4" t="s">
        <v>141</v>
      </c>
      <c r="AB4" t="s">
        <v>142</v>
      </c>
      <c r="AC4" t="s">
        <v>143</v>
      </c>
      <c r="AD4" t="s">
        <v>144</v>
      </c>
      <c r="AE4" t="s">
        <v>145</v>
      </c>
      <c r="AF4" t="s">
        <v>74</v>
      </c>
      <c r="AG4">
        <v>74</v>
      </c>
      <c r="AH4">
        <v>13</v>
      </c>
      <c r="AI4">
        <v>14</v>
      </c>
      <c r="AJ4">
        <v>5</v>
      </c>
      <c r="AK4">
        <v>26</v>
      </c>
      <c r="AL4" t="s">
        <v>91</v>
      </c>
      <c r="AM4" t="s">
        <v>92</v>
      </c>
      <c r="AN4" t="s">
        <v>93</v>
      </c>
      <c r="AO4" t="s">
        <v>146</v>
      </c>
      <c r="AP4" t="s">
        <v>147</v>
      </c>
      <c r="AQ4" t="s">
        <v>74</v>
      </c>
      <c r="AR4" t="s">
        <v>148</v>
      </c>
      <c r="AS4" t="s">
        <v>149</v>
      </c>
      <c r="AT4" t="s">
        <v>150</v>
      </c>
      <c r="AU4">
        <v>2022</v>
      </c>
      <c r="AV4">
        <v>110</v>
      </c>
      <c r="AW4">
        <v>9</v>
      </c>
      <c r="AX4" t="s">
        <v>74</v>
      </c>
      <c r="AY4" t="s">
        <v>74</v>
      </c>
      <c r="AZ4" t="s">
        <v>74</v>
      </c>
      <c r="BA4" t="s">
        <v>74</v>
      </c>
      <c r="BB4">
        <v>2132</v>
      </c>
      <c r="BC4">
        <v>2144</v>
      </c>
      <c r="BD4" t="s">
        <v>74</v>
      </c>
      <c r="BE4" t="s">
        <v>151</v>
      </c>
      <c r="BF4" t="str">
        <f>HYPERLINK("http://dx.doi.org/10.1111/1365-2745.13936","http://dx.doi.org/10.1111/1365-2745.13936")</f>
        <v>http://dx.doi.org/10.1111/1365-2745.13936</v>
      </c>
      <c r="BG4" t="s">
        <v>74</v>
      </c>
      <c r="BH4" t="s">
        <v>99</v>
      </c>
      <c r="BI4">
        <v>13</v>
      </c>
      <c r="BJ4" t="s">
        <v>152</v>
      </c>
      <c r="BK4" t="s">
        <v>101</v>
      </c>
      <c r="BL4" t="s">
        <v>153</v>
      </c>
      <c r="BM4" t="s">
        <v>154</v>
      </c>
      <c r="BN4" t="s">
        <v>74</v>
      </c>
      <c r="BO4" t="s">
        <v>155</v>
      </c>
      <c r="BP4" t="s">
        <v>74</v>
      </c>
      <c r="BQ4" t="s">
        <v>74</v>
      </c>
      <c r="BR4" t="s">
        <v>103</v>
      </c>
      <c r="BS4" t="s">
        <v>156</v>
      </c>
      <c r="BT4" t="str">
        <f>HYPERLINK("https%3A%2F%2Fwww.webofscience.com%2Fwos%2Fwoscc%2Ffull-record%2FWOS:000808592900001","View Full Record in Web of Science")</f>
        <v>View Full Record in Web of Science</v>
      </c>
    </row>
    <row r="5" spans="1:72" x14ac:dyDescent="0.15">
      <c r="A5" t="s">
        <v>72</v>
      </c>
      <c r="B5" t="s">
        <v>157</v>
      </c>
      <c r="C5" t="s">
        <v>74</v>
      </c>
      <c r="D5" t="s">
        <v>74</v>
      </c>
      <c r="E5" t="s">
        <v>74</v>
      </c>
      <c r="F5" t="s">
        <v>158</v>
      </c>
      <c r="G5" t="s">
        <v>74</v>
      </c>
      <c r="H5" t="s">
        <v>74</v>
      </c>
      <c r="I5" t="s">
        <v>159</v>
      </c>
      <c r="J5" t="s">
        <v>160</v>
      </c>
      <c r="K5" t="s">
        <v>74</v>
      </c>
      <c r="L5" t="s">
        <v>74</v>
      </c>
      <c r="M5" t="s">
        <v>78</v>
      </c>
      <c r="N5" t="s">
        <v>161</v>
      </c>
      <c r="O5" t="s">
        <v>74</v>
      </c>
      <c r="P5" t="s">
        <v>74</v>
      </c>
      <c r="Q5" t="s">
        <v>74</v>
      </c>
      <c r="R5" t="s">
        <v>74</v>
      </c>
      <c r="S5" t="s">
        <v>74</v>
      </c>
      <c r="T5" t="s">
        <v>74</v>
      </c>
      <c r="U5" t="s">
        <v>162</v>
      </c>
      <c r="V5" t="s">
        <v>163</v>
      </c>
      <c r="W5" t="s">
        <v>164</v>
      </c>
      <c r="X5" t="s">
        <v>165</v>
      </c>
      <c r="Y5" t="s">
        <v>166</v>
      </c>
      <c r="Z5" t="s">
        <v>167</v>
      </c>
      <c r="AA5" t="s">
        <v>168</v>
      </c>
      <c r="AB5" t="s">
        <v>169</v>
      </c>
      <c r="AC5" t="s">
        <v>170</v>
      </c>
      <c r="AD5" t="s">
        <v>171</v>
      </c>
      <c r="AE5" t="s">
        <v>172</v>
      </c>
      <c r="AF5" t="s">
        <v>74</v>
      </c>
      <c r="AG5">
        <v>178</v>
      </c>
      <c r="AH5">
        <v>6</v>
      </c>
      <c r="AI5">
        <v>6</v>
      </c>
      <c r="AJ5">
        <v>47</v>
      </c>
      <c r="AK5">
        <v>182</v>
      </c>
      <c r="AL5" t="s">
        <v>173</v>
      </c>
      <c r="AM5" t="s">
        <v>174</v>
      </c>
      <c r="AN5" t="s">
        <v>175</v>
      </c>
      <c r="AO5" t="s">
        <v>176</v>
      </c>
      <c r="AP5" t="s">
        <v>177</v>
      </c>
      <c r="AQ5" t="s">
        <v>74</v>
      </c>
      <c r="AR5" t="s">
        <v>178</v>
      </c>
      <c r="AS5" t="s">
        <v>179</v>
      </c>
      <c r="AT5" t="s">
        <v>180</v>
      </c>
      <c r="AU5">
        <v>2022</v>
      </c>
      <c r="AV5">
        <v>24</v>
      </c>
      <c r="AW5">
        <v>10</v>
      </c>
      <c r="AX5" t="s">
        <v>74</v>
      </c>
      <c r="AY5" t="s">
        <v>74</v>
      </c>
      <c r="AZ5" t="s">
        <v>74</v>
      </c>
      <c r="BA5" t="s">
        <v>74</v>
      </c>
      <c r="BB5">
        <v>1616</v>
      </c>
      <c r="BC5">
        <v>1630</v>
      </c>
      <c r="BD5" t="s">
        <v>74</v>
      </c>
      <c r="BE5" t="s">
        <v>181</v>
      </c>
      <c r="BF5" t="str">
        <f>HYPERLINK("http://dx.doi.org/10.1039/d1em00550b","http://dx.doi.org/10.1039/d1em00550b")</f>
        <v>http://dx.doi.org/10.1039/d1em00550b</v>
      </c>
      <c r="BG5" t="s">
        <v>74</v>
      </c>
      <c r="BH5" t="s">
        <v>99</v>
      </c>
      <c r="BI5">
        <v>15</v>
      </c>
      <c r="BJ5" t="s">
        <v>182</v>
      </c>
      <c r="BK5" t="s">
        <v>101</v>
      </c>
      <c r="BL5" t="s">
        <v>183</v>
      </c>
      <c r="BM5" t="s">
        <v>184</v>
      </c>
      <c r="BN5">
        <v>35770617</v>
      </c>
      <c r="BO5" t="s">
        <v>74</v>
      </c>
      <c r="BP5" t="s">
        <v>74</v>
      </c>
      <c r="BQ5" t="s">
        <v>74</v>
      </c>
      <c r="BR5" t="s">
        <v>103</v>
      </c>
      <c r="BS5" t="s">
        <v>185</v>
      </c>
      <c r="BT5" t="str">
        <f>HYPERLINK("https%3A%2F%2Fwww.webofscience.com%2Fwos%2Fwoscc%2Ffull-record%2FWOS:000820061800001","View Full Record in Web of Science")</f>
        <v>View Full Record in Web of Science</v>
      </c>
    </row>
    <row r="6" spans="1:72" x14ac:dyDescent="0.15">
      <c r="A6" t="s">
        <v>72</v>
      </c>
      <c r="B6" t="s">
        <v>186</v>
      </c>
      <c r="C6" t="s">
        <v>74</v>
      </c>
      <c r="D6" t="s">
        <v>74</v>
      </c>
      <c r="E6" t="s">
        <v>74</v>
      </c>
      <c r="F6" t="s">
        <v>187</v>
      </c>
      <c r="G6" t="s">
        <v>74</v>
      </c>
      <c r="H6" t="s">
        <v>74</v>
      </c>
      <c r="I6" t="s">
        <v>188</v>
      </c>
      <c r="J6" t="s">
        <v>189</v>
      </c>
      <c r="K6" t="s">
        <v>74</v>
      </c>
      <c r="L6" t="s">
        <v>74</v>
      </c>
      <c r="M6" t="s">
        <v>78</v>
      </c>
      <c r="N6" t="s">
        <v>190</v>
      </c>
      <c r="O6" t="s">
        <v>74</v>
      </c>
      <c r="P6" t="s">
        <v>74</v>
      </c>
      <c r="Q6" t="s">
        <v>74</v>
      </c>
      <c r="R6" t="s">
        <v>74</v>
      </c>
      <c r="S6" t="s">
        <v>74</v>
      </c>
      <c r="T6" t="s">
        <v>74</v>
      </c>
      <c r="U6" t="s">
        <v>191</v>
      </c>
      <c r="V6" t="s">
        <v>192</v>
      </c>
      <c r="W6" t="s">
        <v>193</v>
      </c>
      <c r="X6" t="s">
        <v>194</v>
      </c>
      <c r="Y6" t="s">
        <v>195</v>
      </c>
      <c r="Z6" t="s">
        <v>196</v>
      </c>
      <c r="AA6" t="s">
        <v>197</v>
      </c>
      <c r="AB6" t="s">
        <v>198</v>
      </c>
      <c r="AC6" t="s">
        <v>74</v>
      </c>
      <c r="AD6" t="s">
        <v>74</v>
      </c>
      <c r="AE6" t="s">
        <v>74</v>
      </c>
      <c r="AF6" t="s">
        <v>74</v>
      </c>
      <c r="AG6">
        <v>44</v>
      </c>
      <c r="AH6">
        <v>1</v>
      </c>
      <c r="AI6">
        <v>1</v>
      </c>
      <c r="AJ6">
        <v>0</v>
      </c>
      <c r="AK6">
        <v>13</v>
      </c>
      <c r="AL6" t="s">
        <v>199</v>
      </c>
      <c r="AM6" t="s">
        <v>200</v>
      </c>
      <c r="AN6" t="s">
        <v>201</v>
      </c>
      <c r="AO6" t="s">
        <v>202</v>
      </c>
      <c r="AP6" t="s">
        <v>203</v>
      </c>
      <c r="AQ6" t="s">
        <v>74</v>
      </c>
      <c r="AR6" t="s">
        <v>204</v>
      </c>
      <c r="AS6" t="s">
        <v>205</v>
      </c>
      <c r="AT6" t="s">
        <v>206</v>
      </c>
      <c r="AU6">
        <v>2022</v>
      </c>
      <c r="AV6">
        <v>201</v>
      </c>
      <c r="AW6" t="s">
        <v>74</v>
      </c>
      <c r="AX6" t="s">
        <v>74</v>
      </c>
      <c r="AY6" t="s">
        <v>74</v>
      </c>
      <c r="AZ6" t="s">
        <v>74</v>
      </c>
      <c r="BA6" t="s">
        <v>74</v>
      </c>
      <c r="BB6" t="s">
        <v>74</v>
      </c>
      <c r="BC6" t="s">
        <v>74</v>
      </c>
      <c r="BD6">
        <v>105121</v>
      </c>
      <c r="BE6" t="s">
        <v>207</v>
      </c>
      <c r="BF6" t="str">
        <f>HYPERLINK("http://dx.doi.org/10.1016/j.dsr2.2022.105121","http://dx.doi.org/10.1016/j.dsr2.2022.105121")</f>
        <v>http://dx.doi.org/10.1016/j.dsr2.2022.105121</v>
      </c>
      <c r="BG6" t="s">
        <v>74</v>
      </c>
      <c r="BH6" t="s">
        <v>99</v>
      </c>
      <c r="BI6">
        <v>6</v>
      </c>
      <c r="BJ6" t="s">
        <v>208</v>
      </c>
      <c r="BK6" t="s">
        <v>101</v>
      </c>
      <c r="BL6" t="s">
        <v>208</v>
      </c>
      <c r="BM6" t="s">
        <v>209</v>
      </c>
      <c r="BN6" t="s">
        <v>74</v>
      </c>
      <c r="BO6" t="s">
        <v>74</v>
      </c>
      <c r="BP6" t="s">
        <v>74</v>
      </c>
      <c r="BQ6" t="s">
        <v>74</v>
      </c>
      <c r="BR6" t="s">
        <v>103</v>
      </c>
      <c r="BS6" t="s">
        <v>210</v>
      </c>
      <c r="BT6" t="str">
        <f>HYPERLINK("https%3A%2F%2Fwww.webofscience.com%2Fwos%2Fwoscc%2Ffull-record%2FWOS:000812943100005","View Full Record in Web of Science")</f>
        <v>View Full Record in Web of Science</v>
      </c>
    </row>
    <row r="7" spans="1:72" x14ac:dyDescent="0.15">
      <c r="A7" t="s">
        <v>72</v>
      </c>
      <c r="B7" t="s">
        <v>211</v>
      </c>
      <c r="C7" t="s">
        <v>74</v>
      </c>
      <c r="D7" t="s">
        <v>74</v>
      </c>
      <c r="E7" t="s">
        <v>74</v>
      </c>
      <c r="F7" t="s">
        <v>212</v>
      </c>
      <c r="G7" t="s">
        <v>74</v>
      </c>
      <c r="H7" t="s">
        <v>74</v>
      </c>
      <c r="I7" t="s">
        <v>213</v>
      </c>
      <c r="J7" t="s">
        <v>189</v>
      </c>
      <c r="K7" t="s">
        <v>74</v>
      </c>
      <c r="L7" t="s">
        <v>74</v>
      </c>
      <c r="M7" t="s">
        <v>78</v>
      </c>
      <c r="N7" t="s">
        <v>79</v>
      </c>
      <c r="O7" t="s">
        <v>74</v>
      </c>
      <c r="P7" t="s">
        <v>74</v>
      </c>
      <c r="Q7" t="s">
        <v>74</v>
      </c>
      <c r="R7" t="s">
        <v>74</v>
      </c>
      <c r="S7" t="s">
        <v>74</v>
      </c>
      <c r="T7" t="s">
        <v>214</v>
      </c>
      <c r="U7" t="s">
        <v>215</v>
      </c>
      <c r="V7" t="s">
        <v>216</v>
      </c>
      <c r="W7" t="s">
        <v>217</v>
      </c>
      <c r="X7" t="s">
        <v>218</v>
      </c>
      <c r="Y7" t="s">
        <v>219</v>
      </c>
      <c r="Z7" t="s">
        <v>220</v>
      </c>
      <c r="AA7" t="s">
        <v>221</v>
      </c>
      <c r="AB7" t="s">
        <v>222</v>
      </c>
      <c r="AC7" t="s">
        <v>223</v>
      </c>
      <c r="AD7" t="s">
        <v>223</v>
      </c>
      <c r="AE7" t="s">
        <v>224</v>
      </c>
      <c r="AF7" t="s">
        <v>74</v>
      </c>
      <c r="AG7">
        <v>69</v>
      </c>
      <c r="AH7">
        <v>4</v>
      </c>
      <c r="AI7">
        <v>5</v>
      </c>
      <c r="AJ7">
        <v>4</v>
      </c>
      <c r="AK7">
        <v>19</v>
      </c>
      <c r="AL7" t="s">
        <v>199</v>
      </c>
      <c r="AM7" t="s">
        <v>200</v>
      </c>
      <c r="AN7" t="s">
        <v>201</v>
      </c>
      <c r="AO7" t="s">
        <v>202</v>
      </c>
      <c r="AP7" t="s">
        <v>203</v>
      </c>
      <c r="AQ7" t="s">
        <v>74</v>
      </c>
      <c r="AR7" t="s">
        <v>204</v>
      </c>
      <c r="AS7" t="s">
        <v>205</v>
      </c>
      <c r="AT7" t="s">
        <v>206</v>
      </c>
      <c r="AU7">
        <v>2022</v>
      </c>
      <c r="AV7">
        <v>201</v>
      </c>
      <c r="AW7" t="s">
        <v>74</v>
      </c>
      <c r="AX7" t="s">
        <v>74</v>
      </c>
      <c r="AY7" t="s">
        <v>74</v>
      </c>
      <c r="AZ7" t="s">
        <v>74</v>
      </c>
      <c r="BA7" t="s">
        <v>74</v>
      </c>
      <c r="BB7" t="s">
        <v>74</v>
      </c>
      <c r="BC7" t="s">
        <v>74</v>
      </c>
      <c r="BD7">
        <v>105097</v>
      </c>
      <c r="BE7" t="s">
        <v>225</v>
      </c>
      <c r="BF7" t="str">
        <f>HYPERLINK("http://dx.doi.org/10.1016/j.dsr2.2022.105097","http://dx.doi.org/10.1016/j.dsr2.2022.105097")</f>
        <v>http://dx.doi.org/10.1016/j.dsr2.2022.105097</v>
      </c>
      <c r="BG7" t="s">
        <v>74</v>
      </c>
      <c r="BH7" t="s">
        <v>99</v>
      </c>
      <c r="BI7">
        <v>10</v>
      </c>
      <c r="BJ7" t="s">
        <v>208</v>
      </c>
      <c r="BK7" t="s">
        <v>101</v>
      </c>
      <c r="BL7" t="s">
        <v>208</v>
      </c>
      <c r="BM7" t="s">
        <v>209</v>
      </c>
      <c r="BN7" t="s">
        <v>74</v>
      </c>
      <c r="BO7" t="s">
        <v>74</v>
      </c>
      <c r="BP7" t="s">
        <v>74</v>
      </c>
      <c r="BQ7" t="s">
        <v>74</v>
      </c>
      <c r="BR7" t="s">
        <v>103</v>
      </c>
      <c r="BS7" t="s">
        <v>226</v>
      </c>
      <c r="BT7" t="str">
        <f>HYPERLINK("https%3A%2F%2Fwww.webofscience.com%2Fwos%2Fwoscc%2Ffull-record%2FWOS:000812943100006","View Full Record in Web of Science")</f>
        <v>View Full Record in Web of Science</v>
      </c>
    </row>
    <row r="8" spans="1:72" x14ac:dyDescent="0.15">
      <c r="A8" t="s">
        <v>72</v>
      </c>
      <c r="B8" t="s">
        <v>227</v>
      </c>
      <c r="C8" t="s">
        <v>74</v>
      </c>
      <c r="D8" t="s">
        <v>74</v>
      </c>
      <c r="E8" t="s">
        <v>74</v>
      </c>
      <c r="F8" t="s">
        <v>228</v>
      </c>
      <c r="G8" t="s">
        <v>74</v>
      </c>
      <c r="H8" t="s">
        <v>74</v>
      </c>
      <c r="I8" t="s">
        <v>229</v>
      </c>
      <c r="J8" t="s">
        <v>189</v>
      </c>
      <c r="K8" t="s">
        <v>74</v>
      </c>
      <c r="L8" t="s">
        <v>74</v>
      </c>
      <c r="M8" t="s">
        <v>78</v>
      </c>
      <c r="N8" t="s">
        <v>79</v>
      </c>
      <c r="O8" t="s">
        <v>74</v>
      </c>
      <c r="P8" t="s">
        <v>74</v>
      </c>
      <c r="Q8" t="s">
        <v>74</v>
      </c>
      <c r="R8" t="s">
        <v>74</v>
      </c>
      <c r="S8" t="s">
        <v>74</v>
      </c>
      <c r="T8" t="s">
        <v>230</v>
      </c>
      <c r="U8" t="s">
        <v>231</v>
      </c>
      <c r="V8" t="s">
        <v>232</v>
      </c>
      <c r="W8" t="s">
        <v>233</v>
      </c>
      <c r="X8" t="s">
        <v>234</v>
      </c>
      <c r="Y8" t="s">
        <v>235</v>
      </c>
      <c r="Z8" t="s">
        <v>236</v>
      </c>
      <c r="AA8" t="s">
        <v>237</v>
      </c>
      <c r="AB8" t="s">
        <v>238</v>
      </c>
      <c r="AC8" t="s">
        <v>74</v>
      </c>
      <c r="AD8" t="s">
        <v>74</v>
      </c>
      <c r="AE8" t="s">
        <v>74</v>
      </c>
      <c r="AF8" t="s">
        <v>74</v>
      </c>
      <c r="AG8">
        <v>83</v>
      </c>
      <c r="AH8">
        <v>4</v>
      </c>
      <c r="AI8">
        <v>4</v>
      </c>
      <c r="AJ8">
        <v>2</v>
      </c>
      <c r="AK8">
        <v>10</v>
      </c>
      <c r="AL8" t="s">
        <v>199</v>
      </c>
      <c r="AM8" t="s">
        <v>200</v>
      </c>
      <c r="AN8" t="s">
        <v>201</v>
      </c>
      <c r="AO8" t="s">
        <v>202</v>
      </c>
      <c r="AP8" t="s">
        <v>203</v>
      </c>
      <c r="AQ8" t="s">
        <v>74</v>
      </c>
      <c r="AR8" t="s">
        <v>204</v>
      </c>
      <c r="AS8" t="s">
        <v>205</v>
      </c>
      <c r="AT8" t="s">
        <v>206</v>
      </c>
      <c r="AU8">
        <v>2022</v>
      </c>
      <c r="AV8">
        <v>201</v>
      </c>
      <c r="AW8" t="s">
        <v>74</v>
      </c>
      <c r="AX8" t="s">
        <v>74</v>
      </c>
      <c r="AY8" t="s">
        <v>74</v>
      </c>
      <c r="AZ8" t="s">
        <v>74</v>
      </c>
      <c r="BA8" t="s">
        <v>74</v>
      </c>
      <c r="BB8" t="s">
        <v>74</v>
      </c>
      <c r="BC8" t="s">
        <v>74</v>
      </c>
      <c r="BD8">
        <v>105098</v>
      </c>
      <c r="BE8" t="s">
        <v>239</v>
      </c>
      <c r="BF8" t="str">
        <f>HYPERLINK("http://dx.doi.org/10.1016/j.dsr2.2022.105098","http://dx.doi.org/10.1016/j.dsr2.2022.105098")</f>
        <v>http://dx.doi.org/10.1016/j.dsr2.2022.105098</v>
      </c>
      <c r="BG8" t="s">
        <v>74</v>
      </c>
      <c r="BH8" t="s">
        <v>99</v>
      </c>
      <c r="BI8">
        <v>15</v>
      </c>
      <c r="BJ8" t="s">
        <v>208</v>
      </c>
      <c r="BK8" t="s">
        <v>101</v>
      </c>
      <c r="BL8" t="s">
        <v>208</v>
      </c>
      <c r="BM8" t="s">
        <v>209</v>
      </c>
      <c r="BN8" t="s">
        <v>74</v>
      </c>
      <c r="BO8" t="s">
        <v>74</v>
      </c>
      <c r="BP8" t="s">
        <v>74</v>
      </c>
      <c r="BQ8" t="s">
        <v>74</v>
      </c>
      <c r="BR8" t="s">
        <v>103</v>
      </c>
      <c r="BS8" t="s">
        <v>240</v>
      </c>
      <c r="BT8" t="str">
        <f>HYPERLINK("https%3A%2F%2Fwww.webofscience.com%2Fwos%2Fwoscc%2Ffull-record%2FWOS:000812943100004","View Full Record in Web of Science")</f>
        <v>View Full Record in Web of Science</v>
      </c>
    </row>
    <row r="9" spans="1:72" x14ac:dyDescent="0.15">
      <c r="A9" t="s">
        <v>72</v>
      </c>
      <c r="B9" t="s">
        <v>241</v>
      </c>
      <c r="C9" t="s">
        <v>74</v>
      </c>
      <c r="D9" t="s">
        <v>74</v>
      </c>
      <c r="E9" t="s">
        <v>74</v>
      </c>
      <c r="F9" t="s">
        <v>242</v>
      </c>
      <c r="G9" t="s">
        <v>74</v>
      </c>
      <c r="H9" t="s">
        <v>74</v>
      </c>
      <c r="I9" t="s">
        <v>243</v>
      </c>
      <c r="J9" t="s">
        <v>244</v>
      </c>
      <c r="K9" t="s">
        <v>74</v>
      </c>
      <c r="L9" t="s">
        <v>74</v>
      </c>
      <c r="M9" t="s">
        <v>78</v>
      </c>
      <c r="N9" t="s">
        <v>79</v>
      </c>
      <c r="O9" t="s">
        <v>74</v>
      </c>
      <c r="P9" t="s">
        <v>74</v>
      </c>
      <c r="Q9" t="s">
        <v>74</v>
      </c>
      <c r="R9" t="s">
        <v>74</v>
      </c>
      <c r="S9" t="s">
        <v>74</v>
      </c>
      <c r="T9" t="s">
        <v>245</v>
      </c>
      <c r="U9" t="s">
        <v>246</v>
      </c>
      <c r="V9" t="s">
        <v>247</v>
      </c>
      <c r="W9" t="s">
        <v>248</v>
      </c>
      <c r="X9" t="s">
        <v>249</v>
      </c>
      <c r="Y9" t="s">
        <v>250</v>
      </c>
      <c r="Z9" t="s">
        <v>251</v>
      </c>
      <c r="AA9" t="s">
        <v>252</v>
      </c>
      <c r="AB9" t="s">
        <v>253</v>
      </c>
      <c r="AC9" t="s">
        <v>254</v>
      </c>
      <c r="AD9" t="s">
        <v>255</v>
      </c>
      <c r="AE9" t="s">
        <v>256</v>
      </c>
      <c r="AF9" t="s">
        <v>74</v>
      </c>
      <c r="AG9">
        <v>250</v>
      </c>
      <c r="AH9">
        <v>22</v>
      </c>
      <c r="AI9">
        <v>23</v>
      </c>
      <c r="AJ9">
        <v>6</v>
      </c>
      <c r="AK9">
        <v>21</v>
      </c>
      <c r="AL9" t="s">
        <v>257</v>
      </c>
      <c r="AM9" t="s">
        <v>258</v>
      </c>
      <c r="AN9" t="s">
        <v>259</v>
      </c>
      <c r="AO9" t="s">
        <v>260</v>
      </c>
      <c r="AP9" t="s">
        <v>261</v>
      </c>
      <c r="AQ9" t="s">
        <v>74</v>
      </c>
      <c r="AR9" t="s">
        <v>262</v>
      </c>
      <c r="AS9" t="s">
        <v>263</v>
      </c>
      <c r="AT9" t="s">
        <v>206</v>
      </c>
      <c r="AU9">
        <v>2022</v>
      </c>
      <c r="AV9">
        <v>230</v>
      </c>
      <c r="AW9" t="s">
        <v>74</v>
      </c>
      <c r="AX9" t="s">
        <v>74</v>
      </c>
      <c r="AY9" t="s">
        <v>74</v>
      </c>
      <c r="AZ9" t="s">
        <v>74</v>
      </c>
      <c r="BA9" t="s">
        <v>74</v>
      </c>
      <c r="BB9" t="s">
        <v>74</v>
      </c>
      <c r="BC9" t="s">
        <v>74</v>
      </c>
      <c r="BD9">
        <v>104030</v>
      </c>
      <c r="BE9" t="s">
        <v>264</v>
      </c>
      <c r="BF9" t="str">
        <f>HYPERLINK("http://dx.doi.org/10.1016/j.earscirev.2022.104030","http://dx.doi.org/10.1016/j.earscirev.2022.104030")</f>
        <v>http://dx.doi.org/10.1016/j.earscirev.2022.104030</v>
      </c>
      <c r="BG9" t="s">
        <v>74</v>
      </c>
      <c r="BH9" t="s">
        <v>99</v>
      </c>
      <c r="BI9">
        <v>31</v>
      </c>
      <c r="BJ9" t="s">
        <v>265</v>
      </c>
      <c r="BK9" t="s">
        <v>101</v>
      </c>
      <c r="BL9" t="s">
        <v>100</v>
      </c>
      <c r="BM9" t="s">
        <v>266</v>
      </c>
      <c r="BN9" t="s">
        <v>74</v>
      </c>
      <c r="BO9" t="s">
        <v>267</v>
      </c>
      <c r="BP9" t="s">
        <v>74</v>
      </c>
      <c r="BQ9" t="s">
        <v>74</v>
      </c>
      <c r="BR9" t="s">
        <v>103</v>
      </c>
      <c r="BS9" t="s">
        <v>268</v>
      </c>
      <c r="BT9" t="str">
        <f>HYPERLINK("https%3A%2F%2Fwww.webofscience.com%2Fwos%2Fwoscc%2Ffull-record%2FWOS:000812363800001","View Full Record in Web of Science")</f>
        <v>View Full Record in Web of Science</v>
      </c>
    </row>
    <row r="10" spans="1:72" x14ac:dyDescent="0.15">
      <c r="A10" t="s">
        <v>72</v>
      </c>
      <c r="B10" t="s">
        <v>269</v>
      </c>
      <c r="C10" t="s">
        <v>74</v>
      </c>
      <c r="D10" t="s">
        <v>74</v>
      </c>
      <c r="E10" t="s">
        <v>74</v>
      </c>
      <c r="F10" t="s">
        <v>270</v>
      </c>
      <c r="G10" t="s">
        <v>74</v>
      </c>
      <c r="H10" t="s">
        <v>74</v>
      </c>
      <c r="I10" t="s">
        <v>271</v>
      </c>
      <c r="J10" t="s">
        <v>272</v>
      </c>
      <c r="K10" t="s">
        <v>74</v>
      </c>
      <c r="L10" t="s">
        <v>74</v>
      </c>
      <c r="M10" t="s">
        <v>78</v>
      </c>
      <c r="N10" t="s">
        <v>79</v>
      </c>
      <c r="O10" t="s">
        <v>74</v>
      </c>
      <c r="P10" t="s">
        <v>74</v>
      </c>
      <c r="Q10" t="s">
        <v>74</v>
      </c>
      <c r="R10" t="s">
        <v>74</v>
      </c>
      <c r="S10" t="s">
        <v>74</v>
      </c>
      <c r="T10" t="s">
        <v>273</v>
      </c>
      <c r="U10" t="s">
        <v>274</v>
      </c>
      <c r="V10" t="s">
        <v>275</v>
      </c>
      <c r="W10" t="s">
        <v>276</v>
      </c>
      <c r="X10" t="s">
        <v>277</v>
      </c>
      <c r="Y10" t="s">
        <v>278</v>
      </c>
      <c r="Z10" t="s">
        <v>279</v>
      </c>
      <c r="AA10" t="s">
        <v>280</v>
      </c>
      <c r="AB10" t="s">
        <v>281</v>
      </c>
      <c r="AC10" t="s">
        <v>282</v>
      </c>
      <c r="AD10" t="s">
        <v>283</v>
      </c>
      <c r="AE10" t="s">
        <v>284</v>
      </c>
      <c r="AF10" t="s">
        <v>74</v>
      </c>
      <c r="AG10">
        <v>55</v>
      </c>
      <c r="AH10">
        <v>3</v>
      </c>
      <c r="AI10">
        <v>3</v>
      </c>
      <c r="AJ10">
        <v>2</v>
      </c>
      <c r="AK10">
        <v>9</v>
      </c>
      <c r="AL10" t="s">
        <v>285</v>
      </c>
      <c r="AM10" t="s">
        <v>286</v>
      </c>
      <c r="AN10" t="s">
        <v>287</v>
      </c>
      <c r="AO10" t="s">
        <v>74</v>
      </c>
      <c r="AP10" t="s">
        <v>288</v>
      </c>
      <c r="AQ10" t="s">
        <v>74</v>
      </c>
      <c r="AR10" t="s">
        <v>289</v>
      </c>
      <c r="AS10" t="s">
        <v>290</v>
      </c>
      <c r="AT10" t="s">
        <v>291</v>
      </c>
      <c r="AU10">
        <v>2022</v>
      </c>
      <c r="AV10">
        <v>13</v>
      </c>
      <c r="AW10" t="s">
        <v>74</v>
      </c>
      <c r="AX10" t="s">
        <v>74</v>
      </c>
      <c r="AY10" t="s">
        <v>74</v>
      </c>
      <c r="AZ10" t="s">
        <v>74</v>
      </c>
      <c r="BA10" t="s">
        <v>74</v>
      </c>
      <c r="BB10" t="s">
        <v>74</v>
      </c>
      <c r="BC10" t="s">
        <v>74</v>
      </c>
      <c r="BD10">
        <v>923038</v>
      </c>
      <c r="BE10" t="s">
        <v>292</v>
      </c>
      <c r="BF10" t="str">
        <f>HYPERLINK("http://dx.doi.org/10.3389/fmicb.2022.923038","http://dx.doi.org/10.3389/fmicb.2022.923038")</f>
        <v>http://dx.doi.org/10.3389/fmicb.2022.923038</v>
      </c>
      <c r="BG10" t="s">
        <v>74</v>
      </c>
      <c r="BH10" t="s">
        <v>74</v>
      </c>
      <c r="BI10">
        <v>15</v>
      </c>
      <c r="BJ10" t="s">
        <v>293</v>
      </c>
      <c r="BK10" t="s">
        <v>101</v>
      </c>
      <c r="BL10" t="s">
        <v>293</v>
      </c>
      <c r="BM10" t="s">
        <v>294</v>
      </c>
      <c r="BN10">
        <v>35756030</v>
      </c>
      <c r="BO10" t="s">
        <v>295</v>
      </c>
      <c r="BP10" t="s">
        <v>74</v>
      </c>
      <c r="BQ10" t="s">
        <v>74</v>
      </c>
      <c r="BR10" t="s">
        <v>103</v>
      </c>
      <c r="BS10" t="s">
        <v>296</v>
      </c>
      <c r="BT10" t="str">
        <f>HYPERLINK("https%3A%2F%2Fwww.webofscience.com%2Fwos%2Fwoscc%2Ffull-record%2FWOS:000814861300001","View Full Record in Web of Science")</f>
        <v>View Full Record in Web of Science</v>
      </c>
    </row>
    <row r="11" spans="1:72" x14ac:dyDescent="0.15">
      <c r="A11" t="s">
        <v>72</v>
      </c>
      <c r="B11" t="s">
        <v>297</v>
      </c>
      <c r="C11" t="s">
        <v>74</v>
      </c>
      <c r="D11" t="s">
        <v>74</v>
      </c>
      <c r="E11" t="s">
        <v>74</v>
      </c>
      <c r="F11" t="s">
        <v>298</v>
      </c>
      <c r="G11" t="s">
        <v>74</v>
      </c>
      <c r="H11" t="s">
        <v>74</v>
      </c>
      <c r="I11" t="s">
        <v>299</v>
      </c>
      <c r="J11" t="s">
        <v>300</v>
      </c>
      <c r="K11" t="s">
        <v>74</v>
      </c>
      <c r="L11" t="s">
        <v>74</v>
      </c>
      <c r="M11" t="s">
        <v>78</v>
      </c>
      <c r="N11" t="s">
        <v>79</v>
      </c>
      <c r="O11" t="s">
        <v>74</v>
      </c>
      <c r="P11" t="s">
        <v>74</v>
      </c>
      <c r="Q11" t="s">
        <v>74</v>
      </c>
      <c r="R11" t="s">
        <v>74</v>
      </c>
      <c r="S11" t="s">
        <v>74</v>
      </c>
      <c r="T11" t="s">
        <v>301</v>
      </c>
      <c r="U11" t="s">
        <v>302</v>
      </c>
      <c r="V11" t="s">
        <v>303</v>
      </c>
      <c r="W11" t="s">
        <v>304</v>
      </c>
      <c r="X11" t="s">
        <v>305</v>
      </c>
      <c r="Y11" t="s">
        <v>306</v>
      </c>
      <c r="Z11" t="s">
        <v>307</v>
      </c>
      <c r="AA11" t="s">
        <v>308</v>
      </c>
      <c r="AB11" t="s">
        <v>309</v>
      </c>
      <c r="AC11" t="s">
        <v>310</v>
      </c>
      <c r="AD11" t="s">
        <v>311</v>
      </c>
      <c r="AE11" t="s">
        <v>312</v>
      </c>
      <c r="AF11" t="s">
        <v>74</v>
      </c>
      <c r="AG11">
        <v>52</v>
      </c>
      <c r="AH11">
        <v>3</v>
      </c>
      <c r="AI11">
        <v>3</v>
      </c>
      <c r="AJ11">
        <v>0</v>
      </c>
      <c r="AK11">
        <v>0</v>
      </c>
      <c r="AL11" t="s">
        <v>313</v>
      </c>
      <c r="AM11" t="s">
        <v>314</v>
      </c>
      <c r="AN11" t="s">
        <v>315</v>
      </c>
      <c r="AO11" t="s">
        <v>316</v>
      </c>
      <c r="AP11" t="s">
        <v>317</v>
      </c>
      <c r="AQ11" t="s">
        <v>74</v>
      </c>
      <c r="AR11" t="s">
        <v>318</v>
      </c>
      <c r="AS11" t="s">
        <v>319</v>
      </c>
      <c r="AT11" t="s">
        <v>320</v>
      </c>
      <c r="AU11">
        <v>2022</v>
      </c>
      <c r="AV11">
        <v>125</v>
      </c>
      <c r="AW11" t="s">
        <v>74</v>
      </c>
      <c r="AX11" t="s">
        <v>74</v>
      </c>
      <c r="AY11" t="s">
        <v>74</v>
      </c>
      <c r="AZ11" t="s">
        <v>74</v>
      </c>
      <c r="BA11" t="s">
        <v>74</v>
      </c>
      <c r="BB11">
        <v>12</v>
      </c>
      <c r="BC11">
        <v>22</v>
      </c>
      <c r="BD11" t="s">
        <v>74</v>
      </c>
      <c r="BE11" t="s">
        <v>321</v>
      </c>
      <c r="BF11" t="str">
        <f>HYPERLINK("http://dx.doi.org/10.1016/j.niox.2022.06.001","http://dx.doi.org/10.1016/j.niox.2022.06.001")</f>
        <v>http://dx.doi.org/10.1016/j.niox.2022.06.001</v>
      </c>
      <c r="BG11" t="s">
        <v>74</v>
      </c>
      <c r="BH11" t="s">
        <v>99</v>
      </c>
      <c r="BI11">
        <v>11</v>
      </c>
      <c r="BJ11" t="s">
        <v>322</v>
      </c>
      <c r="BK11" t="s">
        <v>101</v>
      </c>
      <c r="BL11" t="s">
        <v>322</v>
      </c>
      <c r="BM11" t="s">
        <v>323</v>
      </c>
      <c r="BN11">
        <v>35667547</v>
      </c>
      <c r="BO11" t="s">
        <v>324</v>
      </c>
      <c r="BP11" t="s">
        <v>74</v>
      </c>
      <c r="BQ11" t="s">
        <v>74</v>
      </c>
      <c r="BR11" t="s">
        <v>103</v>
      </c>
      <c r="BS11" t="s">
        <v>325</v>
      </c>
      <c r="BT11" t="str">
        <f>HYPERLINK("https%3A%2F%2Fwww.webofscience.com%2Fwos%2Fwoscc%2Ffull-record%2FWOS:000811233300002","View Full Record in Web of Science")</f>
        <v>View Full Record in Web of Science</v>
      </c>
    </row>
    <row r="12" spans="1:72" x14ac:dyDescent="0.15">
      <c r="A12" t="s">
        <v>72</v>
      </c>
      <c r="B12" t="s">
        <v>326</v>
      </c>
      <c r="C12" t="s">
        <v>74</v>
      </c>
      <c r="D12" t="s">
        <v>74</v>
      </c>
      <c r="E12" t="s">
        <v>74</v>
      </c>
      <c r="F12" t="s">
        <v>327</v>
      </c>
      <c r="G12" t="s">
        <v>74</v>
      </c>
      <c r="H12" t="s">
        <v>74</v>
      </c>
      <c r="I12" t="s">
        <v>328</v>
      </c>
      <c r="J12" t="s">
        <v>329</v>
      </c>
      <c r="K12" t="s">
        <v>74</v>
      </c>
      <c r="L12" t="s">
        <v>74</v>
      </c>
      <c r="M12" t="s">
        <v>78</v>
      </c>
      <c r="N12" t="s">
        <v>79</v>
      </c>
      <c r="O12" t="s">
        <v>74</v>
      </c>
      <c r="P12" t="s">
        <v>74</v>
      </c>
      <c r="Q12" t="s">
        <v>74</v>
      </c>
      <c r="R12" t="s">
        <v>74</v>
      </c>
      <c r="S12" t="s">
        <v>74</v>
      </c>
      <c r="T12" t="s">
        <v>330</v>
      </c>
      <c r="U12" t="s">
        <v>331</v>
      </c>
      <c r="V12" t="s">
        <v>332</v>
      </c>
      <c r="W12" t="s">
        <v>333</v>
      </c>
      <c r="X12" t="s">
        <v>334</v>
      </c>
      <c r="Y12" t="s">
        <v>335</v>
      </c>
      <c r="Z12" t="s">
        <v>336</v>
      </c>
      <c r="AA12" t="s">
        <v>337</v>
      </c>
      <c r="AB12" t="s">
        <v>338</v>
      </c>
      <c r="AC12" t="s">
        <v>339</v>
      </c>
      <c r="AD12" t="s">
        <v>340</v>
      </c>
      <c r="AE12" t="s">
        <v>341</v>
      </c>
      <c r="AF12" t="s">
        <v>74</v>
      </c>
      <c r="AG12">
        <v>110</v>
      </c>
      <c r="AH12">
        <v>4</v>
      </c>
      <c r="AI12">
        <v>4</v>
      </c>
      <c r="AJ12">
        <v>0</v>
      </c>
      <c r="AK12">
        <v>12</v>
      </c>
      <c r="AL12" t="s">
        <v>199</v>
      </c>
      <c r="AM12" t="s">
        <v>200</v>
      </c>
      <c r="AN12" t="s">
        <v>201</v>
      </c>
      <c r="AO12" t="s">
        <v>342</v>
      </c>
      <c r="AP12" t="s">
        <v>343</v>
      </c>
      <c r="AQ12" t="s">
        <v>74</v>
      </c>
      <c r="AR12" t="s">
        <v>344</v>
      </c>
      <c r="AS12" t="s">
        <v>345</v>
      </c>
      <c r="AT12" t="s">
        <v>346</v>
      </c>
      <c r="AU12">
        <v>2022</v>
      </c>
      <c r="AV12">
        <v>186</v>
      </c>
      <c r="AW12" t="s">
        <v>74</v>
      </c>
      <c r="AX12" t="s">
        <v>74</v>
      </c>
      <c r="AY12" t="s">
        <v>74</v>
      </c>
      <c r="AZ12" t="s">
        <v>74</v>
      </c>
      <c r="BA12" t="s">
        <v>74</v>
      </c>
      <c r="BB12" t="s">
        <v>74</v>
      </c>
      <c r="BC12" t="s">
        <v>74</v>
      </c>
      <c r="BD12">
        <v>103811</v>
      </c>
      <c r="BE12" t="s">
        <v>347</v>
      </c>
      <c r="BF12" t="str">
        <f>HYPERLINK("http://dx.doi.org/10.1016/j.dsr.2022.103811","http://dx.doi.org/10.1016/j.dsr.2022.103811")</f>
        <v>http://dx.doi.org/10.1016/j.dsr.2022.103811</v>
      </c>
      <c r="BG12" t="s">
        <v>74</v>
      </c>
      <c r="BH12" t="s">
        <v>99</v>
      </c>
      <c r="BI12">
        <v>16</v>
      </c>
      <c r="BJ12" t="s">
        <v>208</v>
      </c>
      <c r="BK12" t="s">
        <v>101</v>
      </c>
      <c r="BL12" t="s">
        <v>208</v>
      </c>
      <c r="BM12" t="s">
        <v>348</v>
      </c>
      <c r="BN12" t="s">
        <v>74</v>
      </c>
      <c r="BO12" t="s">
        <v>324</v>
      </c>
      <c r="BP12" t="s">
        <v>74</v>
      </c>
      <c r="BQ12" t="s">
        <v>74</v>
      </c>
      <c r="BR12" t="s">
        <v>103</v>
      </c>
      <c r="BS12" t="s">
        <v>349</v>
      </c>
      <c r="BT12" t="str">
        <f>HYPERLINK("https%3A%2F%2Fwww.webofscience.com%2Fwos%2Fwoscc%2Ffull-record%2FWOS:000811729300001","View Full Record in Web of Science")</f>
        <v>View Full Record in Web of Science</v>
      </c>
    </row>
    <row r="13" spans="1:72" x14ac:dyDescent="0.15">
      <c r="A13" t="s">
        <v>72</v>
      </c>
      <c r="B13" t="s">
        <v>350</v>
      </c>
      <c r="C13" t="s">
        <v>74</v>
      </c>
      <c r="D13" t="s">
        <v>74</v>
      </c>
      <c r="E13" t="s">
        <v>74</v>
      </c>
      <c r="F13" t="s">
        <v>351</v>
      </c>
      <c r="G13" t="s">
        <v>74</v>
      </c>
      <c r="H13" t="s">
        <v>74</v>
      </c>
      <c r="I13" t="s">
        <v>352</v>
      </c>
      <c r="J13" t="s">
        <v>189</v>
      </c>
      <c r="K13" t="s">
        <v>74</v>
      </c>
      <c r="L13" t="s">
        <v>74</v>
      </c>
      <c r="M13" t="s">
        <v>78</v>
      </c>
      <c r="N13" t="s">
        <v>79</v>
      </c>
      <c r="O13" t="s">
        <v>74</v>
      </c>
      <c r="P13" t="s">
        <v>74</v>
      </c>
      <c r="Q13" t="s">
        <v>74</v>
      </c>
      <c r="R13" t="s">
        <v>74</v>
      </c>
      <c r="S13" t="s">
        <v>74</v>
      </c>
      <c r="T13" t="s">
        <v>353</v>
      </c>
      <c r="U13" t="s">
        <v>354</v>
      </c>
      <c r="V13" t="s">
        <v>355</v>
      </c>
      <c r="W13" t="s">
        <v>356</v>
      </c>
      <c r="X13" t="s">
        <v>357</v>
      </c>
      <c r="Y13" t="s">
        <v>358</v>
      </c>
      <c r="Z13" t="s">
        <v>359</v>
      </c>
      <c r="AA13" t="s">
        <v>360</v>
      </c>
      <c r="AB13" t="s">
        <v>361</v>
      </c>
      <c r="AC13" t="s">
        <v>362</v>
      </c>
      <c r="AD13" t="s">
        <v>363</v>
      </c>
      <c r="AE13" t="s">
        <v>364</v>
      </c>
      <c r="AF13" t="s">
        <v>74</v>
      </c>
      <c r="AG13">
        <v>41</v>
      </c>
      <c r="AH13">
        <v>1</v>
      </c>
      <c r="AI13">
        <v>1</v>
      </c>
      <c r="AJ13">
        <v>3</v>
      </c>
      <c r="AK13">
        <v>12</v>
      </c>
      <c r="AL13" t="s">
        <v>199</v>
      </c>
      <c r="AM13" t="s">
        <v>200</v>
      </c>
      <c r="AN13" t="s">
        <v>201</v>
      </c>
      <c r="AO13" t="s">
        <v>202</v>
      </c>
      <c r="AP13" t="s">
        <v>203</v>
      </c>
      <c r="AQ13" t="s">
        <v>74</v>
      </c>
      <c r="AR13" t="s">
        <v>204</v>
      </c>
      <c r="AS13" t="s">
        <v>205</v>
      </c>
      <c r="AT13" t="s">
        <v>206</v>
      </c>
      <c r="AU13">
        <v>2022</v>
      </c>
      <c r="AV13">
        <v>201</v>
      </c>
      <c r="AW13" t="s">
        <v>74</v>
      </c>
      <c r="AX13" t="s">
        <v>74</v>
      </c>
      <c r="AY13" t="s">
        <v>74</v>
      </c>
      <c r="AZ13" t="s">
        <v>74</v>
      </c>
      <c r="BA13" t="s">
        <v>74</v>
      </c>
      <c r="BB13" t="s">
        <v>74</v>
      </c>
      <c r="BC13" t="s">
        <v>74</v>
      </c>
      <c r="BD13">
        <v>105119</v>
      </c>
      <c r="BE13" t="s">
        <v>365</v>
      </c>
      <c r="BF13" t="str">
        <f>HYPERLINK("http://dx.doi.org/10.1016/j.dsr2.2022.105119","http://dx.doi.org/10.1016/j.dsr2.2022.105119")</f>
        <v>http://dx.doi.org/10.1016/j.dsr2.2022.105119</v>
      </c>
      <c r="BG13" t="s">
        <v>74</v>
      </c>
      <c r="BH13" t="s">
        <v>99</v>
      </c>
      <c r="BI13">
        <v>12</v>
      </c>
      <c r="BJ13" t="s">
        <v>208</v>
      </c>
      <c r="BK13" t="s">
        <v>101</v>
      </c>
      <c r="BL13" t="s">
        <v>208</v>
      </c>
      <c r="BM13" t="s">
        <v>366</v>
      </c>
      <c r="BN13" t="s">
        <v>74</v>
      </c>
      <c r="BO13" t="s">
        <v>74</v>
      </c>
      <c r="BP13" t="s">
        <v>74</v>
      </c>
      <c r="BQ13" t="s">
        <v>74</v>
      </c>
      <c r="BR13" t="s">
        <v>103</v>
      </c>
      <c r="BS13" t="s">
        <v>367</v>
      </c>
      <c r="BT13" t="str">
        <f>HYPERLINK("https%3A%2F%2Fwww.webofscience.com%2Fwos%2Fwoscc%2Ffull-record%2FWOS:000812911700003","View Full Record in Web of Science")</f>
        <v>View Full Record in Web of Science</v>
      </c>
    </row>
    <row r="14" spans="1:72" x14ac:dyDescent="0.15">
      <c r="A14" t="s">
        <v>72</v>
      </c>
      <c r="B14" t="s">
        <v>368</v>
      </c>
      <c r="C14" t="s">
        <v>74</v>
      </c>
      <c r="D14" t="s">
        <v>74</v>
      </c>
      <c r="E14" t="s">
        <v>74</v>
      </c>
      <c r="F14" t="s">
        <v>369</v>
      </c>
      <c r="G14" t="s">
        <v>74</v>
      </c>
      <c r="H14" t="s">
        <v>74</v>
      </c>
      <c r="I14" t="s">
        <v>370</v>
      </c>
      <c r="J14" t="s">
        <v>189</v>
      </c>
      <c r="K14" t="s">
        <v>74</v>
      </c>
      <c r="L14" t="s">
        <v>74</v>
      </c>
      <c r="M14" t="s">
        <v>78</v>
      </c>
      <c r="N14" t="s">
        <v>79</v>
      </c>
      <c r="O14" t="s">
        <v>74</v>
      </c>
      <c r="P14" t="s">
        <v>74</v>
      </c>
      <c r="Q14" t="s">
        <v>74</v>
      </c>
      <c r="R14" t="s">
        <v>74</v>
      </c>
      <c r="S14" t="s">
        <v>74</v>
      </c>
      <c r="T14" t="s">
        <v>371</v>
      </c>
      <c r="U14" t="s">
        <v>372</v>
      </c>
      <c r="V14" t="s">
        <v>373</v>
      </c>
      <c r="W14" t="s">
        <v>374</v>
      </c>
      <c r="X14" t="s">
        <v>375</v>
      </c>
      <c r="Y14" t="s">
        <v>376</v>
      </c>
      <c r="Z14" t="s">
        <v>377</v>
      </c>
      <c r="AA14" t="s">
        <v>378</v>
      </c>
      <c r="AB14" t="s">
        <v>379</v>
      </c>
      <c r="AC14" t="s">
        <v>380</v>
      </c>
      <c r="AD14" t="s">
        <v>381</v>
      </c>
      <c r="AE14" t="s">
        <v>382</v>
      </c>
      <c r="AF14" t="s">
        <v>74</v>
      </c>
      <c r="AG14">
        <v>77</v>
      </c>
      <c r="AH14">
        <v>4</v>
      </c>
      <c r="AI14">
        <v>4</v>
      </c>
      <c r="AJ14">
        <v>5</v>
      </c>
      <c r="AK14">
        <v>23</v>
      </c>
      <c r="AL14" t="s">
        <v>199</v>
      </c>
      <c r="AM14" t="s">
        <v>200</v>
      </c>
      <c r="AN14" t="s">
        <v>201</v>
      </c>
      <c r="AO14" t="s">
        <v>202</v>
      </c>
      <c r="AP14" t="s">
        <v>203</v>
      </c>
      <c r="AQ14" t="s">
        <v>74</v>
      </c>
      <c r="AR14" t="s">
        <v>204</v>
      </c>
      <c r="AS14" t="s">
        <v>205</v>
      </c>
      <c r="AT14" t="s">
        <v>206</v>
      </c>
      <c r="AU14">
        <v>2022</v>
      </c>
      <c r="AV14">
        <v>201</v>
      </c>
      <c r="AW14" t="s">
        <v>74</v>
      </c>
      <c r="AX14" t="s">
        <v>74</v>
      </c>
      <c r="AY14" t="s">
        <v>74</v>
      </c>
      <c r="AZ14" t="s">
        <v>74</v>
      </c>
      <c r="BA14" t="s">
        <v>74</v>
      </c>
      <c r="BB14" t="s">
        <v>74</v>
      </c>
      <c r="BC14" t="s">
        <v>74</v>
      </c>
      <c r="BD14">
        <v>105122</v>
      </c>
      <c r="BE14" t="s">
        <v>383</v>
      </c>
      <c r="BF14" t="str">
        <f>HYPERLINK("http://dx.doi.org/10.1016/j.dsr2.2022.105122","http://dx.doi.org/10.1016/j.dsr2.2022.105122")</f>
        <v>http://dx.doi.org/10.1016/j.dsr2.2022.105122</v>
      </c>
      <c r="BG14" t="s">
        <v>74</v>
      </c>
      <c r="BH14" t="s">
        <v>99</v>
      </c>
      <c r="BI14">
        <v>11</v>
      </c>
      <c r="BJ14" t="s">
        <v>208</v>
      </c>
      <c r="BK14" t="s">
        <v>101</v>
      </c>
      <c r="BL14" t="s">
        <v>208</v>
      </c>
      <c r="BM14" t="s">
        <v>366</v>
      </c>
      <c r="BN14" t="s">
        <v>74</v>
      </c>
      <c r="BO14" t="s">
        <v>74</v>
      </c>
      <c r="BP14" t="s">
        <v>74</v>
      </c>
      <c r="BQ14" t="s">
        <v>74</v>
      </c>
      <c r="BR14" t="s">
        <v>103</v>
      </c>
      <c r="BS14" t="s">
        <v>384</v>
      </c>
      <c r="BT14" t="str">
        <f>HYPERLINK("https%3A%2F%2Fwww.webofscience.com%2Fwos%2Fwoscc%2Ffull-record%2FWOS:000812911700001","View Full Record in Web of Science")</f>
        <v>View Full Record in Web of Science</v>
      </c>
    </row>
    <row r="15" spans="1:72" x14ac:dyDescent="0.15">
      <c r="A15" t="s">
        <v>72</v>
      </c>
      <c r="B15" t="s">
        <v>385</v>
      </c>
      <c r="C15" t="s">
        <v>74</v>
      </c>
      <c r="D15" t="s">
        <v>74</v>
      </c>
      <c r="E15" t="s">
        <v>74</v>
      </c>
      <c r="F15" t="s">
        <v>386</v>
      </c>
      <c r="G15" t="s">
        <v>74</v>
      </c>
      <c r="H15" t="s">
        <v>74</v>
      </c>
      <c r="I15" t="s">
        <v>387</v>
      </c>
      <c r="J15" t="s">
        <v>388</v>
      </c>
      <c r="K15" t="s">
        <v>74</v>
      </c>
      <c r="L15" t="s">
        <v>74</v>
      </c>
      <c r="M15" t="s">
        <v>78</v>
      </c>
      <c r="N15" t="s">
        <v>79</v>
      </c>
      <c r="O15" t="s">
        <v>74</v>
      </c>
      <c r="P15" t="s">
        <v>74</v>
      </c>
      <c r="Q15" t="s">
        <v>74</v>
      </c>
      <c r="R15" t="s">
        <v>74</v>
      </c>
      <c r="S15" t="s">
        <v>74</v>
      </c>
      <c r="T15" t="s">
        <v>74</v>
      </c>
      <c r="U15" t="s">
        <v>389</v>
      </c>
      <c r="V15" t="s">
        <v>390</v>
      </c>
      <c r="W15" t="s">
        <v>391</v>
      </c>
      <c r="X15" t="s">
        <v>392</v>
      </c>
      <c r="Y15" t="s">
        <v>393</v>
      </c>
      <c r="Z15" t="s">
        <v>394</v>
      </c>
      <c r="AA15" t="s">
        <v>395</v>
      </c>
      <c r="AB15" t="s">
        <v>396</v>
      </c>
      <c r="AC15" t="s">
        <v>397</v>
      </c>
      <c r="AD15" t="s">
        <v>398</v>
      </c>
      <c r="AE15" t="s">
        <v>399</v>
      </c>
      <c r="AF15" t="s">
        <v>74</v>
      </c>
      <c r="AG15">
        <v>84</v>
      </c>
      <c r="AH15">
        <v>8</v>
      </c>
      <c r="AI15">
        <v>8</v>
      </c>
      <c r="AJ15">
        <v>2</v>
      </c>
      <c r="AK15">
        <v>7</v>
      </c>
      <c r="AL15" t="s">
        <v>400</v>
      </c>
      <c r="AM15" t="s">
        <v>401</v>
      </c>
      <c r="AN15" t="s">
        <v>402</v>
      </c>
      <c r="AO15" t="s">
        <v>74</v>
      </c>
      <c r="AP15" t="s">
        <v>403</v>
      </c>
      <c r="AQ15" t="s">
        <v>74</v>
      </c>
      <c r="AR15" t="s">
        <v>404</v>
      </c>
      <c r="AS15" t="s">
        <v>405</v>
      </c>
      <c r="AT15" t="s">
        <v>291</v>
      </c>
      <c r="AU15">
        <v>2022</v>
      </c>
      <c r="AV15">
        <v>3</v>
      </c>
      <c r="AW15">
        <v>1</v>
      </c>
      <c r="AX15" t="s">
        <v>74</v>
      </c>
      <c r="AY15" t="s">
        <v>74</v>
      </c>
      <c r="AZ15" t="s">
        <v>74</v>
      </c>
      <c r="BA15" t="s">
        <v>74</v>
      </c>
      <c r="BB15" t="s">
        <v>74</v>
      </c>
      <c r="BC15" t="s">
        <v>74</v>
      </c>
      <c r="BD15">
        <v>129</v>
      </c>
      <c r="BE15" t="s">
        <v>406</v>
      </c>
      <c r="BF15" t="str">
        <f>HYPERLINK("http://dx.doi.org/10.1038/s43247-022-00464-z","http://dx.doi.org/10.1038/s43247-022-00464-z")</f>
        <v>http://dx.doi.org/10.1038/s43247-022-00464-z</v>
      </c>
      <c r="BG15" t="s">
        <v>74</v>
      </c>
      <c r="BH15" t="s">
        <v>74</v>
      </c>
      <c r="BI15">
        <v>12</v>
      </c>
      <c r="BJ15" t="s">
        <v>407</v>
      </c>
      <c r="BK15" t="s">
        <v>101</v>
      </c>
      <c r="BL15" t="s">
        <v>408</v>
      </c>
      <c r="BM15" t="s">
        <v>409</v>
      </c>
      <c r="BN15" t="s">
        <v>74</v>
      </c>
      <c r="BO15" t="s">
        <v>410</v>
      </c>
      <c r="BP15" t="s">
        <v>74</v>
      </c>
      <c r="BQ15" t="s">
        <v>74</v>
      </c>
      <c r="BR15" t="s">
        <v>103</v>
      </c>
      <c r="BS15" t="s">
        <v>411</v>
      </c>
      <c r="BT15" t="str">
        <f>HYPERLINK("https%3A%2F%2Fwww.webofscience.com%2Fwos%2Fwoscc%2Ffull-record%2FWOS:000809196700001","View Full Record in Web of Science")</f>
        <v>View Full Record in Web of Science</v>
      </c>
    </row>
    <row r="16" spans="1:72" x14ac:dyDescent="0.15">
      <c r="A16" t="s">
        <v>72</v>
      </c>
      <c r="B16" t="s">
        <v>412</v>
      </c>
      <c r="C16" t="s">
        <v>74</v>
      </c>
      <c r="D16" t="s">
        <v>74</v>
      </c>
      <c r="E16" t="s">
        <v>74</v>
      </c>
      <c r="F16" t="s">
        <v>413</v>
      </c>
      <c r="G16" t="s">
        <v>74</v>
      </c>
      <c r="H16" t="s">
        <v>74</v>
      </c>
      <c r="I16" t="s">
        <v>414</v>
      </c>
      <c r="J16" t="s">
        <v>415</v>
      </c>
      <c r="K16" t="s">
        <v>74</v>
      </c>
      <c r="L16" t="s">
        <v>74</v>
      </c>
      <c r="M16" t="s">
        <v>78</v>
      </c>
      <c r="N16" t="s">
        <v>79</v>
      </c>
      <c r="O16" t="s">
        <v>74</v>
      </c>
      <c r="P16" t="s">
        <v>74</v>
      </c>
      <c r="Q16" t="s">
        <v>74</v>
      </c>
      <c r="R16" t="s">
        <v>74</v>
      </c>
      <c r="S16" t="s">
        <v>74</v>
      </c>
      <c r="T16" t="s">
        <v>416</v>
      </c>
      <c r="U16" t="s">
        <v>417</v>
      </c>
      <c r="V16" t="s">
        <v>418</v>
      </c>
      <c r="W16" t="s">
        <v>419</v>
      </c>
      <c r="X16" t="s">
        <v>420</v>
      </c>
      <c r="Y16" t="s">
        <v>421</v>
      </c>
      <c r="Z16" t="s">
        <v>422</v>
      </c>
      <c r="AA16" t="s">
        <v>423</v>
      </c>
      <c r="AB16" t="s">
        <v>424</v>
      </c>
      <c r="AC16" t="s">
        <v>425</v>
      </c>
      <c r="AD16" t="s">
        <v>426</v>
      </c>
      <c r="AE16" t="s">
        <v>427</v>
      </c>
      <c r="AF16" t="s">
        <v>74</v>
      </c>
      <c r="AG16">
        <v>77</v>
      </c>
      <c r="AH16">
        <v>6</v>
      </c>
      <c r="AI16">
        <v>7</v>
      </c>
      <c r="AJ16">
        <v>1</v>
      </c>
      <c r="AK16">
        <v>16</v>
      </c>
      <c r="AL16" t="s">
        <v>428</v>
      </c>
      <c r="AM16" t="s">
        <v>174</v>
      </c>
      <c r="AN16" t="s">
        <v>429</v>
      </c>
      <c r="AO16" t="s">
        <v>430</v>
      </c>
      <c r="AP16" t="s">
        <v>431</v>
      </c>
      <c r="AQ16" t="s">
        <v>74</v>
      </c>
      <c r="AR16" t="s">
        <v>432</v>
      </c>
      <c r="AS16" t="s">
        <v>433</v>
      </c>
      <c r="AT16" t="s">
        <v>434</v>
      </c>
      <c r="AU16">
        <v>2023</v>
      </c>
      <c r="AV16">
        <v>69</v>
      </c>
      <c r="AW16">
        <v>273</v>
      </c>
      <c r="AX16" t="s">
        <v>74</v>
      </c>
      <c r="AY16" t="s">
        <v>74</v>
      </c>
      <c r="AZ16" t="s">
        <v>74</v>
      </c>
      <c r="BA16" t="s">
        <v>74</v>
      </c>
      <c r="BB16">
        <v>27</v>
      </c>
      <c r="BC16">
        <v>39</v>
      </c>
      <c r="BD16" t="s">
        <v>435</v>
      </c>
      <c r="BE16" t="s">
        <v>436</v>
      </c>
      <c r="BF16" t="str">
        <f>HYPERLINK("http://dx.doi.org/10.1017/jog.2022.42","http://dx.doi.org/10.1017/jog.2022.42")</f>
        <v>http://dx.doi.org/10.1017/jog.2022.42</v>
      </c>
      <c r="BG16" t="s">
        <v>74</v>
      </c>
      <c r="BH16" t="s">
        <v>99</v>
      </c>
      <c r="BI16">
        <v>13</v>
      </c>
      <c r="BJ16" t="s">
        <v>125</v>
      </c>
      <c r="BK16" t="s">
        <v>101</v>
      </c>
      <c r="BL16" t="s">
        <v>126</v>
      </c>
      <c r="BM16" t="s">
        <v>437</v>
      </c>
      <c r="BN16" t="s">
        <v>74</v>
      </c>
      <c r="BO16" t="s">
        <v>438</v>
      </c>
      <c r="BP16" t="s">
        <v>74</v>
      </c>
      <c r="BQ16" t="s">
        <v>74</v>
      </c>
      <c r="BR16" t="s">
        <v>103</v>
      </c>
      <c r="BS16" t="s">
        <v>439</v>
      </c>
      <c r="BT16" t="str">
        <f>HYPERLINK("https%3A%2F%2Fwww.webofscience.com%2Fwos%2Fwoscc%2Ffull-record%2FWOS:000808370600001","View Full Record in Web of Science")</f>
        <v>View Full Record in Web of Science</v>
      </c>
    </row>
    <row r="17" spans="1:72" x14ac:dyDescent="0.15">
      <c r="A17" t="s">
        <v>72</v>
      </c>
      <c r="B17" t="s">
        <v>440</v>
      </c>
      <c r="C17" t="s">
        <v>74</v>
      </c>
      <c r="D17" t="s">
        <v>74</v>
      </c>
      <c r="E17" t="s">
        <v>74</v>
      </c>
      <c r="F17" t="s">
        <v>441</v>
      </c>
      <c r="G17" t="s">
        <v>74</v>
      </c>
      <c r="H17" t="s">
        <v>74</v>
      </c>
      <c r="I17" t="s">
        <v>442</v>
      </c>
      <c r="J17" t="s">
        <v>443</v>
      </c>
      <c r="K17" t="s">
        <v>74</v>
      </c>
      <c r="L17" t="s">
        <v>74</v>
      </c>
      <c r="M17" t="s">
        <v>78</v>
      </c>
      <c r="N17" t="s">
        <v>79</v>
      </c>
      <c r="O17" t="s">
        <v>74</v>
      </c>
      <c r="P17" t="s">
        <v>74</v>
      </c>
      <c r="Q17" t="s">
        <v>74</v>
      </c>
      <c r="R17" t="s">
        <v>74</v>
      </c>
      <c r="S17" t="s">
        <v>74</v>
      </c>
      <c r="T17" t="s">
        <v>74</v>
      </c>
      <c r="U17" t="s">
        <v>444</v>
      </c>
      <c r="V17" t="s">
        <v>445</v>
      </c>
      <c r="W17" t="s">
        <v>446</v>
      </c>
      <c r="X17" t="s">
        <v>447</v>
      </c>
      <c r="Y17" t="s">
        <v>448</v>
      </c>
      <c r="Z17" t="s">
        <v>449</v>
      </c>
      <c r="AA17" t="s">
        <v>450</v>
      </c>
      <c r="AB17" t="s">
        <v>451</v>
      </c>
      <c r="AC17" t="s">
        <v>452</v>
      </c>
      <c r="AD17" t="s">
        <v>453</v>
      </c>
      <c r="AE17" t="s">
        <v>454</v>
      </c>
      <c r="AF17" t="s">
        <v>74</v>
      </c>
      <c r="AG17">
        <v>46</v>
      </c>
      <c r="AH17">
        <v>8</v>
      </c>
      <c r="AI17">
        <v>8</v>
      </c>
      <c r="AJ17">
        <v>1</v>
      </c>
      <c r="AK17">
        <v>8</v>
      </c>
      <c r="AL17" t="s">
        <v>455</v>
      </c>
      <c r="AM17" t="s">
        <v>456</v>
      </c>
      <c r="AN17" t="s">
        <v>457</v>
      </c>
      <c r="AO17" t="s">
        <v>458</v>
      </c>
      <c r="AP17" t="s">
        <v>459</v>
      </c>
      <c r="AQ17" t="s">
        <v>74</v>
      </c>
      <c r="AR17" t="s">
        <v>460</v>
      </c>
      <c r="AS17" t="s">
        <v>461</v>
      </c>
      <c r="AT17" t="s">
        <v>206</v>
      </c>
      <c r="AU17">
        <v>2022</v>
      </c>
      <c r="AV17">
        <v>15</v>
      </c>
      <c r="AW17">
        <v>7</v>
      </c>
      <c r="AX17" t="s">
        <v>74</v>
      </c>
      <c r="AY17" t="s">
        <v>74</v>
      </c>
      <c r="AZ17" t="s">
        <v>74</v>
      </c>
      <c r="BA17" t="s">
        <v>74</v>
      </c>
      <c r="BB17">
        <v>568</v>
      </c>
      <c r="BC17" t="s">
        <v>462</v>
      </c>
      <c r="BD17" t="s">
        <v>74</v>
      </c>
      <c r="BE17" t="s">
        <v>463</v>
      </c>
      <c r="BF17" t="str">
        <f>HYPERLINK("http://dx.doi.org/10.1038/s41561-022-00961-y","http://dx.doi.org/10.1038/s41561-022-00961-y")</f>
        <v>http://dx.doi.org/10.1038/s41561-022-00961-y</v>
      </c>
      <c r="BG17" t="s">
        <v>74</v>
      </c>
      <c r="BH17" t="s">
        <v>99</v>
      </c>
      <c r="BI17">
        <v>6</v>
      </c>
      <c r="BJ17" t="s">
        <v>265</v>
      </c>
      <c r="BK17" t="s">
        <v>101</v>
      </c>
      <c r="BL17" t="s">
        <v>100</v>
      </c>
      <c r="BM17" t="s">
        <v>464</v>
      </c>
      <c r="BN17" t="s">
        <v>74</v>
      </c>
      <c r="BO17" t="s">
        <v>465</v>
      </c>
      <c r="BP17" t="s">
        <v>74</v>
      </c>
      <c r="BQ17" t="s">
        <v>74</v>
      </c>
      <c r="BR17" t="s">
        <v>103</v>
      </c>
      <c r="BS17" t="s">
        <v>466</v>
      </c>
      <c r="BT17" t="str">
        <f>HYPERLINK("https%3A%2F%2Fwww.webofscience.com%2Fwos%2Fwoscc%2Ffull-record%2FWOS:000808445400004","View Full Record in Web of Science")</f>
        <v>View Full Record in Web of Science</v>
      </c>
    </row>
    <row r="18" spans="1:72" x14ac:dyDescent="0.15">
      <c r="A18" t="s">
        <v>72</v>
      </c>
      <c r="B18" t="s">
        <v>467</v>
      </c>
      <c r="C18" t="s">
        <v>74</v>
      </c>
      <c r="D18" t="s">
        <v>74</v>
      </c>
      <c r="E18" t="s">
        <v>74</v>
      </c>
      <c r="F18" t="s">
        <v>468</v>
      </c>
      <c r="G18" t="s">
        <v>74</v>
      </c>
      <c r="H18" t="s">
        <v>74</v>
      </c>
      <c r="I18" t="s">
        <v>469</v>
      </c>
      <c r="J18" t="s">
        <v>470</v>
      </c>
      <c r="K18" t="s">
        <v>74</v>
      </c>
      <c r="L18" t="s">
        <v>74</v>
      </c>
      <c r="M18" t="s">
        <v>78</v>
      </c>
      <c r="N18" t="s">
        <v>79</v>
      </c>
      <c r="O18" t="s">
        <v>74</v>
      </c>
      <c r="P18" t="s">
        <v>74</v>
      </c>
      <c r="Q18" t="s">
        <v>74</v>
      </c>
      <c r="R18" t="s">
        <v>74</v>
      </c>
      <c r="S18" t="s">
        <v>74</v>
      </c>
      <c r="T18" t="s">
        <v>471</v>
      </c>
      <c r="U18" t="s">
        <v>472</v>
      </c>
      <c r="V18" t="s">
        <v>473</v>
      </c>
      <c r="W18" t="s">
        <v>474</v>
      </c>
      <c r="X18" t="s">
        <v>475</v>
      </c>
      <c r="Y18" t="s">
        <v>476</v>
      </c>
      <c r="Z18" t="s">
        <v>477</v>
      </c>
      <c r="AA18" t="s">
        <v>74</v>
      </c>
      <c r="AB18" t="s">
        <v>74</v>
      </c>
      <c r="AC18" t="s">
        <v>478</v>
      </c>
      <c r="AD18" t="s">
        <v>479</v>
      </c>
      <c r="AE18" t="s">
        <v>480</v>
      </c>
      <c r="AF18" t="s">
        <v>74</v>
      </c>
      <c r="AG18">
        <v>38</v>
      </c>
      <c r="AH18">
        <v>0</v>
      </c>
      <c r="AI18">
        <v>0</v>
      </c>
      <c r="AJ18">
        <v>3</v>
      </c>
      <c r="AK18">
        <v>13</v>
      </c>
      <c r="AL18" t="s">
        <v>91</v>
      </c>
      <c r="AM18" t="s">
        <v>92</v>
      </c>
      <c r="AN18" t="s">
        <v>93</v>
      </c>
      <c r="AO18" t="s">
        <v>481</v>
      </c>
      <c r="AP18" t="s">
        <v>74</v>
      </c>
      <c r="AQ18" t="s">
        <v>74</v>
      </c>
      <c r="AR18" t="s">
        <v>482</v>
      </c>
      <c r="AS18" t="s">
        <v>483</v>
      </c>
      <c r="AT18" t="s">
        <v>484</v>
      </c>
      <c r="AU18">
        <v>2022</v>
      </c>
      <c r="AV18">
        <v>23</v>
      </c>
      <c r="AW18">
        <v>10</v>
      </c>
      <c r="AX18" t="s">
        <v>74</v>
      </c>
      <c r="AY18" t="s">
        <v>74</v>
      </c>
      <c r="AZ18" t="s">
        <v>74</v>
      </c>
      <c r="BA18" t="s">
        <v>74</v>
      </c>
      <c r="BB18" t="s">
        <v>74</v>
      </c>
      <c r="BC18" t="s">
        <v>74</v>
      </c>
      <c r="BD18" t="s">
        <v>485</v>
      </c>
      <c r="BE18" t="s">
        <v>486</v>
      </c>
      <c r="BF18" t="str">
        <f>HYPERLINK("http://dx.doi.org/10.1002/asl.1115","http://dx.doi.org/10.1002/asl.1115")</f>
        <v>http://dx.doi.org/10.1002/asl.1115</v>
      </c>
      <c r="BG18" t="s">
        <v>74</v>
      </c>
      <c r="BH18" t="s">
        <v>99</v>
      </c>
      <c r="BI18">
        <v>10</v>
      </c>
      <c r="BJ18" t="s">
        <v>487</v>
      </c>
      <c r="BK18" t="s">
        <v>101</v>
      </c>
      <c r="BL18" t="s">
        <v>487</v>
      </c>
      <c r="BM18" t="s">
        <v>488</v>
      </c>
      <c r="BN18" t="s">
        <v>74</v>
      </c>
      <c r="BO18" t="s">
        <v>438</v>
      </c>
      <c r="BP18" t="s">
        <v>74</v>
      </c>
      <c r="BQ18" t="s">
        <v>74</v>
      </c>
      <c r="BR18" t="s">
        <v>103</v>
      </c>
      <c r="BS18" t="s">
        <v>489</v>
      </c>
      <c r="BT18" t="str">
        <f>HYPERLINK("https%3A%2F%2Fwww.webofscience.com%2Fwos%2Fwoscc%2Ffull-record%2FWOS:000808189100001","View Full Record in Web of Science")</f>
        <v>View Full Record in Web of Science</v>
      </c>
    </row>
    <row r="19" spans="1:72" x14ac:dyDescent="0.15">
      <c r="A19" t="s">
        <v>72</v>
      </c>
      <c r="B19" t="s">
        <v>490</v>
      </c>
      <c r="C19" t="s">
        <v>74</v>
      </c>
      <c r="D19" t="s">
        <v>74</v>
      </c>
      <c r="E19" t="s">
        <v>74</v>
      </c>
      <c r="F19" t="s">
        <v>491</v>
      </c>
      <c r="G19" t="s">
        <v>74</v>
      </c>
      <c r="H19" t="s">
        <v>74</v>
      </c>
      <c r="I19" t="s">
        <v>492</v>
      </c>
      <c r="J19" t="s">
        <v>493</v>
      </c>
      <c r="K19" t="s">
        <v>74</v>
      </c>
      <c r="L19" t="s">
        <v>74</v>
      </c>
      <c r="M19" t="s">
        <v>78</v>
      </c>
      <c r="N19" t="s">
        <v>79</v>
      </c>
      <c r="O19" t="s">
        <v>74</v>
      </c>
      <c r="P19" t="s">
        <v>74</v>
      </c>
      <c r="Q19" t="s">
        <v>74</v>
      </c>
      <c r="R19" t="s">
        <v>74</v>
      </c>
      <c r="S19" t="s">
        <v>74</v>
      </c>
      <c r="T19" t="s">
        <v>74</v>
      </c>
      <c r="U19" t="s">
        <v>494</v>
      </c>
      <c r="V19" t="s">
        <v>495</v>
      </c>
      <c r="W19" t="s">
        <v>496</v>
      </c>
      <c r="X19" t="s">
        <v>497</v>
      </c>
      <c r="Y19" t="s">
        <v>498</v>
      </c>
      <c r="Z19" t="s">
        <v>499</v>
      </c>
      <c r="AA19" t="s">
        <v>500</v>
      </c>
      <c r="AB19" t="s">
        <v>501</v>
      </c>
      <c r="AC19" t="s">
        <v>502</v>
      </c>
      <c r="AD19" t="s">
        <v>503</v>
      </c>
      <c r="AE19" t="s">
        <v>504</v>
      </c>
      <c r="AF19" t="s">
        <v>74</v>
      </c>
      <c r="AG19">
        <v>74</v>
      </c>
      <c r="AH19">
        <v>0</v>
      </c>
      <c r="AI19">
        <v>0</v>
      </c>
      <c r="AJ19">
        <v>0</v>
      </c>
      <c r="AK19">
        <v>1</v>
      </c>
      <c r="AL19" t="s">
        <v>117</v>
      </c>
      <c r="AM19" t="s">
        <v>118</v>
      </c>
      <c r="AN19" t="s">
        <v>119</v>
      </c>
      <c r="AO19" t="s">
        <v>505</v>
      </c>
      <c r="AP19" t="s">
        <v>506</v>
      </c>
      <c r="AQ19" t="s">
        <v>74</v>
      </c>
      <c r="AR19" t="s">
        <v>507</v>
      </c>
      <c r="AS19" t="s">
        <v>508</v>
      </c>
      <c r="AT19" t="s">
        <v>291</v>
      </c>
      <c r="AU19">
        <v>2022</v>
      </c>
      <c r="AV19">
        <v>15</v>
      </c>
      <c r="AW19">
        <v>11</v>
      </c>
      <c r="AX19" t="s">
        <v>74</v>
      </c>
      <c r="AY19" t="s">
        <v>74</v>
      </c>
      <c r="AZ19" t="s">
        <v>74</v>
      </c>
      <c r="BA19" t="s">
        <v>74</v>
      </c>
      <c r="BB19" t="s">
        <v>74</v>
      </c>
      <c r="BC19" t="s">
        <v>74</v>
      </c>
      <c r="BD19" t="s">
        <v>74</v>
      </c>
      <c r="BE19" t="s">
        <v>509</v>
      </c>
      <c r="BF19" t="str">
        <f>HYPERLINK("http://dx.doi.org/10.5194/amt-15-3439-2022","http://dx.doi.org/10.5194/amt-15-3439-2022")</f>
        <v>http://dx.doi.org/10.5194/amt-15-3439-2022</v>
      </c>
      <c r="BG19" t="s">
        <v>74</v>
      </c>
      <c r="BH19" t="s">
        <v>74</v>
      </c>
      <c r="BI19">
        <v>25</v>
      </c>
      <c r="BJ19" t="s">
        <v>510</v>
      </c>
      <c r="BK19" t="s">
        <v>101</v>
      </c>
      <c r="BL19" t="s">
        <v>510</v>
      </c>
      <c r="BM19" t="s">
        <v>511</v>
      </c>
      <c r="BN19" t="s">
        <v>74</v>
      </c>
      <c r="BO19" t="s">
        <v>512</v>
      </c>
      <c r="BP19" t="s">
        <v>74</v>
      </c>
      <c r="BQ19" t="s">
        <v>74</v>
      </c>
      <c r="BR19" t="s">
        <v>103</v>
      </c>
      <c r="BS19" t="s">
        <v>513</v>
      </c>
      <c r="BT19" t="str">
        <f>HYPERLINK("https%3A%2F%2Fwww.webofscience.com%2Fwos%2Fwoscc%2Ffull-record%2FWOS:000808125900001","View Full Record in Web of Science")</f>
        <v>View Full Record in Web of Science</v>
      </c>
    </row>
    <row r="20" spans="1:72" x14ac:dyDescent="0.15">
      <c r="A20" t="s">
        <v>72</v>
      </c>
      <c r="B20" t="s">
        <v>514</v>
      </c>
      <c r="C20" t="s">
        <v>74</v>
      </c>
      <c r="D20" t="s">
        <v>74</v>
      </c>
      <c r="E20" t="s">
        <v>74</v>
      </c>
      <c r="F20" t="s">
        <v>515</v>
      </c>
      <c r="G20" t="s">
        <v>74</v>
      </c>
      <c r="H20" t="s">
        <v>74</v>
      </c>
      <c r="I20" t="s">
        <v>516</v>
      </c>
      <c r="J20" t="s">
        <v>517</v>
      </c>
      <c r="K20" t="s">
        <v>74</v>
      </c>
      <c r="L20" t="s">
        <v>74</v>
      </c>
      <c r="M20" t="s">
        <v>78</v>
      </c>
      <c r="N20" t="s">
        <v>79</v>
      </c>
      <c r="O20" t="s">
        <v>74</v>
      </c>
      <c r="P20" t="s">
        <v>74</v>
      </c>
      <c r="Q20" t="s">
        <v>74</v>
      </c>
      <c r="R20" t="s">
        <v>74</v>
      </c>
      <c r="S20" t="s">
        <v>74</v>
      </c>
      <c r="T20" t="s">
        <v>518</v>
      </c>
      <c r="U20" t="s">
        <v>519</v>
      </c>
      <c r="V20" t="s">
        <v>520</v>
      </c>
      <c r="W20" t="s">
        <v>521</v>
      </c>
      <c r="X20" t="s">
        <v>522</v>
      </c>
      <c r="Y20" t="s">
        <v>523</v>
      </c>
      <c r="Z20" t="s">
        <v>524</v>
      </c>
      <c r="AA20" t="s">
        <v>525</v>
      </c>
      <c r="AB20" t="s">
        <v>526</v>
      </c>
      <c r="AC20" t="s">
        <v>527</v>
      </c>
      <c r="AD20" t="s">
        <v>528</v>
      </c>
      <c r="AE20" t="s">
        <v>529</v>
      </c>
      <c r="AF20" t="s">
        <v>74</v>
      </c>
      <c r="AG20">
        <v>64</v>
      </c>
      <c r="AH20">
        <v>4</v>
      </c>
      <c r="AI20">
        <v>4</v>
      </c>
      <c r="AJ20">
        <v>7</v>
      </c>
      <c r="AK20">
        <v>16</v>
      </c>
      <c r="AL20" t="s">
        <v>530</v>
      </c>
      <c r="AM20" t="s">
        <v>531</v>
      </c>
      <c r="AN20" t="s">
        <v>532</v>
      </c>
      <c r="AO20" t="s">
        <v>533</v>
      </c>
      <c r="AP20" t="s">
        <v>534</v>
      </c>
      <c r="AQ20" t="s">
        <v>74</v>
      </c>
      <c r="AR20" t="s">
        <v>535</v>
      </c>
      <c r="AS20" t="s">
        <v>536</v>
      </c>
      <c r="AT20" t="s">
        <v>537</v>
      </c>
      <c r="AU20">
        <v>2022</v>
      </c>
      <c r="AV20">
        <v>45</v>
      </c>
      <c r="AW20">
        <v>6</v>
      </c>
      <c r="AX20" t="s">
        <v>74</v>
      </c>
      <c r="AY20" t="s">
        <v>74</v>
      </c>
      <c r="AZ20" t="s">
        <v>74</v>
      </c>
      <c r="BA20" t="s">
        <v>74</v>
      </c>
      <c r="BB20">
        <v>1035</v>
      </c>
      <c r="BC20">
        <v>1044</v>
      </c>
      <c r="BD20" t="s">
        <v>74</v>
      </c>
      <c r="BE20" t="s">
        <v>538</v>
      </c>
      <c r="BF20" t="str">
        <f>HYPERLINK("http://dx.doi.org/10.1007/s00300-022-03052-1","http://dx.doi.org/10.1007/s00300-022-03052-1")</f>
        <v>http://dx.doi.org/10.1007/s00300-022-03052-1</v>
      </c>
      <c r="BG20" t="s">
        <v>74</v>
      </c>
      <c r="BH20" t="s">
        <v>99</v>
      </c>
      <c r="BI20">
        <v>10</v>
      </c>
      <c r="BJ20" t="s">
        <v>539</v>
      </c>
      <c r="BK20" t="s">
        <v>101</v>
      </c>
      <c r="BL20" t="s">
        <v>540</v>
      </c>
      <c r="BM20" t="s">
        <v>541</v>
      </c>
      <c r="BN20" t="s">
        <v>74</v>
      </c>
      <c r="BO20" t="s">
        <v>74</v>
      </c>
      <c r="BP20" t="s">
        <v>74</v>
      </c>
      <c r="BQ20" t="s">
        <v>74</v>
      </c>
      <c r="BR20" t="s">
        <v>103</v>
      </c>
      <c r="BS20" t="s">
        <v>542</v>
      </c>
      <c r="BT20" t="str">
        <f>HYPERLINK("https%3A%2F%2Fwww.webofscience.com%2Fwos%2Fwoscc%2Ffull-record%2FWOS:000808412200001","View Full Record in Web of Science")</f>
        <v>View Full Record in Web of Science</v>
      </c>
    </row>
    <row r="21" spans="1:72" x14ac:dyDescent="0.15">
      <c r="A21" t="s">
        <v>72</v>
      </c>
      <c r="B21" t="s">
        <v>543</v>
      </c>
      <c r="C21" t="s">
        <v>74</v>
      </c>
      <c r="D21" t="s">
        <v>74</v>
      </c>
      <c r="E21" t="s">
        <v>74</v>
      </c>
      <c r="F21" t="s">
        <v>544</v>
      </c>
      <c r="G21" t="s">
        <v>74</v>
      </c>
      <c r="H21" t="s">
        <v>74</v>
      </c>
      <c r="I21" t="s">
        <v>545</v>
      </c>
      <c r="J21" t="s">
        <v>546</v>
      </c>
      <c r="K21" t="s">
        <v>74</v>
      </c>
      <c r="L21" t="s">
        <v>74</v>
      </c>
      <c r="M21" t="s">
        <v>78</v>
      </c>
      <c r="N21" t="s">
        <v>190</v>
      </c>
      <c r="O21" t="s">
        <v>74</v>
      </c>
      <c r="P21" t="s">
        <v>74</v>
      </c>
      <c r="Q21" t="s">
        <v>74</v>
      </c>
      <c r="R21" t="s">
        <v>74</v>
      </c>
      <c r="S21" t="s">
        <v>74</v>
      </c>
      <c r="T21" t="s">
        <v>547</v>
      </c>
      <c r="U21" t="s">
        <v>548</v>
      </c>
      <c r="V21" t="s">
        <v>74</v>
      </c>
      <c r="W21" t="s">
        <v>549</v>
      </c>
      <c r="X21" t="s">
        <v>550</v>
      </c>
      <c r="Y21" t="s">
        <v>551</v>
      </c>
      <c r="Z21" t="s">
        <v>552</v>
      </c>
      <c r="AA21" t="s">
        <v>553</v>
      </c>
      <c r="AB21" t="s">
        <v>554</v>
      </c>
      <c r="AC21" t="s">
        <v>555</v>
      </c>
      <c r="AD21" t="s">
        <v>556</v>
      </c>
      <c r="AE21" t="s">
        <v>557</v>
      </c>
      <c r="AF21" t="s">
        <v>74</v>
      </c>
      <c r="AG21">
        <v>89</v>
      </c>
      <c r="AH21">
        <v>2</v>
      </c>
      <c r="AI21">
        <v>2</v>
      </c>
      <c r="AJ21">
        <v>0</v>
      </c>
      <c r="AK21">
        <v>16</v>
      </c>
      <c r="AL21" t="s">
        <v>285</v>
      </c>
      <c r="AM21" t="s">
        <v>286</v>
      </c>
      <c r="AN21" t="s">
        <v>287</v>
      </c>
      <c r="AO21" t="s">
        <v>74</v>
      </c>
      <c r="AP21" t="s">
        <v>558</v>
      </c>
      <c r="AQ21" t="s">
        <v>74</v>
      </c>
      <c r="AR21" t="s">
        <v>559</v>
      </c>
      <c r="AS21" t="s">
        <v>560</v>
      </c>
      <c r="AT21" t="s">
        <v>561</v>
      </c>
      <c r="AU21">
        <v>2022</v>
      </c>
      <c r="AV21">
        <v>9</v>
      </c>
      <c r="AW21" t="s">
        <v>74</v>
      </c>
      <c r="AX21" t="s">
        <v>74</v>
      </c>
      <c r="AY21" t="s">
        <v>74</v>
      </c>
      <c r="AZ21" t="s">
        <v>74</v>
      </c>
      <c r="BA21" t="s">
        <v>74</v>
      </c>
      <c r="BB21" t="s">
        <v>74</v>
      </c>
      <c r="BC21" t="s">
        <v>74</v>
      </c>
      <c r="BD21">
        <v>918984</v>
      </c>
      <c r="BE21" t="s">
        <v>562</v>
      </c>
      <c r="BF21" t="str">
        <f>HYPERLINK("http://dx.doi.org/10.3389/fmars.2022.918984","http://dx.doi.org/10.3389/fmars.2022.918984")</f>
        <v>http://dx.doi.org/10.3389/fmars.2022.918984</v>
      </c>
      <c r="BG21" t="s">
        <v>74</v>
      </c>
      <c r="BH21" t="s">
        <v>74</v>
      </c>
      <c r="BI21">
        <v>9</v>
      </c>
      <c r="BJ21" t="s">
        <v>563</v>
      </c>
      <c r="BK21" t="s">
        <v>101</v>
      </c>
      <c r="BL21" t="s">
        <v>564</v>
      </c>
      <c r="BM21" t="s">
        <v>565</v>
      </c>
      <c r="BN21" t="s">
        <v>74</v>
      </c>
      <c r="BO21" t="s">
        <v>438</v>
      </c>
      <c r="BP21" t="s">
        <v>74</v>
      </c>
      <c r="BQ21" t="s">
        <v>74</v>
      </c>
      <c r="BR21" t="s">
        <v>103</v>
      </c>
      <c r="BS21" t="s">
        <v>566</v>
      </c>
      <c r="BT21" t="str">
        <f>HYPERLINK("https%3A%2F%2Fwww.webofscience.com%2Fwos%2Fwoscc%2Ffull-record%2FWOS:000814767400001","View Full Record in Web of Science")</f>
        <v>View Full Record in Web of Science</v>
      </c>
    </row>
    <row r="22" spans="1:72" x14ac:dyDescent="0.15">
      <c r="A22" t="s">
        <v>72</v>
      </c>
      <c r="B22" t="s">
        <v>567</v>
      </c>
      <c r="C22" t="s">
        <v>74</v>
      </c>
      <c r="D22" t="s">
        <v>74</v>
      </c>
      <c r="E22" t="s">
        <v>74</v>
      </c>
      <c r="F22" t="s">
        <v>568</v>
      </c>
      <c r="G22" t="s">
        <v>74</v>
      </c>
      <c r="H22" t="s">
        <v>74</v>
      </c>
      <c r="I22" t="s">
        <v>569</v>
      </c>
      <c r="J22" t="s">
        <v>570</v>
      </c>
      <c r="K22" t="s">
        <v>74</v>
      </c>
      <c r="L22" t="s">
        <v>74</v>
      </c>
      <c r="M22" t="s">
        <v>78</v>
      </c>
      <c r="N22" t="s">
        <v>79</v>
      </c>
      <c r="O22" t="s">
        <v>74</v>
      </c>
      <c r="P22" t="s">
        <v>74</v>
      </c>
      <c r="Q22" t="s">
        <v>74</v>
      </c>
      <c r="R22" t="s">
        <v>74</v>
      </c>
      <c r="S22" t="s">
        <v>74</v>
      </c>
      <c r="T22" t="s">
        <v>571</v>
      </c>
      <c r="U22" t="s">
        <v>572</v>
      </c>
      <c r="V22" t="s">
        <v>573</v>
      </c>
      <c r="W22" t="s">
        <v>574</v>
      </c>
      <c r="X22" t="s">
        <v>575</v>
      </c>
      <c r="Y22" t="s">
        <v>576</v>
      </c>
      <c r="Z22" t="s">
        <v>577</v>
      </c>
      <c r="AA22" t="s">
        <v>578</v>
      </c>
      <c r="AB22" t="s">
        <v>579</v>
      </c>
      <c r="AC22" t="s">
        <v>74</v>
      </c>
      <c r="AD22" t="s">
        <v>74</v>
      </c>
      <c r="AE22" t="s">
        <v>74</v>
      </c>
      <c r="AF22" t="s">
        <v>74</v>
      </c>
      <c r="AG22">
        <v>69</v>
      </c>
      <c r="AH22">
        <v>5</v>
      </c>
      <c r="AI22">
        <v>6</v>
      </c>
      <c r="AJ22">
        <v>1</v>
      </c>
      <c r="AK22">
        <v>32</v>
      </c>
      <c r="AL22" t="s">
        <v>580</v>
      </c>
      <c r="AM22" t="s">
        <v>401</v>
      </c>
      <c r="AN22" t="s">
        <v>581</v>
      </c>
      <c r="AO22" t="s">
        <v>582</v>
      </c>
      <c r="AP22" t="s">
        <v>583</v>
      </c>
      <c r="AQ22" t="s">
        <v>74</v>
      </c>
      <c r="AR22" t="s">
        <v>584</v>
      </c>
      <c r="AS22" t="s">
        <v>585</v>
      </c>
      <c r="AT22" t="s">
        <v>561</v>
      </c>
      <c r="AU22">
        <v>2022</v>
      </c>
      <c r="AV22">
        <v>289</v>
      </c>
      <c r="AW22">
        <v>1976</v>
      </c>
      <c r="AX22" t="s">
        <v>74</v>
      </c>
      <c r="AY22" t="s">
        <v>74</v>
      </c>
      <c r="AZ22" t="s">
        <v>74</v>
      </c>
      <c r="BA22" t="s">
        <v>74</v>
      </c>
      <c r="BB22" t="s">
        <v>74</v>
      </c>
      <c r="BC22" t="s">
        <v>74</v>
      </c>
      <c r="BD22">
        <v>20220308</v>
      </c>
      <c r="BE22" t="s">
        <v>586</v>
      </c>
      <c r="BF22" t="str">
        <f>HYPERLINK("http://dx.doi.org/10.1098/rspb.2022.0308","http://dx.doi.org/10.1098/rspb.2022.0308")</f>
        <v>http://dx.doi.org/10.1098/rspb.2022.0308</v>
      </c>
      <c r="BG22" t="s">
        <v>74</v>
      </c>
      <c r="BH22" t="s">
        <v>74</v>
      </c>
      <c r="BI22">
        <v>8</v>
      </c>
      <c r="BJ22" t="s">
        <v>587</v>
      </c>
      <c r="BK22" t="s">
        <v>101</v>
      </c>
      <c r="BL22" t="s">
        <v>588</v>
      </c>
      <c r="BM22" t="s">
        <v>589</v>
      </c>
      <c r="BN22">
        <v>35673862</v>
      </c>
      <c r="BO22" t="s">
        <v>590</v>
      </c>
      <c r="BP22" t="s">
        <v>74</v>
      </c>
      <c r="BQ22" t="s">
        <v>74</v>
      </c>
      <c r="BR22" t="s">
        <v>103</v>
      </c>
      <c r="BS22" t="s">
        <v>591</v>
      </c>
      <c r="BT22" t="str">
        <f>HYPERLINK("https%3A%2F%2Fwww.webofscience.com%2Fwos%2Fwoscc%2Ffull-record%2FWOS:000807984900013","View Full Record in Web of Science")</f>
        <v>View Full Record in Web of Science</v>
      </c>
    </row>
    <row r="23" spans="1:72" x14ac:dyDescent="0.15">
      <c r="A23" t="s">
        <v>72</v>
      </c>
      <c r="B23" t="s">
        <v>592</v>
      </c>
      <c r="C23" t="s">
        <v>74</v>
      </c>
      <c r="D23" t="s">
        <v>74</v>
      </c>
      <c r="E23" t="s">
        <v>74</v>
      </c>
      <c r="F23" t="s">
        <v>593</v>
      </c>
      <c r="G23" t="s">
        <v>74</v>
      </c>
      <c r="H23" t="s">
        <v>74</v>
      </c>
      <c r="I23" t="s">
        <v>594</v>
      </c>
      <c r="J23" t="s">
        <v>595</v>
      </c>
      <c r="K23" t="s">
        <v>74</v>
      </c>
      <c r="L23" t="s">
        <v>74</v>
      </c>
      <c r="M23" t="s">
        <v>78</v>
      </c>
      <c r="N23" t="s">
        <v>596</v>
      </c>
      <c r="O23" t="s">
        <v>74</v>
      </c>
      <c r="P23" t="s">
        <v>74</v>
      </c>
      <c r="Q23" t="s">
        <v>74</v>
      </c>
      <c r="R23" t="s">
        <v>74</v>
      </c>
      <c r="S23" t="s">
        <v>74</v>
      </c>
      <c r="T23" t="s">
        <v>74</v>
      </c>
      <c r="U23" t="s">
        <v>597</v>
      </c>
      <c r="V23" t="s">
        <v>598</v>
      </c>
      <c r="W23" t="s">
        <v>599</v>
      </c>
      <c r="X23" t="s">
        <v>600</v>
      </c>
      <c r="Y23" t="s">
        <v>601</v>
      </c>
      <c r="Z23" t="s">
        <v>602</v>
      </c>
      <c r="AA23" t="s">
        <v>603</v>
      </c>
      <c r="AB23" t="s">
        <v>604</v>
      </c>
      <c r="AC23" t="s">
        <v>605</v>
      </c>
      <c r="AD23" t="s">
        <v>606</v>
      </c>
      <c r="AE23" t="s">
        <v>607</v>
      </c>
      <c r="AF23" t="s">
        <v>74</v>
      </c>
      <c r="AG23">
        <v>788</v>
      </c>
      <c r="AH23">
        <v>5</v>
      </c>
      <c r="AI23">
        <v>5</v>
      </c>
      <c r="AJ23">
        <v>3</v>
      </c>
      <c r="AK23">
        <v>25</v>
      </c>
      <c r="AL23" t="s">
        <v>117</v>
      </c>
      <c r="AM23" t="s">
        <v>118</v>
      </c>
      <c r="AN23" t="s">
        <v>119</v>
      </c>
      <c r="AO23" t="s">
        <v>608</v>
      </c>
      <c r="AP23" t="s">
        <v>609</v>
      </c>
      <c r="AQ23" t="s">
        <v>74</v>
      </c>
      <c r="AR23" t="s">
        <v>610</v>
      </c>
      <c r="AS23" t="s">
        <v>611</v>
      </c>
      <c r="AT23" t="s">
        <v>561</v>
      </c>
      <c r="AU23">
        <v>2022</v>
      </c>
      <c r="AV23">
        <v>14</v>
      </c>
      <c r="AW23">
        <v>6</v>
      </c>
      <c r="AX23" t="s">
        <v>74</v>
      </c>
      <c r="AY23" t="s">
        <v>74</v>
      </c>
      <c r="AZ23" t="s">
        <v>74</v>
      </c>
      <c r="BA23" t="s">
        <v>74</v>
      </c>
      <c r="BB23">
        <v>2553</v>
      </c>
      <c r="BC23">
        <v>2611</v>
      </c>
      <c r="BD23" t="s">
        <v>74</v>
      </c>
      <c r="BE23" t="s">
        <v>612</v>
      </c>
      <c r="BF23" t="str">
        <f>HYPERLINK("http://dx.doi.org/10.5194/essd-14-2553-2022","http://dx.doi.org/10.5194/essd-14-2553-2022")</f>
        <v>http://dx.doi.org/10.5194/essd-14-2553-2022</v>
      </c>
      <c r="BG23" t="s">
        <v>74</v>
      </c>
      <c r="BH23" t="s">
        <v>74</v>
      </c>
      <c r="BI23">
        <v>59</v>
      </c>
      <c r="BJ23" t="s">
        <v>613</v>
      </c>
      <c r="BK23" t="s">
        <v>101</v>
      </c>
      <c r="BL23" t="s">
        <v>614</v>
      </c>
      <c r="BM23" t="s">
        <v>615</v>
      </c>
      <c r="BN23" t="s">
        <v>74</v>
      </c>
      <c r="BO23" t="s">
        <v>512</v>
      </c>
      <c r="BP23" t="s">
        <v>74</v>
      </c>
      <c r="BQ23" t="s">
        <v>74</v>
      </c>
      <c r="BR23" t="s">
        <v>103</v>
      </c>
      <c r="BS23" t="s">
        <v>616</v>
      </c>
      <c r="BT23" t="str">
        <f>HYPERLINK("https%3A%2F%2Fwww.webofscience.com%2Fwos%2Fwoscc%2Ffull-record%2FWOS:000807410400001","View Full Record in Web of Science")</f>
        <v>View Full Record in Web of Science</v>
      </c>
    </row>
    <row r="24" spans="1:72" x14ac:dyDescent="0.15">
      <c r="A24" t="s">
        <v>72</v>
      </c>
      <c r="B24" t="s">
        <v>617</v>
      </c>
      <c r="C24" t="s">
        <v>74</v>
      </c>
      <c r="D24" t="s">
        <v>74</v>
      </c>
      <c r="E24" t="s">
        <v>74</v>
      </c>
      <c r="F24" t="s">
        <v>618</v>
      </c>
      <c r="G24" t="s">
        <v>74</v>
      </c>
      <c r="H24" t="s">
        <v>74</v>
      </c>
      <c r="I24" t="s">
        <v>619</v>
      </c>
      <c r="J24" t="s">
        <v>620</v>
      </c>
      <c r="K24" t="s">
        <v>74</v>
      </c>
      <c r="L24" t="s">
        <v>74</v>
      </c>
      <c r="M24" t="s">
        <v>78</v>
      </c>
      <c r="N24" t="s">
        <v>79</v>
      </c>
      <c r="O24" t="s">
        <v>74</v>
      </c>
      <c r="P24" t="s">
        <v>74</v>
      </c>
      <c r="Q24" t="s">
        <v>74</v>
      </c>
      <c r="R24" t="s">
        <v>74</v>
      </c>
      <c r="S24" t="s">
        <v>74</v>
      </c>
      <c r="T24" t="s">
        <v>621</v>
      </c>
      <c r="U24" t="s">
        <v>622</v>
      </c>
      <c r="V24" t="s">
        <v>623</v>
      </c>
      <c r="W24" t="s">
        <v>624</v>
      </c>
      <c r="X24" t="s">
        <v>625</v>
      </c>
      <c r="Y24" t="s">
        <v>626</v>
      </c>
      <c r="Z24" t="s">
        <v>627</v>
      </c>
      <c r="AA24" t="s">
        <v>628</v>
      </c>
      <c r="AB24" t="s">
        <v>629</v>
      </c>
      <c r="AC24" t="s">
        <v>630</v>
      </c>
      <c r="AD24" t="s">
        <v>631</v>
      </c>
      <c r="AE24" t="s">
        <v>632</v>
      </c>
      <c r="AF24" t="s">
        <v>74</v>
      </c>
      <c r="AG24">
        <v>66</v>
      </c>
      <c r="AH24">
        <v>6</v>
      </c>
      <c r="AI24">
        <v>6</v>
      </c>
      <c r="AJ24">
        <v>2</v>
      </c>
      <c r="AK24">
        <v>12</v>
      </c>
      <c r="AL24" t="s">
        <v>633</v>
      </c>
      <c r="AM24" t="s">
        <v>200</v>
      </c>
      <c r="AN24" t="s">
        <v>634</v>
      </c>
      <c r="AO24" t="s">
        <v>635</v>
      </c>
      <c r="AP24" t="s">
        <v>636</v>
      </c>
      <c r="AQ24" t="s">
        <v>74</v>
      </c>
      <c r="AR24" t="s">
        <v>637</v>
      </c>
      <c r="AS24" t="s">
        <v>638</v>
      </c>
      <c r="AT24" t="s">
        <v>639</v>
      </c>
      <c r="AU24">
        <v>2022</v>
      </c>
      <c r="AV24">
        <v>44</v>
      </c>
      <c r="AW24">
        <v>4</v>
      </c>
      <c r="AX24" t="s">
        <v>74</v>
      </c>
      <c r="AY24" t="s">
        <v>74</v>
      </c>
      <c r="AZ24" t="s">
        <v>74</v>
      </c>
      <c r="BA24" t="s">
        <v>74</v>
      </c>
      <c r="BB24">
        <v>485</v>
      </c>
      <c r="BC24">
        <v>495</v>
      </c>
      <c r="BD24" t="s">
        <v>74</v>
      </c>
      <c r="BE24" t="s">
        <v>640</v>
      </c>
      <c r="BF24" t="str">
        <f>HYPERLINK("http://dx.doi.org/10.1093/plankt/fbac026","http://dx.doi.org/10.1093/plankt/fbac026")</f>
        <v>http://dx.doi.org/10.1093/plankt/fbac026</v>
      </c>
      <c r="BG24" t="s">
        <v>74</v>
      </c>
      <c r="BH24" t="s">
        <v>99</v>
      </c>
      <c r="BI24">
        <v>11</v>
      </c>
      <c r="BJ24" t="s">
        <v>641</v>
      </c>
      <c r="BK24" t="s">
        <v>101</v>
      </c>
      <c r="BL24" t="s">
        <v>641</v>
      </c>
      <c r="BM24" t="s">
        <v>642</v>
      </c>
      <c r="BN24">
        <v>35898813</v>
      </c>
      <c r="BO24" t="s">
        <v>643</v>
      </c>
      <c r="BP24" t="s">
        <v>74</v>
      </c>
      <c r="BQ24" t="s">
        <v>74</v>
      </c>
      <c r="BR24" t="s">
        <v>103</v>
      </c>
      <c r="BS24" t="s">
        <v>644</v>
      </c>
      <c r="BT24" t="str">
        <f>HYPERLINK("https%3A%2F%2Fwww.webofscience.com%2Fwos%2Fwoscc%2Ffull-record%2FWOS:000807380900001","View Full Record in Web of Science")</f>
        <v>View Full Record in Web of Science</v>
      </c>
    </row>
    <row r="25" spans="1:72" x14ac:dyDescent="0.15">
      <c r="A25" t="s">
        <v>72</v>
      </c>
      <c r="B25" t="s">
        <v>645</v>
      </c>
      <c r="C25" t="s">
        <v>74</v>
      </c>
      <c r="D25" t="s">
        <v>74</v>
      </c>
      <c r="E25" t="s">
        <v>74</v>
      </c>
      <c r="F25" t="s">
        <v>646</v>
      </c>
      <c r="G25" t="s">
        <v>74</v>
      </c>
      <c r="H25" t="s">
        <v>74</v>
      </c>
      <c r="I25" t="s">
        <v>647</v>
      </c>
      <c r="J25" t="s">
        <v>648</v>
      </c>
      <c r="K25" t="s">
        <v>74</v>
      </c>
      <c r="L25" t="s">
        <v>74</v>
      </c>
      <c r="M25" t="s">
        <v>78</v>
      </c>
      <c r="N25" t="s">
        <v>649</v>
      </c>
      <c r="O25" t="s">
        <v>74</v>
      </c>
      <c r="P25" t="s">
        <v>74</v>
      </c>
      <c r="Q25" t="s">
        <v>74</v>
      </c>
      <c r="R25" t="s">
        <v>74</v>
      </c>
      <c r="S25" t="s">
        <v>74</v>
      </c>
      <c r="T25" t="s">
        <v>74</v>
      </c>
      <c r="U25" t="s">
        <v>74</v>
      </c>
      <c r="V25" t="s">
        <v>74</v>
      </c>
      <c r="W25" t="s">
        <v>74</v>
      </c>
      <c r="X25" t="s">
        <v>74</v>
      </c>
      <c r="Y25" t="s">
        <v>74</v>
      </c>
      <c r="Z25" t="s">
        <v>650</v>
      </c>
      <c r="AA25" t="s">
        <v>651</v>
      </c>
      <c r="AB25" t="s">
        <v>74</v>
      </c>
      <c r="AC25" t="s">
        <v>74</v>
      </c>
      <c r="AD25" t="s">
        <v>74</v>
      </c>
      <c r="AE25" t="s">
        <v>74</v>
      </c>
      <c r="AF25" t="s">
        <v>74</v>
      </c>
      <c r="AG25">
        <v>1</v>
      </c>
      <c r="AH25">
        <v>1</v>
      </c>
      <c r="AI25">
        <v>1</v>
      </c>
      <c r="AJ25">
        <v>0</v>
      </c>
      <c r="AK25">
        <v>4</v>
      </c>
      <c r="AL25" t="s">
        <v>455</v>
      </c>
      <c r="AM25" t="s">
        <v>456</v>
      </c>
      <c r="AN25" t="s">
        <v>457</v>
      </c>
      <c r="AO25" t="s">
        <v>74</v>
      </c>
      <c r="AP25" t="s">
        <v>652</v>
      </c>
      <c r="AQ25" t="s">
        <v>74</v>
      </c>
      <c r="AR25" t="s">
        <v>653</v>
      </c>
      <c r="AS25" t="s">
        <v>654</v>
      </c>
      <c r="AT25" t="s">
        <v>655</v>
      </c>
      <c r="AU25">
        <v>2022</v>
      </c>
      <c r="AV25">
        <v>13</v>
      </c>
      <c r="AW25">
        <v>1</v>
      </c>
      <c r="AX25" t="s">
        <v>74</v>
      </c>
      <c r="AY25" t="s">
        <v>74</v>
      </c>
      <c r="AZ25" t="s">
        <v>74</v>
      </c>
      <c r="BA25" t="s">
        <v>74</v>
      </c>
      <c r="BB25" t="s">
        <v>74</v>
      </c>
      <c r="BC25" t="s">
        <v>74</v>
      </c>
      <c r="BD25">
        <v>3266</v>
      </c>
      <c r="BE25" t="s">
        <v>656</v>
      </c>
      <c r="BF25" t="str">
        <f>HYPERLINK("http://dx.doi.org/10.1038/s41467-022-30657-1","http://dx.doi.org/10.1038/s41467-022-30657-1")</f>
        <v>http://dx.doi.org/10.1038/s41467-022-30657-1</v>
      </c>
      <c r="BG25" t="s">
        <v>74</v>
      </c>
      <c r="BH25" t="s">
        <v>74</v>
      </c>
      <c r="BI25">
        <v>1</v>
      </c>
      <c r="BJ25" t="s">
        <v>657</v>
      </c>
      <c r="BK25" t="s">
        <v>101</v>
      </c>
      <c r="BL25" t="s">
        <v>658</v>
      </c>
      <c r="BM25" t="s">
        <v>659</v>
      </c>
      <c r="BN25">
        <v>35672314</v>
      </c>
      <c r="BO25" t="s">
        <v>660</v>
      </c>
      <c r="BP25" t="s">
        <v>74</v>
      </c>
      <c r="BQ25" t="s">
        <v>74</v>
      </c>
      <c r="BR25" t="s">
        <v>103</v>
      </c>
      <c r="BS25" t="s">
        <v>661</v>
      </c>
      <c r="BT25" t="str">
        <f>HYPERLINK("https%3A%2F%2Fwww.webofscience.com%2Fwos%2Fwoscc%2Ffull-record%2FWOS:000808128800038","View Full Record in Web of Science")</f>
        <v>View Full Record in Web of Science</v>
      </c>
    </row>
    <row r="26" spans="1:72" x14ac:dyDescent="0.15">
      <c r="A26" t="s">
        <v>72</v>
      </c>
      <c r="B26" t="s">
        <v>662</v>
      </c>
      <c r="C26" t="s">
        <v>74</v>
      </c>
      <c r="D26" t="s">
        <v>74</v>
      </c>
      <c r="E26" t="s">
        <v>74</v>
      </c>
      <c r="F26" t="s">
        <v>663</v>
      </c>
      <c r="G26" t="s">
        <v>74</v>
      </c>
      <c r="H26" t="s">
        <v>74</v>
      </c>
      <c r="I26" t="s">
        <v>664</v>
      </c>
      <c r="J26" t="s">
        <v>665</v>
      </c>
      <c r="K26" t="s">
        <v>74</v>
      </c>
      <c r="L26" t="s">
        <v>74</v>
      </c>
      <c r="M26" t="s">
        <v>78</v>
      </c>
      <c r="N26" t="s">
        <v>79</v>
      </c>
      <c r="O26" t="s">
        <v>74</v>
      </c>
      <c r="P26" t="s">
        <v>74</v>
      </c>
      <c r="Q26" t="s">
        <v>74</v>
      </c>
      <c r="R26" t="s">
        <v>74</v>
      </c>
      <c r="S26" t="s">
        <v>74</v>
      </c>
      <c r="T26" t="s">
        <v>666</v>
      </c>
      <c r="U26" t="s">
        <v>667</v>
      </c>
      <c r="V26" t="s">
        <v>668</v>
      </c>
      <c r="W26" t="s">
        <v>669</v>
      </c>
      <c r="X26" t="s">
        <v>670</v>
      </c>
      <c r="Y26" t="s">
        <v>671</v>
      </c>
      <c r="Z26" t="s">
        <v>672</v>
      </c>
      <c r="AA26" t="s">
        <v>673</v>
      </c>
      <c r="AB26" t="s">
        <v>674</v>
      </c>
      <c r="AC26" t="s">
        <v>675</v>
      </c>
      <c r="AD26" t="s">
        <v>676</v>
      </c>
      <c r="AE26" t="s">
        <v>677</v>
      </c>
      <c r="AF26" t="s">
        <v>74</v>
      </c>
      <c r="AG26">
        <v>121</v>
      </c>
      <c r="AH26">
        <v>5</v>
      </c>
      <c r="AI26">
        <v>6</v>
      </c>
      <c r="AJ26">
        <v>2</v>
      </c>
      <c r="AK26">
        <v>15</v>
      </c>
      <c r="AL26" t="s">
        <v>678</v>
      </c>
      <c r="AM26" t="s">
        <v>679</v>
      </c>
      <c r="AN26" t="s">
        <v>680</v>
      </c>
      <c r="AO26" t="s">
        <v>681</v>
      </c>
      <c r="AP26" t="s">
        <v>682</v>
      </c>
      <c r="AQ26" t="s">
        <v>74</v>
      </c>
      <c r="AR26" t="s">
        <v>665</v>
      </c>
      <c r="AS26" t="s">
        <v>683</v>
      </c>
      <c r="AT26" t="s">
        <v>320</v>
      </c>
      <c r="AU26">
        <v>2022</v>
      </c>
      <c r="AV26">
        <v>22</v>
      </c>
      <c r="AW26">
        <v>8</v>
      </c>
      <c r="AX26" t="s">
        <v>74</v>
      </c>
      <c r="AY26" t="s">
        <v>74</v>
      </c>
      <c r="AZ26" t="s">
        <v>74</v>
      </c>
      <c r="BA26" t="s">
        <v>74</v>
      </c>
      <c r="BB26">
        <v>962</v>
      </c>
      <c r="BC26">
        <v>980</v>
      </c>
      <c r="BD26" t="s">
        <v>74</v>
      </c>
      <c r="BE26" t="s">
        <v>684</v>
      </c>
      <c r="BF26" t="str">
        <f>HYPERLINK("http://dx.doi.org/10.1089/ast.2021.0078","http://dx.doi.org/10.1089/ast.2021.0078")</f>
        <v>http://dx.doi.org/10.1089/ast.2021.0078</v>
      </c>
      <c r="BG26" t="s">
        <v>74</v>
      </c>
      <c r="BH26" t="s">
        <v>99</v>
      </c>
      <c r="BI26">
        <v>19</v>
      </c>
      <c r="BJ26" t="s">
        <v>685</v>
      </c>
      <c r="BK26" t="s">
        <v>101</v>
      </c>
      <c r="BL26" t="s">
        <v>686</v>
      </c>
      <c r="BM26" t="s">
        <v>687</v>
      </c>
      <c r="BN26">
        <v>35671513</v>
      </c>
      <c r="BO26" t="s">
        <v>74</v>
      </c>
      <c r="BP26" t="s">
        <v>74</v>
      </c>
      <c r="BQ26" t="s">
        <v>74</v>
      </c>
      <c r="BR26" t="s">
        <v>103</v>
      </c>
      <c r="BS26" t="s">
        <v>688</v>
      </c>
      <c r="BT26" t="str">
        <f>HYPERLINK("https%3A%2F%2Fwww.webofscience.com%2Fwos%2Fwoscc%2Ffull-record%2FWOS:000808480500001","View Full Record in Web of Science")</f>
        <v>View Full Record in Web of Science</v>
      </c>
    </row>
    <row r="27" spans="1:72" x14ac:dyDescent="0.15">
      <c r="A27" t="s">
        <v>72</v>
      </c>
      <c r="B27" t="s">
        <v>689</v>
      </c>
      <c r="C27" t="s">
        <v>74</v>
      </c>
      <c r="D27" t="s">
        <v>74</v>
      </c>
      <c r="E27" t="s">
        <v>74</v>
      </c>
      <c r="F27" t="s">
        <v>690</v>
      </c>
      <c r="G27" t="s">
        <v>74</v>
      </c>
      <c r="H27" t="s">
        <v>74</v>
      </c>
      <c r="I27" t="s">
        <v>691</v>
      </c>
      <c r="J27" t="s">
        <v>692</v>
      </c>
      <c r="K27" t="s">
        <v>74</v>
      </c>
      <c r="L27" t="s">
        <v>74</v>
      </c>
      <c r="M27" t="s">
        <v>78</v>
      </c>
      <c r="N27" t="s">
        <v>79</v>
      </c>
      <c r="O27" t="s">
        <v>74</v>
      </c>
      <c r="P27" t="s">
        <v>74</v>
      </c>
      <c r="Q27" t="s">
        <v>74</v>
      </c>
      <c r="R27" t="s">
        <v>74</v>
      </c>
      <c r="S27" t="s">
        <v>74</v>
      </c>
      <c r="T27" t="s">
        <v>693</v>
      </c>
      <c r="U27" t="s">
        <v>694</v>
      </c>
      <c r="V27" t="s">
        <v>695</v>
      </c>
      <c r="W27" t="s">
        <v>696</v>
      </c>
      <c r="X27" t="s">
        <v>697</v>
      </c>
      <c r="Y27" t="s">
        <v>698</v>
      </c>
      <c r="Z27" t="s">
        <v>699</v>
      </c>
      <c r="AA27" t="s">
        <v>74</v>
      </c>
      <c r="AB27" t="s">
        <v>700</v>
      </c>
      <c r="AC27" t="s">
        <v>701</v>
      </c>
      <c r="AD27" t="s">
        <v>701</v>
      </c>
      <c r="AE27" t="s">
        <v>702</v>
      </c>
      <c r="AF27" t="s">
        <v>74</v>
      </c>
      <c r="AG27">
        <v>83</v>
      </c>
      <c r="AH27">
        <v>1</v>
      </c>
      <c r="AI27">
        <v>1</v>
      </c>
      <c r="AJ27">
        <v>0</v>
      </c>
      <c r="AK27">
        <v>3</v>
      </c>
      <c r="AL27" t="s">
        <v>428</v>
      </c>
      <c r="AM27" t="s">
        <v>174</v>
      </c>
      <c r="AN27" t="s">
        <v>429</v>
      </c>
      <c r="AO27" t="s">
        <v>703</v>
      </c>
      <c r="AP27" t="s">
        <v>704</v>
      </c>
      <c r="AQ27" t="s">
        <v>74</v>
      </c>
      <c r="AR27" t="s">
        <v>705</v>
      </c>
      <c r="AS27" t="s">
        <v>706</v>
      </c>
      <c r="AT27" t="s">
        <v>346</v>
      </c>
      <c r="AU27">
        <v>2022</v>
      </c>
      <c r="AV27">
        <v>34</v>
      </c>
      <c r="AW27">
        <v>4</v>
      </c>
      <c r="AX27" t="s">
        <v>74</v>
      </c>
      <c r="AY27" t="s">
        <v>74</v>
      </c>
      <c r="AZ27" t="s">
        <v>74</v>
      </c>
      <c r="BA27" t="s">
        <v>74</v>
      </c>
      <c r="BB27">
        <v>298</v>
      </c>
      <c r="BC27">
        <v>312</v>
      </c>
      <c r="BD27" t="s">
        <v>74</v>
      </c>
      <c r="BE27" t="s">
        <v>707</v>
      </c>
      <c r="BF27" t="str">
        <f>HYPERLINK("http://dx.doi.org/10.1017/S0954102022000220","http://dx.doi.org/10.1017/S0954102022000220")</f>
        <v>http://dx.doi.org/10.1017/S0954102022000220</v>
      </c>
      <c r="BG27" t="s">
        <v>74</v>
      </c>
      <c r="BH27" t="s">
        <v>99</v>
      </c>
      <c r="BI27">
        <v>15</v>
      </c>
      <c r="BJ27" t="s">
        <v>708</v>
      </c>
      <c r="BK27" t="s">
        <v>101</v>
      </c>
      <c r="BL27" t="s">
        <v>709</v>
      </c>
      <c r="BM27" t="s">
        <v>710</v>
      </c>
      <c r="BN27" t="s">
        <v>74</v>
      </c>
      <c r="BO27" t="s">
        <v>267</v>
      </c>
      <c r="BP27" t="s">
        <v>74</v>
      </c>
      <c r="BQ27" t="s">
        <v>74</v>
      </c>
      <c r="BR27" t="s">
        <v>103</v>
      </c>
      <c r="BS27" t="s">
        <v>711</v>
      </c>
      <c r="BT27" t="str">
        <f>HYPERLINK("https%3A%2F%2Fwww.webofscience.com%2Fwos%2Fwoscc%2Ffull-record%2FWOS:000808291600001","View Full Record in Web of Science")</f>
        <v>View Full Record in Web of Science</v>
      </c>
    </row>
    <row r="28" spans="1:72" x14ac:dyDescent="0.15">
      <c r="A28" t="s">
        <v>72</v>
      </c>
      <c r="B28" t="s">
        <v>712</v>
      </c>
      <c r="C28" t="s">
        <v>74</v>
      </c>
      <c r="D28" t="s">
        <v>74</v>
      </c>
      <c r="E28" t="s">
        <v>74</v>
      </c>
      <c r="F28" t="s">
        <v>713</v>
      </c>
      <c r="G28" t="s">
        <v>74</v>
      </c>
      <c r="H28" t="s">
        <v>74</v>
      </c>
      <c r="I28" t="s">
        <v>714</v>
      </c>
      <c r="J28" t="s">
        <v>715</v>
      </c>
      <c r="K28" t="s">
        <v>74</v>
      </c>
      <c r="L28" t="s">
        <v>74</v>
      </c>
      <c r="M28" t="s">
        <v>78</v>
      </c>
      <c r="N28" t="s">
        <v>596</v>
      </c>
      <c r="O28" t="s">
        <v>74</v>
      </c>
      <c r="P28" t="s">
        <v>74</v>
      </c>
      <c r="Q28" t="s">
        <v>74</v>
      </c>
      <c r="R28" t="s">
        <v>74</v>
      </c>
      <c r="S28" t="s">
        <v>74</v>
      </c>
      <c r="T28" t="s">
        <v>74</v>
      </c>
      <c r="U28" t="s">
        <v>716</v>
      </c>
      <c r="V28" t="s">
        <v>717</v>
      </c>
      <c r="W28" t="s">
        <v>718</v>
      </c>
      <c r="X28" t="s">
        <v>719</v>
      </c>
      <c r="Y28" t="s">
        <v>720</v>
      </c>
      <c r="Z28" t="s">
        <v>721</v>
      </c>
      <c r="AA28" t="s">
        <v>722</v>
      </c>
      <c r="AB28" t="s">
        <v>723</v>
      </c>
      <c r="AC28" t="s">
        <v>724</v>
      </c>
      <c r="AD28" t="s">
        <v>725</v>
      </c>
      <c r="AE28" t="s">
        <v>726</v>
      </c>
      <c r="AF28" t="s">
        <v>74</v>
      </c>
      <c r="AG28">
        <v>33</v>
      </c>
      <c r="AH28">
        <v>32</v>
      </c>
      <c r="AI28">
        <v>38</v>
      </c>
      <c r="AJ28">
        <v>3</v>
      </c>
      <c r="AK28">
        <v>14</v>
      </c>
      <c r="AL28" t="s">
        <v>455</v>
      </c>
      <c r="AM28" t="s">
        <v>456</v>
      </c>
      <c r="AN28" t="s">
        <v>457</v>
      </c>
      <c r="AO28" t="s">
        <v>74</v>
      </c>
      <c r="AP28" t="s">
        <v>727</v>
      </c>
      <c r="AQ28" t="s">
        <v>74</v>
      </c>
      <c r="AR28" t="s">
        <v>728</v>
      </c>
      <c r="AS28" t="s">
        <v>729</v>
      </c>
      <c r="AT28" t="s">
        <v>655</v>
      </c>
      <c r="AU28">
        <v>2022</v>
      </c>
      <c r="AV28">
        <v>9</v>
      </c>
      <c r="AW28">
        <v>1</v>
      </c>
      <c r="AX28" t="s">
        <v>74</v>
      </c>
      <c r="AY28" t="s">
        <v>74</v>
      </c>
      <c r="AZ28" t="s">
        <v>74</v>
      </c>
      <c r="BA28" t="s">
        <v>74</v>
      </c>
      <c r="BB28" t="s">
        <v>74</v>
      </c>
      <c r="BC28" t="s">
        <v>74</v>
      </c>
      <c r="BD28">
        <v>275</v>
      </c>
      <c r="BE28" t="s">
        <v>730</v>
      </c>
      <c r="BF28" t="str">
        <f>HYPERLINK("http://dx.doi.org/10.1038/s41597-022-01366-7","http://dx.doi.org/10.1038/s41597-022-01366-7")</f>
        <v>http://dx.doi.org/10.1038/s41597-022-01366-7</v>
      </c>
      <c r="BG28" t="s">
        <v>74</v>
      </c>
      <c r="BH28" t="s">
        <v>74</v>
      </c>
      <c r="BI28">
        <v>13</v>
      </c>
      <c r="BJ28" t="s">
        <v>657</v>
      </c>
      <c r="BK28" t="s">
        <v>101</v>
      </c>
      <c r="BL28" t="s">
        <v>658</v>
      </c>
      <c r="BM28" t="s">
        <v>731</v>
      </c>
      <c r="BN28">
        <v>35672417</v>
      </c>
      <c r="BO28" t="s">
        <v>410</v>
      </c>
      <c r="BP28" t="s">
        <v>74</v>
      </c>
      <c r="BQ28" t="s">
        <v>74</v>
      </c>
      <c r="BR28" t="s">
        <v>103</v>
      </c>
      <c r="BS28" t="s">
        <v>732</v>
      </c>
      <c r="BT28" t="str">
        <f>HYPERLINK("https%3A%2F%2Fwww.webofscience.com%2Fwos%2Fwoscc%2Ffull-record%2FWOS:000807525600006","View Full Record in Web of Science")</f>
        <v>View Full Record in Web of Science</v>
      </c>
    </row>
    <row r="29" spans="1:72" x14ac:dyDescent="0.15">
      <c r="A29" t="s">
        <v>72</v>
      </c>
      <c r="B29" t="s">
        <v>733</v>
      </c>
      <c r="C29" t="s">
        <v>74</v>
      </c>
      <c r="D29" t="s">
        <v>74</v>
      </c>
      <c r="E29" t="s">
        <v>74</v>
      </c>
      <c r="F29" t="s">
        <v>734</v>
      </c>
      <c r="G29" t="s">
        <v>74</v>
      </c>
      <c r="H29" t="s">
        <v>74</v>
      </c>
      <c r="I29" t="s">
        <v>735</v>
      </c>
      <c r="J29" t="s">
        <v>692</v>
      </c>
      <c r="K29" t="s">
        <v>74</v>
      </c>
      <c r="L29" t="s">
        <v>74</v>
      </c>
      <c r="M29" t="s">
        <v>78</v>
      </c>
      <c r="N29" t="s">
        <v>79</v>
      </c>
      <c r="O29" t="s">
        <v>74</v>
      </c>
      <c r="P29" t="s">
        <v>74</v>
      </c>
      <c r="Q29" t="s">
        <v>74</v>
      </c>
      <c r="R29" t="s">
        <v>74</v>
      </c>
      <c r="S29" t="s">
        <v>74</v>
      </c>
      <c r="T29" t="s">
        <v>736</v>
      </c>
      <c r="U29" t="s">
        <v>737</v>
      </c>
      <c r="V29" t="s">
        <v>738</v>
      </c>
      <c r="W29" t="s">
        <v>739</v>
      </c>
      <c r="X29" t="s">
        <v>740</v>
      </c>
      <c r="Y29" t="s">
        <v>741</v>
      </c>
      <c r="Z29" t="s">
        <v>742</v>
      </c>
      <c r="AA29" t="s">
        <v>743</v>
      </c>
      <c r="AB29" t="s">
        <v>744</v>
      </c>
      <c r="AC29" t="s">
        <v>745</v>
      </c>
      <c r="AD29" t="s">
        <v>746</v>
      </c>
      <c r="AE29" t="s">
        <v>747</v>
      </c>
      <c r="AF29" t="s">
        <v>74</v>
      </c>
      <c r="AG29">
        <v>56</v>
      </c>
      <c r="AH29">
        <v>1</v>
      </c>
      <c r="AI29">
        <v>1</v>
      </c>
      <c r="AJ29">
        <v>1</v>
      </c>
      <c r="AK29">
        <v>6</v>
      </c>
      <c r="AL29" t="s">
        <v>428</v>
      </c>
      <c r="AM29" t="s">
        <v>531</v>
      </c>
      <c r="AN29" t="s">
        <v>748</v>
      </c>
      <c r="AO29" t="s">
        <v>703</v>
      </c>
      <c r="AP29" t="s">
        <v>704</v>
      </c>
      <c r="AQ29" t="s">
        <v>74</v>
      </c>
      <c r="AR29" t="s">
        <v>705</v>
      </c>
      <c r="AS29" t="s">
        <v>706</v>
      </c>
      <c r="AT29" t="s">
        <v>346</v>
      </c>
      <c r="AU29">
        <v>2022</v>
      </c>
      <c r="AV29">
        <v>34</v>
      </c>
      <c r="AW29">
        <v>4</v>
      </c>
      <c r="AX29" t="s">
        <v>74</v>
      </c>
      <c r="AY29" t="s">
        <v>74</v>
      </c>
      <c r="AZ29" t="s">
        <v>74</v>
      </c>
      <c r="BA29" t="s">
        <v>74</v>
      </c>
      <c r="BB29">
        <v>281</v>
      </c>
      <c r="BC29">
        <v>288</v>
      </c>
      <c r="BD29" t="s">
        <v>749</v>
      </c>
      <c r="BE29" t="s">
        <v>750</v>
      </c>
      <c r="BF29" t="str">
        <f>HYPERLINK("http://dx.doi.org/10.1017/S0954102022000086","http://dx.doi.org/10.1017/S0954102022000086")</f>
        <v>http://dx.doi.org/10.1017/S0954102022000086</v>
      </c>
      <c r="BG29" t="s">
        <v>74</v>
      </c>
      <c r="BH29" t="s">
        <v>99</v>
      </c>
      <c r="BI29">
        <v>8</v>
      </c>
      <c r="BJ29" t="s">
        <v>708</v>
      </c>
      <c r="BK29" t="s">
        <v>101</v>
      </c>
      <c r="BL29" t="s">
        <v>709</v>
      </c>
      <c r="BM29" t="s">
        <v>710</v>
      </c>
      <c r="BN29" t="s">
        <v>74</v>
      </c>
      <c r="BO29" t="s">
        <v>74</v>
      </c>
      <c r="BP29" t="s">
        <v>74</v>
      </c>
      <c r="BQ29" t="s">
        <v>74</v>
      </c>
      <c r="BR29" t="s">
        <v>103</v>
      </c>
      <c r="BS29" t="s">
        <v>751</v>
      </c>
      <c r="BT29" t="str">
        <f>HYPERLINK("https%3A%2F%2Fwww.webofscience.com%2Fwos%2Fwoscc%2Ffull-record%2FWOS:000807257600001","View Full Record in Web of Science")</f>
        <v>View Full Record in Web of Science</v>
      </c>
    </row>
    <row r="30" spans="1:72" x14ac:dyDescent="0.15">
      <c r="A30" t="s">
        <v>72</v>
      </c>
      <c r="B30" t="s">
        <v>752</v>
      </c>
      <c r="C30" t="s">
        <v>74</v>
      </c>
      <c r="D30" t="s">
        <v>74</v>
      </c>
      <c r="E30" t="s">
        <v>74</v>
      </c>
      <c r="F30" t="s">
        <v>753</v>
      </c>
      <c r="G30" t="s">
        <v>74</v>
      </c>
      <c r="H30" t="s">
        <v>74</v>
      </c>
      <c r="I30" t="s">
        <v>754</v>
      </c>
      <c r="J30" t="s">
        <v>755</v>
      </c>
      <c r="K30" t="s">
        <v>74</v>
      </c>
      <c r="L30" t="s">
        <v>74</v>
      </c>
      <c r="M30" t="s">
        <v>78</v>
      </c>
      <c r="N30" t="s">
        <v>79</v>
      </c>
      <c r="O30" t="s">
        <v>74</v>
      </c>
      <c r="P30" t="s">
        <v>74</v>
      </c>
      <c r="Q30" t="s">
        <v>74</v>
      </c>
      <c r="R30" t="s">
        <v>74</v>
      </c>
      <c r="S30" t="s">
        <v>74</v>
      </c>
      <c r="T30" t="s">
        <v>756</v>
      </c>
      <c r="U30" t="s">
        <v>757</v>
      </c>
      <c r="V30" t="s">
        <v>758</v>
      </c>
      <c r="W30" t="s">
        <v>759</v>
      </c>
      <c r="X30" t="s">
        <v>760</v>
      </c>
      <c r="Y30" t="s">
        <v>761</v>
      </c>
      <c r="Z30" t="s">
        <v>762</v>
      </c>
      <c r="AA30" t="s">
        <v>763</v>
      </c>
      <c r="AB30" t="s">
        <v>764</v>
      </c>
      <c r="AC30" t="s">
        <v>765</v>
      </c>
      <c r="AD30" t="s">
        <v>766</v>
      </c>
      <c r="AE30" t="s">
        <v>767</v>
      </c>
      <c r="AF30" t="s">
        <v>74</v>
      </c>
      <c r="AG30">
        <v>40</v>
      </c>
      <c r="AH30">
        <v>6</v>
      </c>
      <c r="AI30">
        <v>7</v>
      </c>
      <c r="AJ30">
        <v>21</v>
      </c>
      <c r="AK30">
        <v>94</v>
      </c>
      <c r="AL30" t="s">
        <v>91</v>
      </c>
      <c r="AM30" t="s">
        <v>92</v>
      </c>
      <c r="AN30" t="s">
        <v>93</v>
      </c>
      <c r="AO30" t="s">
        <v>768</v>
      </c>
      <c r="AP30" t="s">
        <v>769</v>
      </c>
      <c r="AQ30" t="s">
        <v>74</v>
      </c>
      <c r="AR30" t="s">
        <v>770</v>
      </c>
      <c r="AS30" t="s">
        <v>771</v>
      </c>
      <c r="AT30" t="s">
        <v>346</v>
      </c>
      <c r="AU30">
        <v>2022</v>
      </c>
      <c r="AV30">
        <v>57</v>
      </c>
      <c r="AW30">
        <v>8</v>
      </c>
      <c r="AX30" t="s">
        <v>74</v>
      </c>
      <c r="AY30" t="s">
        <v>74</v>
      </c>
      <c r="AZ30" t="s">
        <v>772</v>
      </c>
      <c r="BA30" t="s">
        <v>74</v>
      </c>
      <c r="BB30">
        <v>5338</v>
      </c>
      <c r="BC30">
        <v>5348</v>
      </c>
      <c r="BD30" t="s">
        <v>74</v>
      </c>
      <c r="BE30" t="s">
        <v>773</v>
      </c>
      <c r="BF30" t="str">
        <f>HYPERLINK("http://dx.doi.org/10.1111/ijfs.15864","http://dx.doi.org/10.1111/ijfs.15864")</f>
        <v>http://dx.doi.org/10.1111/ijfs.15864</v>
      </c>
      <c r="BG30" t="s">
        <v>74</v>
      </c>
      <c r="BH30" t="s">
        <v>99</v>
      </c>
      <c r="BI30">
        <v>11</v>
      </c>
      <c r="BJ30" t="s">
        <v>774</v>
      </c>
      <c r="BK30" t="s">
        <v>101</v>
      </c>
      <c r="BL30" t="s">
        <v>774</v>
      </c>
      <c r="BM30" t="s">
        <v>775</v>
      </c>
      <c r="BN30" t="s">
        <v>74</v>
      </c>
      <c r="BO30" t="s">
        <v>74</v>
      </c>
      <c r="BP30" t="s">
        <v>74</v>
      </c>
      <c r="BQ30" t="s">
        <v>74</v>
      </c>
      <c r="BR30" t="s">
        <v>103</v>
      </c>
      <c r="BS30" t="s">
        <v>776</v>
      </c>
      <c r="BT30" t="str">
        <f>HYPERLINK("https%3A%2F%2Fwww.webofscience.com%2Fwos%2Fwoscc%2Ffull-record%2FWOS:000806721100001","View Full Record in Web of Science")</f>
        <v>View Full Record in Web of Science</v>
      </c>
    </row>
    <row r="31" spans="1:72" x14ac:dyDescent="0.15">
      <c r="A31" t="s">
        <v>72</v>
      </c>
      <c r="B31" t="s">
        <v>777</v>
      </c>
      <c r="C31" t="s">
        <v>74</v>
      </c>
      <c r="D31" t="s">
        <v>74</v>
      </c>
      <c r="E31" t="s">
        <v>74</v>
      </c>
      <c r="F31" t="s">
        <v>778</v>
      </c>
      <c r="G31" t="s">
        <v>74</v>
      </c>
      <c r="H31" t="s">
        <v>74</v>
      </c>
      <c r="I31" t="s">
        <v>779</v>
      </c>
      <c r="J31" t="s">
        <v>780</v>
      </c>
      <c r="K31" t="s">
        <v>74</v>
      </c>
      <c r="L31" t="s">
        <v>74</v>
      </c>
      <c r="M31" t="s">
        <v>78</v>
      </c>
      <c r="N31" t="s">
        <v>79</v>
      </c>
      <c r="O31" t="s">
        <v>74</v>
      </c>
      <c r="P31" t="s">
        <v>74</v>
      </c>
      <c r="Q31" t="s">
        <v>74</v>
      </c>
      <c r="R31" t="s">
        <v>74</v>
      </c>
      <c r="S31" t="s">
        <v>74</v>
      </c>
      <c r="T31" t="s">
        <v>781</v>
      </c>
      <c r="U31" t="s">
        <v>782</v>
      </c>
      <c r="V31" t="s">
        <v>783</v>
      </c>
      <c r="W31" t="s">
        <v>784</v>
      </c>
      <c r="X31" t="s">
        <v>785</v>
      </c>
      <c r="Y31" t="s">
        <v>786</v>
      </c>
      <c r="Z31" t="s">
        <v>787</v>
      </c>
      <c r="AA31" t="s">
        <v>788</v>
      </c>
      <c r="AB31" t="s">
        <v>789</v>
      </c>
      <c r="AC31" t="s">
        <v>790</v>
      </c>
      <c r="AD31" t="s">
        <v>791</v>
      </c>
      <c r="AE31" t="s">
        <v>792</v>
      </c>
      <c r="AF31" t="s">
        <v>74</v>
      </c>
      <c r="AG31">
        <v>68</v>
      </c>
      <c r="AH31">
        <v>3</v>
      </c>
      <c r="AI31">
        <v>3</v>
      </c>
      <c r="AJ31">
        <v>7</v>
      </c>
      <c r="AK31">
        <v>16</v>
      </c>
      <c r="AL31" t="s">
        <v>91</v>
      </c>
      <c r="AM31" t="s">
        <v>92</v>
      </c>
      <c r="AN31" t="s">
        <v>93</v>
      </c>
      <c r="AO31" t="s">
        <v>793</v>
      </c>
      <c r="AP31" t="s">
        <v>794</v>
      </c>
      <c r="AQ31" t="s">
        <v>74</v>
      </c>
      <c r="AR31" t="s">
        <v>795</v>
      </c>
      <c r="AS31" t="s">
        <v>796</v>
      </c>
      <c r="AT31" t="s">
        <v>206</v>
      </c>
      <c r="AU31">
        <v>2022</v>
      </c>
      <c r="AV31">
        <v>33</v>
      </c>
      <c r="AW31">
        <v>3</v>
      </c>
      <c r="AX31" t="s">
        <v>74</v>
      </c>
      <c r="AY31" t="s">
        <v>74</v>
      </c>
      <c r="AZ31" t="s">
        <v>74</v>
      </c>
      <c r="BA31" t="s">
        <v>74</v>
      </c>
      <c r="BB31">
        <v>226</v>
      </c>
      <c r="BC31">
        <v>240</v>
      </c>
      <c r="BD31" t="s">
        <v>74</v>
      </c>
      <c r="BE31" t="s">
        <v>797</v>
      </c>
      <c r="BF31" t="str">
        <f>HYPERLINK("http://dx.doi.org/10.1002/ppp.2156","http://dx.doi.org/10.1002/ppp.2156")</f>
        <v>http://dx.doi.org/10.1002/ppp.2156</v>
      </c>
      <c r="BG31" t="s">
        <v>74</v>
      </c>
      <c r="BH31" t="s">
        <v>99</v>
      </c>
      <c r="BI31">
        <v>15</v>
      </c>
      <c r="BJ31" t="s">
        <v>798</v>
      </c>
      <c r="BK31" t="s">
        <v>101</v>
      </c>
      <c r="BL31" t="s">
        <v>126</v>
      </c>
      <c r="BM31" t="s">
        <v>799</v>
      </c>
      <c r="BN31" t="s">
        <v>74</v>
      </c>
      <c r="BO31" t="s">
        <v>643</v>
      </c>
      <c r="BP31" t="s">
        <v>74</v>
      </c>
      <c r="BQ31" t="s">
        <v>74</v>
      </c>
      <c r="BR31" t="s">
        <v>103</v>
      </c>
      <c r="BS31" t="s">
        <v>800</v>
      </c>
      <c r="BT31" t="str">
        <f>HYPERLINK("https%3A%2F%2Fwww.webofscience.com%2Fwos%2Fwoscc%2Ffull-record%2FWOS:000806964000001","View Full Record in Web of Science")</f>
        <v>View Full Record in Web of Science</v>
      </c>
    </row>
    <row r="32" spans="1:72" x14ac:dyDescent="0.15">
      <c r="A32" t="s">
        <v>72</v>
      </c>
      <c r="B32" t="s">
        <v>801</v>
      </c>
      <c r="C32" t="s">
        <v>74</v>
      </c>
      <c r="D32" t="s">
        <v>74</v>
      </c>
      <c r="E32" t="s">
        <v>74</v>
      </c>
      <c r="F32" t="s">
        <v>802</v>
      </c>
      <c r="G32" t="s">
        <v>74</v>
      </c>
      <c r="H32" t="s">
        <v>74</v>
      </c>
      <c r="I32" t="s">
        <v>803</v>
      </c>
      <c r="J32" t="s">
        <v>108</v>
      </c>
      <c r="K32" t="s">
        <v>74</v>
      </c>
      <c r="L32" t="s">
        <v>74</v>
      </c>
      <c r="M32" t="s">
        <v>78</v>
      </c>
      <c r="N32" t="s">
        <v>79</v>
      </c>
      <c r="O32" t="s">
        <v>74</v>
      </c>
      <c r="P32" t="s">
        <v>74</v>
      </c>
      <c r="Q32" t="s">
        <v>74</v>
      </c>
      <c r="R32" t="s">
        <v>74</v>
      </c>
      <c r="S32" t="s">
        <v>74</v>
      </c>
      <c r="T32" t="s">
        <v>74</v>
      </c>
      <c r="U32" t="s">
        <v>804</v>
      </c>
      <c r="V32" t="s">
        <v>805</v>
      </c>
      <c r="W32" t="s">
        <v>806</v>
      </c>
      <c r="X32" t="s">
        <v>807</v>
      </c>
      <c r="Y32" t="s">
        <v>808</v>
      </c>
      <c r="Z32" t="s">
        <v>809</v>
      </c>
      <c r="AA32" t="s">
        <v>74</v>
      </c>
      <c r="AB32" t="s">
        <v>810</v>
      </c>
      <c r="AC32" t="s">
        <v>811</v>
      </c>
      <c r="AD32" t="s">
        <v>812</v>
      </c>
      <c r="AE32" t="s">
        <v>813</v>
      </c>
      <c r="AF32" t="s">
        <v>74</v>
      </c>
      <c r="AG32">
        <v>91</v>
      </c>
      <c r="AH32">
        <v>101</v>
      </c>
      <c r="AI32">
        <v>110</v>
      </c>
      <c r="AJ32">
        <v>37</v>
      </c>
      <c r="AK32">
        <v>178</v>
      </c>
      <c r="AL32" t="s">
        <v>117</v>
      </c>
      <c r="AM32" t="s">
        <v>118</v>
      </c>
      <c r="AN32" t="s">
        <v>119</v>
      </c>
      <c r="AO32" t="s">
        <v>120</v>
      </c>
      <c r="AP32" t="s">
        <v>121</v>
      </c>
      <c r="AQ32" t="s">
        <v>74</v>
      </c>
      <c r="AR32" t="s">
        <v>108</v>
      </c>
      <c r="AS32" t="s">
        <v>122</v>
      </c>
      <c r="AT32" t="s">
        <v>655</v>
      </c>
      <c r="AU32">
        <v>2022</v>
      </c>
      <c r="AV32">
        <v>16</v>
      </c>
      <c r="AW32">
        <v>6</v>
      </c>
      <c r="AX32" t="s">
        <v>74</v>
      </c>
      <c r="AY32" t="s">
        <v>74</v>
      </c>
      <c r="AZ32" t="s">
        <v>74</v>
      </c>
      <c r="BA32" t="s">
        <v>74</v>
      </c>
      <c r="BB32">
        <v>2127</v>
      </c>
      <c r="BC32">
        <v>2145</v>
      </c>
      <c r="BD32" t="s">
        <v>74</v>
      </c>
      <c r="BE32" t="s">
        <v>814</v>
      </c>
      <c r="BF32" t="str">
        <f>HYPERLINK("http://dx.doi.org/10.5194/tc-16-2127-2022","http://dx.doi.org/10.5194/tc-16-2127-2022")</f>
        <v>http://dx.doi.org/10.5194/tc-16-2127-2022</v>
      </c>
      <c r="BG32" t="s">
        <v>74</v>
      </c>
      <c r="BH32" t="s">
        <v>74</v>
      </c>
      <c r="BI32">
        <v>19</v>
      </c>
      <c r="BJ32" t="s">
        <v>125</v>
      </c>
      <c r="BK32" t="s">
        <v>101</v>
      </c>
      <c r="BL32" t="s">
        <v>126</v>
      </c>
      <c r="BM32" t="s">
        <v>815</v>
      </c>
      <c r="BN32" t="s">
        <v>74</v>
      </c>
      <c r="BO32" t="s">
        <v>128</v>
      </c>
      <c r="BP32" t="s">
        <v>816</v>
      </c>
      <c r="BQ32" t="s">
        <v>816</v>
      </c>
      <c r="BR32" t="s">
        <v>103</v>
      </c>
      <c r="BS32" t="s">
        <v>817</v>
      </c>
      <c r="BT32" t="str">
        <f>HYPERLINK("https%3A%2F%2Fwww.webofscience.com%2Fwos%2Fwoscc%2Ffull-record%2FWOS:000807095100001","View Full Record in Web of Science")</f>
        <v>View Full Record in Web of Science</v>
      </c>
    </row>
    <row r="33" spans="1:72" x14ac:dyDescent="0.15">
      <c r="A33" t="s">
        <v>72</v>
      </c>
      <c r="B33" t="s">
        <v>818</v>
      </c>
      <c r="C33" t="s">
        <v>74</v>
      </c>
      <c r="D33" t="s">
        <v>74</v>
      </c>
      <c r="E33" t="s">
        <v>74</v>
      </c>
      <c r="F33" t="s">
        <v>819</v>
      </c>
      <c r="G33" t="s">
        <v>74</v>
      </c>
      <c r="H33" t="s">
        <v>74</v>
      </c>
      <c r="I33" t="s">
        <v>820</v>
      </c>
      <c r="J33" t="s">
        <v>821</v>
      </c>
      <c r="K33" t="s">
        <v>74</v>
      </c>
      <c r="L33" t="s">
        <v>74</v>
      </c>
      <c r="M33" t="s">
        <v>78</v>
      </c>
      <c r="N33" t="s">
        <v>79</v>
      </c>
      <c r="O33" t="s">
        <v>74</v>
      </c>
      <c r="P33" t="s">
        <v>74</v>
      </c>
      <c r="Q33" t="s">
        <v>74</v>
      </c>
      <c r="R33" t="s">
        <v>74</v>
      </c>
      <c r="S33" t="s">
        <v>74</v>
      </c>
      <c r="T33" t="s">
        <v>822</v>
      </c>
      <c r="U33" t="s">
        <v>823</v>
      </c>
      <c r="V33" t="s">
        <v>824</v>
      </c>
      <c r="W33" t="s">
        <v>825</v>
      </c>
      <c r="X33" t="s">
        <v>826</v>
      </c>
      <c r="Y33" t="s">
        <v>827</v>
      </c>
      <c r="Z33" t="s">
        <v>828</v>
      </c>
      <c r="AA33" t="s">
        <v>829</v>
      </c>
      <c r="AB33" t="s">
        <v>830</v>
      </c>
      <c r="AC33" t="s">
        <v>831</v>
      </c>
      <c r="AD33" t="s">
        <v>832</v>
      </c>
      <c r="AE33" t="s">
        <v>833</v>
      </c>
      <c r="AF33" t="s">
        <v>74</v>
      </c>
      <c r="AG33">
        <v>45</v>
      </c>
      <c r="AH33">
        <v>16</v>
      </c>
      <c r="AI33">
        <v>17</v>
      </c>
      <c r="AJ33">
        <v>0</v>
      </c>
      <c r="AK33">
        <v>3</v>
      </c>
      <c r="AL33" t="s">
        <v>285</v>
      </c>
      <c r="AM33" t="s">
        <v>286</v>
      </c>
      <c r="AN33" t="s">
        <v>287</v>
      </c>
      <c r="AO33" t="s">
        <v>74</v>
      </c>
      <c r="AP33" t="s">
        <v>834</v>
      </c>
      <c r="AQ33" t="s">
        <v>74</v>
      </c>
      <c r="AR33" t="s">
        <v>835</v>
      </c>
      <c r="AS33" t="s">
        <v>836</v>
      </c>
      <c r="AT33" t="s">
        <v>655</v>
      </c>
      <c r="AU33">
        <v>2022</v>
      </c>
      <c r="AV33">
        <v>4</v>
      </c>
      <c r="AW33" t="s">
        <v>74</v>
      </c>
      <c r="AX33" t="s">
        <v>74</v>
      </c>
      <c r="AY33" t="s">
        <v>74</v>
      </c>
      <c r="AZ33" t="s">
        <v>74</v>
      </c>
      <c r="BA33" t="s">
        <v>74</v>
      </c>
      <c r="BB33" t="s">
        <v>74</v>
      </c>
      <c r="BC33" t="s">
        <v>74</v>
      </c>
      <c r="BD33">
        <v>861477</v>
      </c>
      <c r="BE33" t="s">
        <v>837</v>
      </c>
      <c r="BF33" t="str">
        <f>HYPERLINK("http://dx.doi.org/10.3389/fclim.2022.861477","http://dx.doi.org/10.3389/fclim.2022.861477")</f>
        <v>http://dx.doi.org/10.3389/fclim.2022.861477</v>
      </c>
      <c r="BG33" t="s">
        <v>74</v>
      </c>
      <c r="BH33" t="s">
        <v>74</v>
      </c>
      <c r="BI33">
        <v>16</v>
      </c>
      <c r="BJ33" t="s">
        <v>838</v>
      </c>
      <c r="BK33" t="s">
        <v>839</v>
      </c>
      <c r="BL33" t="s">
        <v>840</v>
      </c>
      <c r="BM33" t="s">
        <v>841</v>
      </c>
      <c r="BN33" t="s">
        <v>74</v>
      </c>
      <c r="BO33" t="s">
        <v>438</v>
      </c>
      <c r="BP33" t="s">
        <v>74</v>
      </c>
      <c r="BQ33" t="s">
        <v>74</v>
      </c>
      <c r="BR33" t="s">
        <v>103</v>
      </c>
      <c r="BS33" t="s">
        <v>842</v>
      </c>
      <c r="BT33" t="str">
        <f>HYPERLINK("https%3A%2F%2Fwww.webofscience.com%2Fwos%2Fwoscc%2Ffull-record%2FWOS:001021842400001","View Full Record in Web of Science")</f>
        <v>View Full Record in Web of Science</v>
      </c>
    </row>
    <row r="34" spans="1:72" x14ac:dyDescent="0.15">
      <c r="A34" t="s">
        <v>72</v>
      </c>
      <c r="B34" t="s">
        <v>843</v>
      </c>
      <c r="C34" t="s">
        <v>74</v>
      </c>
      <c r="D34" t="s">
        <v>74</v>
      </c>
      <c r="E34" t="s">
        <v>74</v>
      </c>
      <c r="F34" t="s">
        <v>844</v>
      </c>
      <c r="G34" t="s">
        <v>74</v>
      </c>
      <c r="H34" t="s">
        <v>74</v>
      </c>
      <c r="I34" t="s">
        <v>845</v>
      </c>
      <c r="J34" t="s">
        <v>846</v>
      </c>
      <c r="K34" t="s">
        <v>74</v>
      </c>
      <c r="L34" t="s">
        <v>74</v>
      </c>
      <c r="M34" t="s">
        <v>78</v>
      </c>
      <c r="N34" t="s">
        <v>79</v>
      </c>
      <c r="O34" t="s">
        <v>74</v>
      </c>
      <c r="P34" t="s">
        <v>74</v>
      </c>
      <c r="Q34" t="s">
        <v>74</v>
      </c>
      <c r="R34" t="s">
        <v>74</v>
      </c>
      <c r="S34" t="s">
        <v>74</v>
      </c>
      <c r="T34" t="s">
        <v>847</v>
      </c>
      <c r="U34" t="s">
        <v>848</v>
      </c>
      <c r="V34" t="s">
        <v>849</v>
      </c>
      <c r="W34" t="s">
        <v>850</v>
      </c>
      <c r="X34" t="s">
        <v>851</v>
      </c>
      <c r="Y34" t="s">
        <v>852</v>
      </c>
      <c r="Z34" t="s">
        <v>853</v>
      </c>
      <c r="AA34" t="s">
        <v>74</v>
      </c>
      <c r="AB34" t="s">
        <v>854</v>
      </c>
      <c r="AC34" t="s">
        <v>855</v>
      </c>
      <c r="AD34" t="s">
        <v>856</v>
      </c>
      <c r="AE34" t="s">
        <v>857</v>
      </c>
      <c r="AF34" t="s">
        <v>74</v>
      </c>
      <c r="AG34">
        <v>179</v>
      </c>
      <c r="AH34">
        <v>2</v>
      </c>
      <c r="AI34">
        <v>2</v>
      </c>
      <c r="AJ34">
        <v>0</v>
      </c>
      <c r="AK34">
        <v>2</v>
      </c>
      <c r="AL34" t="s">
        <v>257</v>
      </c>
      <c r="AM34" t="s">
        <v>258</v>
      </c>
      <c r="AN34" t="s">
        <v>259</v>
      </c>
      <c r="AO34" t="s">
        <v>858</v>
      </c>
      <c r="AP34" t="s">
        <v>859</v>
      </c>
      <c r="AQ34" t="s">
        <v>74</v>
      </c>
      <c r="AR34" t="s">
        <v>860</v>
      </c>
      <c r="AS34" t="s">
        <v>861</v>
      </c>
      <c r="AT34" t="s">
        <v>537</v>
      </c>
      <c r="AU34">
        <v>2022</v>
      </c>
      <c r="AV34">
        <v>174</v>
      </c>
      <c r="AW34" t="s">
        <v>74</v>
      </c>
      <c r="AX34" t="s">
        <v>74</v>
      </c>
      <c r="AY34" t="s">
        <v>74</v>
      </c>
      <c r="AZ34" t="s">
        <v>74</v>
      </c>
      <c r="BA34" t="s">
        <v>74</v>
      </c>
      <c r="BB34" t="s">
        <v>74</v>
      </c>
      <c r="BC34" t="s">
        <v>74</v>
      </c>
      <c r="BD34">
        <v>102029</v>
      </c>
      <c r="BE34" t="s">
        <v>862</v>
      </c>
      <c r="BF34" t="str">
        <f>HYPERLINK("http://dx.doi.org/10.1016/j.marmicro.2021.102029","http://dx.doi.org/10.1016/j.marmicro.2021.102029")</f>
        <v>http://dx.doi.org/10.1016/j.marmicro.2021.102029</v>
      </c>
      <c r="BG34" t="s">
        <v>74</v>
      </c>
      <c r="BH34" t="s">
        <v>99</v>
      </c>
      <c r="BI34">
        <v>16</v>
      </c>
      <c r="BJ34" t="s">
        <v>863</v>
      </c>
      <c r="BK34" t="s">
        <v>101</v>
      </c>
      <c r="BL34" t="s">
        <v>863</v>
      </c>
      <c r="BM34" t="s">
        <v>864</v>
      </c>
      <c r="BN34" t="s">
        <v>74</v>
      </c>
      <c r="BO34" t="s">
        <v>74</v>
      </c>
      <c r="BP34" t="s">
        <v>74</v>
      </c>
      <c r="BQ34" t="s">
        <v>74</v>
      </c>
      <c r="BR34" t="s">
        <v>103</v>
      </c>
      <c r="BS34" t="s">
        <v>865</v>
      </c>
      <c r="BT34" t="str">
        <f>HYPERLINK("https%3A%2F%2Fwww.webofscience.com%2Fwos%2Fwoscc%2Ffull-record%2FWOS:000829304000006","View Full Record in Web of Science")</f>
        <v>View Full Record in Web of Science</v>
      </c>
    </row>
    <row r="35" spans="1:72" x14ac:dyDescent="0.15">
      <c r="A35" t="s">
        <v>72</v>
      </c>
      <c r="B35" t="s">
        <v>866</v>
      </c>
      <c r="C35" t="s">
        <v>74</v>
      </c>
      <c r="D35" t="s">
        <v>74</v>
      </c>
      <c r="E35" t="s">
        <v>74</v>
      </c>
      <c r="F35" t="s">
        <v>867</v>
      </c>
      <c r="G35" t="s">
        <v>74</v>
      </c>
      <c r="H35" t="s">
        <v>74</v>
      </c>
      <c r="I35" t="s">
        <v>868</v>
      </c>
      <c r="J35" t="s">
        <v>846</v>
      </c>
      <c r="K35" t="s">
        <v>74</v>
      </c>
      <c r="L35" t="s">
        <v>74</v>
      </c>
      <c r="M35" t="s">
        <v>78</v>
      </c>
      <c r="N35" t="s">
        <v>79</v>
      </c>
      <c r="O35" t="s">
        <v>74</v>
      </c>
      <c r="P35" t="s">
        <v>74</v>
      </c>
      <c r="Q35" t="s">
        <v>74</v>
      </c>
      <c r="R35" t="s">
        <v>74</v>
      </c>
      <c r="S35" t="s">
        <v>74</v>
      </c>
      <c r="T35" t="s">
        <v>869</v>
      </c>
      <c r="U35" t="s">
        <v>870</v>
      </c>
      <c r="V35" t="s">
        <v>871</v>
      </c>
      <c r="W35" t="s">
        <v>872</v>
      </c>
      <c r="X35" t="s">
        <v>873</v>
      </c>
      <c r="Y35" t="s">
        <v>874</v>
      </c>
      <c r="Z35" t="s">
        <v>875</v>
      </c>
      <c r="AA35" t="s">
        <v>876</v>
      </c>
      <c r="AB35" t="s">
        <v>877</v>
      </c>
      <c r="AC35" t="s">
        <v>878</v>
      </c>
      <c r="AD35" t="s">
        <v>879</v>
      </c>
      <c r="AE35" t="s">
        <v>880</v>
      </c>
      <c r="AF35" t="s">
        <v>74</v>
      </c>
      <c r="AG35">
        <v>164</v>
      </c>
      <c r="AH35">
        <v>4</v>
      </c>
      <c r="AI35">
        <v>4</v>
      </c>
      <c r="AJ35">
        <v>2</v>
      </c>
      <c r="AK35">
        <v>15</v>
      </c>
      <c r="AL35" t="s">
        <v>257</v>
      </c>
      <c r="AM35" t="s">
        <v>258</v>
      </c>
      <c r="AN35" t="s">
        <v>259</v>
      </c>
      <c r="AO35" t="s">
        <v>858</v>
      </c>
      <c r="AP35" t="s">
        <v>859</v>
      </c>
      <c r="AQ35" t="s">
        <v>74</v>
      </c>
      <c r="AR35" t="s">
        <v>860</v>
      </c>
      <c r="AS35" t="s">
        <v>861</v>
      </c>
      <c r="AT35" t="s">
        <v>537</v>
      </c>
      <c r="AU35">
        <v>2022</v>
      </c>
      <c r="AV35">
        <v>174</v>
      </c>
      <c r="AW35" t="s">
        <v>74</v>
      </c>
      <c r="AX35" t="s">
        <v>74</v>
      </c>
      <c r="AY35" t="s">
        <v>74</v>
      </c>
      <c r="AZ35" t="s">
        <v>772</v>
      </c>
      <c r="BA35" t="s">
        <v>74</v>
      </c>
      <c r="BB35" t="s">
        <v>74</v>
      </c>
      <c r="BC35" t="s">
        <v>74</v>
      </c>
      <c r="BD35">
        <v>102105</v>
      </c>
      <c r="BE35" t="s">
        <v>881</v>
      </c>
      <c r="BF35" t="str">
        <f>HYPERLINK("http://dx.doi.org/10.1016/j.marmicro.2022.102105","http://dx.doi.org/10.1016/j.marmicro.2022.102105")</f>
        <v>http://dx.doi.org/10.1016/j.marmicro.2022.102105</v>
      </c>
      <c r="BG35" t="s">
        <v>74</v>
      </c>
      <c r="BH35" t="s">
        <v>99</v>
      </c>
      <c r="BI35">
        <v>19</v>
      </c>
      <c r="BJ35" t="s">
        <v>863</v>
      </c>
      <c r="BK35" t="s">
        <v>101</v>
      </c>
      <c r="BL35" t="s">
        <v>863</v>
      </c>
      <c r="BM35" t="s">
        <v>882</v>
      </c>
      <c r="BN35" t="s">
        <v>74</v>
      </c>
      <c r="BO35" t="s">
        <v>883</v>
      </c>
      <c r="BP35" t="s">
        <v>74</v>
      </c>
      <c r="BQ35" t="s">
        <v>74</v>
      </c>
      <c r="BR35" t="s">
        <v>103</v>
      </c>
      <c r="BS35" t="s">
        <v>884</v>
      </c>
      <c r="BT35" t="str">
        <f>HYPERLINK("https%3A%2F%2Fwww.webofscience.com%2Fwos%2Fwoscc%2Ffull-record%2FWOS:000822973200004","View Full Record in Web of Science")</f>
        <v>View Full Record in Web of Science</v>
      </c>
    </row>
    <row r="36" spans="1:72" x14ac:dyDescent="0.15">
      <c r="A36" t="s">
        <v>72</v>
      </c>
      <c r="B36" t="s">
        <v>885</v>
      </c>
      <c r="C36" t="s">
        <v>74</v>
      </c>
      <c r="D36" t="s">
        <v>74</v>
      </c>
      <c r="E36" t="s">
        <v>74</v>
      </c>
      <c r="F36" t="s">
        <v>886</v>
      </c>
      <c r="G36" t="s">
        <v>74</v>
      </c>
      <c r="H36" t="s">
        <v>74</v>
      </c>
      <c r="I36" t="s">
        <v>887</v>
      </c>
      <c r="J36" t="s">
        <v>888</v>
      </c>
      <c r="K36" t="s">
        <v>74</v>
      </c>
      <c r="L36" t="s">
        <v>74</v>
      </c>
      <c r="M36" t="s">
        <v>78</v>
      </c>
      <c r="N36" t="s">
        <v>79</v>
      </c>
      <c r="O36" t="s">
        <v>74</v>
      </c>
      <c r="P36" t="s">
        <v>74</v>
      </c>
      <c r="Q36" t="s">
        <v>74</v>
      </c>
      <c r="R36" t="s">
        <v>74</v>
      </c>
      <c r="S36" t="s">
        <v>74</v>
      </c>
      <c r="T36" t="s">
        <v>889</v>
      </c>
      <c r="U36" t="s">
        <v>890</v>
      </c>
      <c r="V36" t="s">
        <v>891</v>
      </c>
      <c r="W36" t="s">
        <v>892</v>
      </c>
      <c r="X36" t="s">
        <v>893</v>
      </c>
      <c r="Y36" t="s">
        <v>894</v>
      </c>
      <c r="Z36" t="s">
        <v>895</v>
      </c>
      <c r="AA36" t="s">
        <v>896</v>
      </c>
      <c r="AB36" t="s">
        <v>897</v>
      </c>
      <c r="AC36" t="s">
        <v>898</v>
      </c>
      <c r="AD36" t="s">
        <v>898</v>
      </c>
      <c r="AE36" t="s">
        <v>899</v>
      </c>
      <c r="AF36" t="s">
        <v>74</v>
      </c>
      <c r="AG36">
        <v>37</v>
      </c>
      <c r="AH36">
        <v>3</v>
      </c>
      <c r="AI36">
        <v>3</v>
      </c>
      <c r="AJ36">
        <v>0</v>
      </c>
      <c r="AK36">
        <v>4</v>
      </c>
      <c r="AL36" t="s">
        <v>257</v>
      </c>
      <c r="AM36" t="s">
        <v>258</v>
      </c>
      <c r="AN36" t="s">
        <v>259</v>
      </c>
      <c r="AO36" t="s">
        <v>900</v>
      </c>
      <c r="AP36" t="s">
        <v>901</v>
      </c>
      <c r="AQ36" t="s">
        <v>74</v>
      </c>
      <c r="AR36" t="s">
        <v>902</v>
      </c>
      <c r="AS36" t="s">
        <v>903</v>
      </c>
      <c r="AT36" t="s">
        <v>206</v>
      </c>
      <c r="AU36">
        <v>2022</v>
      </c>
      <c r="AV36">
        <v>140</v>
      </c>
      <c r="AW36" t="s">
        <v>74</v>
      </c>
      <c r="AX36" t="s">
        <v>74</v>
      </c>
      <c r="AY36" t="s">
        <v>74</v>
      </c>
      <c r="AZ36" t="s">
        <v>74</v>
      </c>
      <c r="BA36" t="s">
        <v>74</v>
      </c>
      <c r="BB36" t="s">
        <v>74</v>
      </c>
      <c r="BC36" t="s">
        <v>74</v>
      </c>
      <c r="BD36">
        <v>109029</v>
      </c>
      <c r="BE36" t="s">
        <v>904</v>
      </c>
      <c r="BF36" t="str">
        <f>HYPERLINK("http://dx.doi.org/10.1016/j.ecolind.2022.109029","http://dx.doi.org/10.1016/j.ecolind.2022.109029")</f>
        <v>http://dx.doi.org/10.1016/j.ecolind.2022.109029</v>
      </c>
      <c r="BG36" t="s">
        <v>74</v>
      </c>
      <c r="BH36" t="s">
        <v>99</v>
      </c>
      <c r="BI36">
        <v>11</v>
      </c>
      <c r="BJ36" t="s">
        <v>905</v>
      </c>
      <c r="BK36" t="s">
        <v>101</v>
      </c>
      <c r="BL36" t="s">
        <v>540</v>
      </c>
      <c r="BM36" t="s">
        <v>906</v>
      </c>
      <c r="BN36" t="s">
        <v>74</v>
      </c>
      <c r="BO36" t="s">
        <v>295</v>
      </c>
      <c r="BP36" t="s">
        <v>74</v>
      </c>
      <c r="BQ36" t="s">
        <v>74</v>
      </c>
      <c r="BR36" t="s">
        <v>103</v>
      </c>
      <c r="BS36" t="s">
        <v>907</v>
      </c>
      <c r="BT36" t="str">
        <f>HYPERLINK("https%3A%2F%2Fwww.webofscience.com%2Fwos%2Fwoscc%2Ffull-record%2FWOS:000812308800006","View Full Record in Web of Science")</f>
        <v>View Full Record in Web of Science</v>
      </c>
    </row>
    <row r="37" spans="1:72" x14ac:dyDescent="0.15">
      <c r="A37" t="s">
        <v>72</v>
      </c>
      <c r="B37" t="s">
        <v>908</v>
      </c>
      <c r="C37" t="s">
        <v>74</v>
      </c>
      <c r="D37" t="s">
        <v>74</v>
      </c>
      <c r="E37" t="s">
        <v>74</v>
      </c>
      <c r="F37" t="s">
        <v>909</v>
      </c>
      <c r="G37" t="s">
        <v>74</v>
      </c>
      <c r="H37" t="s">
        <v>74</v>
      </c>
      <c r="I37" t="s">
        <v>910</v>
      </c>
      <c r="J37" t="s">
        <v>911</v>
      </c>
      <c r="K37" t="s">
        <v>74</v>
      </c>
      <c r="L37" t="s">
        <v>74</v>
      </c>
      <c r="M37" t="s">
        <v>78</v>
      </c>
      <c r="N37" t="s">
        <v>79</v>
      </c>
      <c r="O37" t="s">
        <v>74</v>
      </c>
      <c r="P37" t="s">
        <v>74</v>
      </c>
      <c r="Q37" t="s">
        <v>74</v>
      </c>
      <c r="R37" t="s">
        <v>74</v>
      </c>
      <c r="S37" t="s">
        <v>74</v>
      </c>
      <c r="T37" t="s">
        <v>912</v>
      </c>
      <c r="U37" t="s">
        <v>913</v>
      </c>
      <c r="V37" t="s">
        <v>914</v>
      </c>
      <c r="W37" t="s">
        <v>915</v>
      </c>
      <c r="X37" t="s">
        <v>916</v>
      </c>
      <c r="Y37" t="s">
        <v>917</v>
      </c>
      <c r="Z37" t="s">
        <v>918</v>
      </c>
      <c r="AA37" t="s">
        <v>919</v>
      </c>
      <c r="AB37" t="s">
        <v>920</v>
      </c>
      <c r="AC37" t="s">
        <v>921</v>
      </c>
      <c r="AD37" t="s">
        <v>922</v>
      </c>
      <c r="AE37" t="s">
        <v>923</v>
      </c>
      <c r="AF37" t="s">
        <v>74</v>
      </c>
      <c r="AG37">
        <v>60</v>
      </c>
      <c r="AH37">
        <v>1</v>
      </c>
      <c r="AI37">
        <v>1</v>
      </c>
      <c r="AJ37">
        <v>0</v>
      </c>
      <c r="AK37">
        <v>3</v>
      </c>
      <c r="AL37" t="s">
        <v>924</v>
      </c>
      <c r="AM37" t="s">
        <v>925</v>
      </c>
      <c r="AN37" t="s">
        <v>926</v>
      </c>
      <c r="AO37" t="s">
        <v>927</v>
      </c>
      <c r="AP37" t="s">
        <v>74</v>
      </c>
      <c r="AQ37" t="s">
        <v>74</v>
      </c>
      <c r="AR37" t="s">
        <v>928</v>
      </c>
      <c r="AS37" t="s">
        <v>929</v>
      </c>
      <c r="AT37" t="s">
        <v>930</v>
      </c>
      <c r="AU37">
        <v>2022</v>
      </c>
      <c r="AV37">
        <v>12</v>
      </c>
      <c r="AW37" t="s">
        <v>74</v>
      </c>
      <c r="AX37" t="s">
        <v>74</v>
      </c>
      <c r="AY37" t="s">
        <v>74</v>
      </c>
      <c r="AZ37" t="s">
        <v>74</v>
      </c>
      <c r="BA37" t="s">
        <v>74</v>
      </c>
      <c r="BB37" t="s">
        <v>74</v>
      </c>
      <c r="BC37" t="s">
        <v>74</v>
      </c>
      <c r="BD37">
        <v>18</v>
      </c>
      <c r="BE37" t="s">
        <v>931</v>
      </c>
      <c r="BF37" t="str">
        <f>HYPERLINK("http://dx.doi.org/10.1051/swsc/2022012","http://dx.doi.org/10.1051/swsc/2022012")</f>
        <v>http://dx.doi.org/10.1051/swsc/2022012</v>
      </c>
      <c r="BG37" t="s">
        <v>74</v>
      </c>
      <c r="BH37" t="s">
        <v>74</v>
      </c>
      <c r="BI37">
        <v>16</v>
      </c>
      <c r="BJ37" t="s">
        <v>932</v>
      </c>
      <c r="BK37" t="s">
        <v>101</v>
      </c>
      <c r="BL37" t="s">
        <v>932</v>
      </c>
      <c r="BM37" t="s">
        <v>933</v>
      </c>
      <c r="BN37" t="s">
        <v>74</v>
      </c>
      <c r="BO37" t="s">
        <v>295</v>
      </c>
      <c r="BP37" t="s">
        <v>74</v>
      </c>
      <c r="BQ37" t="s">
        <v>74</v>
      </c>
      <c r="BR37" t="s">
        <v>103</v>
      </c>
      <c r="BS37" t="s">
        <v>934</v>
      </c>
      <c r="BT37" t="str">
        <f>HYPERLINK("https%3A%2F%2Fwww.webofscience.com%2Fwos%2Fwoscc%2Ffull-record%2FWOS:000806420400001","View Full Record in Web of Science")</f>
        <v>View Full Record in Web of Science</v>
      </c>
    </row>
    <row r="38" spans="1:72" x14ac:dyDescent="0.15">
      <c r="A38" t="s">
        <v>72</v>
      </c>
      <c r="B38" t="s">
        <v>935</v>
      </c>
      <c r="C38" t="s">
        <v>74</v>
      </c>
      <c r="D38" t="s">
        <v>74</v>
      </c>
      <c r="E38" t="s">
        <v>74</v>
      </c>
      <c r="F38" t="s">
        <v>936</v>
      </c>
      <c r="G38" t="s">
        <v>74</v>
      </c>
      <c r="H38" t="s">
        <v>74</v>
      </c>
      <c r="I38" t="s">
        <v>937</v>
      </c>
      <c r="J38" t="s">
        <v>938</v>
      </c>
      <c r="K38" t="s">
        <v>74</v>
      </c>
      <c r="L38" t="s">
        <v>74</v>
      </c>
      <c r="M38" t="s">
        <v>78</v>
      </c>
      <c r="N38" t="s">
        <v>79</v>
      </c>
      <c r="O38" t="s">
        <v>74</v>
      </c>
      <c r="P38" t="s">
        <v>74</v>
      </c>
      <c r="Q38" t="s">
        <v>74</v>
      </c>
      <c r="R38" t="s">
        <v>74</v>
      </c>
      <c r="S38" t="s">
        <v>74</v>
      </c>
      <c r="T38" t="s">
        <v>74</v>
      </c>
      <c r="U38" t="s">
        <v>939</v>
      </c>
      <c r="V38" t="s">
        <v>940</v>
      </c>
      <c r="W38" t="s">
        <v>941</v>
      </c>
      <c r="X38" t="s">
        <v>942</v>
      </c>
      <c r="Y38" t="s">
        <v>943</v>
      </c>
      <c r="Z38" t="s">
        <v>944</v>
      </c>
      <c r="AA38" t="s">
        <v>945</v>
      </c>
      <c r="AB38" t="s">
        <v>946</v>
      </c>
      <c r="AC38" t="s">
        <v>947</v>
      </c>
      <c r="AD38" t="s">
        <v>948</v>
      </c>
      <c r="AE38" t="s">
        <v>949</v>
      </c>
      <c r="AF38" t="s">
        <v>74</v>
      </c>
      <c r="AG38">
        <v>66</v>
      </c>
      <c r="AH38">
        <v>29</v>
      </c>
      <c r="AI38">
        <v>30</v>
      </c>
      <c r="AJ38">
        <v>3</v>
      </c>
      <c r="AK38">
        <v>25</v>
      </c>
      <c r="AL38" t="s">
        <v>455</v>
      </c>
      <c r="AM38" t="s">
        <v>456</v>
      </c>
      <c r="AN38" t="s">
        <v>457</v>
      </c>
      <c r="AO38" t="s">
        <v>950</v>
      </c>
      <c r="AP38" t="s">
        <v>951</v>
      </c>
      <c r="AQ38" t="s">
        <v>74</v>
      </c>
      <c r="AR38" t="s">
        <v>952</v>
      </c>
      <c r="AS38" t="s">
        <v>953</v>
      </c>
      <c r="AT38" t="s">
        <v>537</v>
      </c>
      <c r="AU38">
        <v>2022</v>
      </c>
      <c r="AV38">
        <v>12</v>
      </c>
      <c r="AW38">
        <v>6</v>
      </c>
      <c r="AX38" t="s">
        <v>74</v>
      </c>
      <c r="AY38" t="s">
        <v>74</v>
      </c>
      <c r="AZ38" t="s">
        <v>74</v>
      </c>
      <c r="BA38" t="s">
        <v>74</v>
      </c>
      <c r="BB38">
        <v>558</v>
      </c>
      <c r="BC38" t="s">
        <v>462</v>
      </c>
      <c r="BD38" t="s">
        <v>74</v>
      </c>
      <c r="BE38" t="s">
        <v>954</v>
      </c>
      <c r="BF38" t="str">
        <f>HYPERLINK("http://dx.doi.org/10.1038/s41558-022-01380-y","http://dx.doi.org/10.1038/s41558-022-01380-y")</f>
        <v>http://dx.doi.org/10.1038/s41558-022-01380-y</v>
      </c>
      <c r="BG38" t="s">
        <v>74</v>
      </c>
      <c r="BH38" t="s">
        <v>99</v>
      </c>
      <c r="BI38">
        <v>17</v>
      </c>
      <c r="BJ38" t="s">
        <v>955</v>
      </c>
      <c r="BK38" t="s">
        <v>956</v>
      </c>
      <c r="BL38" t="s">
        <v>957</v>
      </c>
      <c r="BM38" t="s">
        <v>958</v>
      </c>
      <c r="BN38" t="s">
        <v>74</v>
      </c>
      <c r="BO38" t="s">
        <v>74</v>
      </c>
      <c r="BP38" t="s">
        <v>74</v>
      </c>
      <c r="BQ38" t="s">
        <v>74</v>
      </c>
      <c r="BR38" t="s">
        <v>103</v>
      </c>
      <c r="BS38" t="s">
        <v>959</v>
      </c>
      <c r="BT38" t="str">
        <f>HYPERLINK("https%3A%2F%2Fwww.webofscience.com%2Fwos%2Fwoscc%2Ffull-record%2FWOS:000806663500005","View Full Record in Web of Science")</f>
        <v>View Full Record in Web of Science</v>
      </c>
    </row>
    <row r="39" spans="1:72" x14ac:dyDescent="0.15">
      <c r="A39" t="s">
        <v>72</v>
      </c>
      <c r="B39" t="s">
        <v>960</v>
      </c>
      <c r="C39" t="s">
        <v>74</v>
      </c>
      <c r="D39" t="s">
        <v>74</v>
      </c>
      <c r="E39" t="s">
        <v>74</v>
      </c>
      <c r="F39" t="s">
        <v>961</v>
      </c>
      <c r="G39" t="s">
        <v>74</v>
      </c>
      <c r="H39" t="s">
        <v>74</v>
      </c>
      <c r="I39" t="s">
        <v>962</v>
      </c>
      <c r="J39" t="s">
        <v>963</v>
      </c>
      <c r="K39" t="s">
        <v>74</v>
      </c>
      <c r="L39" t="s">
        <v>74</v>
      </c>
      <c r="M39" t="s">
        <v>78</v>
      </c>
      <c r="N39" t="s">
        <v>964</v>
      </c>
      <c r="O39" t="s">
        <v>74</v>
      </c>
      <c r="P39" t="s">
        <v>74</v>
      </c>
      <c r="Q39" t="s">
        <v>74</v>
      </c>
      <c r="R39" t="s">
        <v>74</v>
      </c>
      <c r="S39" t="s">
        <v>74</v>
      </c>
      <c r="T39" t="s">
        <v>965</v>
      </c>
      <c r="U39" t="s">
        <v>966</v>
      </c>
      <c r="V39" t="s">
        <v>967</v>
      </c>
      <c r="W39" t="s">
        <v>968</v>
      </c>
      <c r="X39" t="s">
        <v>969</v>
      </c>
      <c r="Y39" t="s">
        <v>970</v>
      </c>
      <c r="Z39" t="s">
        <v>971</v>
      </c>
      <c r="AA39" t="s">
        <v>972</v>
      </c>
      <c r="AB39" t="s">
        <v>973</v>
      </c>
      <c r="AC39" t="s">
        <v>974</v>
      </c>
      <c r="AD39" t="s">
        <v>975</v>
      </c>
      <c r="AE39" t="s">
        <v>976</v>
      </c>
      <c r="AF39" t="s">
        <v>74</v>
      </c>
      <c r="AG39">
        <v>120</v>
      </c>
      <c r="AH39">
        <v>6</v>
      </c>
      <c r="AI39">
        <v>7</v>
      </c>
      <c r="AJ39">
        <v>5</v>
      </c>
      <c r="AK39">
        <v>23</v>
      </c>
      <c r="AL39" t="s">
        <v>91</v>
      </c>
      <c r="AM39" t="s">
        <v>92</v>
      </c>
      <c r="AN39" t="s">
        <v>93</v>
      </c>
      <c r="AO39" t="s">
        <v>977</v>
      </c>
      <c r="AP39" t="s">
        <v>978</v>
      </c>
      <c r="AQ39" t="s">
        <v>74</v>
      </c>
      <c r="AR39" t="s">
        <v>979</v>
      </c>
      <c r="AS39" t="s">
        <v>980</v>
      </c>
      <c r="AT39" t="s">
        <v>981</v>
      </c>
      <c r="AU39">
        <v>2022</v>
      </c>
      <c r="AV39" t="s">
        <v>74</v>
      </c>
      <c r="AW39" t="s">
        <v>74</v>
      </c>
      <c r="AX39" t="s">
        <v>74</v>
      </c>
      <c r="AY39" t="s">
        <v>74</v>
      </c>
      <c r="AZ39" t="s">
        <v>74</v>
      </c>
      <c r="BA39" t="s">
        <v>74</v>
      </c>
      <c r="BB39" t="s">
        <v>74</v>
      </c>
      <c r="BC39" t="s">
        <v>74</v>
      </c>
      <c r="BD39" t="s">
        <v>74</v>
      </c>
      <c r="BE39" t="s">
        <v>982</v>
      </c>
      <c r="BF39" t="str">
        <f>HYPERLINK("http://dx.doi.org/10.1111/mec.16501","http://dx.doi.org/10.1111/mec.16501")</f>
        <v>http://dx.doi.org/10.1111/mec.16501</v>
      </c>
      <c r="BG39" t="s">
        <v>74</v>
      </c>
      <c r="BH39" t="s">
        <v>99</v>
      </c>
      <c r="BI39">
        <v>17</v>
      </c>
      <c r="BJ39" t="s">
        <v>983</v>
      </c>
      <c r="BK39" t="s">
        <v>101</v>
      </c>
      <c r="BL39" t="s">
        <v>984</v>
      </c>
      <c r="BM39" t="s">
        <v>985</v>
      </c>
      <c r="BN39">
        <v>35561000</v>
      </c>
      <c r="BO39" t="s">
        <v>986</v>
      </c>
      <c r="BP39" t="s">
        <v>74</v>
      </c>
      <c r="BQ39" t="s">
        <v>74</v>
      </c>
      <c r="BR39" t="s">
        <v>103</v>
      </c>
      <c r="BS39" t="s">
        <v>987</v>
      </c>
      <c r="BT39" t="str">
        <f>HYPERLINK("https%3A%2F%2Fwww.webofscience.com%2Fwos%2Fwoscc%2Ffull-record%2FWOS:000806488500001","View Full Record in Web of Science")</f>
        <v>View Full Record in Web of Science</v>
      </c>
    </row>
    <row r="40" spans="1:72" x14ac:dyDescent="0.15">
      <c r="A40" t="s">
        <v>72</v>
      </c>
      <c r="B40" t="s">
        <v>988</v>
      </c>
      <c r="C40" t="s">
        <v>74</v>
      </c>
      <c r="D40" t="s">
        <v>74</v>
      </c>
      <c r="E40" t="s">
        <v>74</v>
      </c>
      <c r="F40" t="s">
        <v>989</v>
      </c>
      <c r="G40" t="s">
        <v>74</v>
      </c>
      <c r="H40" t="s">
        <v>74</v>
      </c>
      <c r="I40" t="s">
        <v>990</v>
      </c>
      <c r="J40" t="s">
        <v>991</v>
      </c>
      <c r="K40" t="s">
        <v>74</v>
      </c>
      <c r="L40" t="s">
        <v>74</v>
      </c>
      <c r="M40" t="s">
        <v>78</v>
      </c>
      <c r="N40" t="s">
        <v>992</v>
      </c>
      <c r="O40" t="s">
        <v>74</v>
      </c>
      <c r="P40" t="s">
        <v>74</v>
      </c>
      <c r="Q40" t="s">
        <v>74</v>
      </c>
      <c r="R40" t="s">
        <v>74</v>
      </c>
      <c r="S40" t="s">
        <v>74</v>
      </c>
      <c r="T40" t="s">
        <v>993</v>
      </c>
      <c r="U40" t="s">
        <v>74</v>
      </c>
      <c r="V40" t="s">
        <v>74</v>
      </c>
      <c r="W40" t="s">
        <v>994</v>
      </c>
      <c r="X40" t="s">
        <v>995</v>
      </c>
      <c r="Y40" t="s">
        <v>996</v>
      </c>
      <c r="Z40" t="s">
        <v>997</v>
      </c>
      <c r="AA40" t="s">
        <v>998</v>
      </c>
      <c r="AB40" t="s">
        <v>999</v>
      </c>
      <c r="AC40" t="s">
        <v>74</v>
      </c>
      <c r="AD40" t="s">
        <v>74</v>
      </c>
      <c r="AE40" t="s">
        <v>74</v>
      </c>
      <c r="AF40" t="s">
        <v>74</v>
      </c>
      <c r="AG40">
        <v>9</v>
      </c>
      <c r="AH40">
        <v>2</v>
      </c>
      <c r="AI40">
        <v>2</v>
      </c>
      <c r="AJ40">
        <v>1</v>
      </c>
      <c r="AK40">
        <v>3</v>
      </c>
      <c r="AL40" t="s">
        <v>1000</v>
      </c>
      <c r="AM40" t="s">
        <v>531</v>
      </c>
      <c r="AN40" t="s">
        <v>1001</v>
      </c>
      <c r="AO40" t="s">
        <v>1002</v>
      </c>
      <c r="AP40" t="s">
        <v>74</v>
      </c>
      <c r="AQ40" t="s">
        <v>74</v>
      </c>
      <c r="AR40" t="s">
        <v>1003</v>
      </c>
      <c r="AS40" t="s">
        <v>1004</v>
      </c>
      <c r="AT40" t="s">
        <v>537</v>
      </c>
      <c r="AU40">
        <v>2022</v>
      </c>
      <c r="AV40">
        <v>7</v>
      </c>
      <c r="AW40">
        <v>6</v>
      </c>
      <c r="AX40" t="s">
        <v>74</v>
      </c>
      <c r="AY40" t="s">
        <v>74</v>
      </c>
      <c r="AZ40" t="s">
        <v>74</v>
      </c>
      <c r="BA40" t="s">
        <v>74</v>
      </c>
      <c r="BB40">
        <v>1416</v>
      </c>
      <c r="BC40">
        <v>1419</v>
      </c>
      <c r="BD40" t="s">
        <v>74</v>
      </c>
      <c r="BE40" t="s">
        <v>1005</v>
      </c>
      <c r="BF40" t="str">
        <f>HYPERLINK("http://dx.doi.org/10.1016/j.ekir.2022.02.013","http://dx.doi.org/10.1016/j.ekir.2022.02.013")</f>
        <v>http://dx.doi.org/10.1016/j.ekir.2022.02.013</v>
      </c>
      <c r="BG40" t="s">
        <v>74</v>
      </c>
      <c r="BH40" t="s">
        <v>99</v>
      </c>
      <c r="BI40">
        <v>4</v>
      </c>
      <c r="BJ40" t="s">
        <v>1006</v>
      </c>
      <c r="BK40" t="s">
        <v>101</v>
      </c>
      <c r="BL40" t="s">
        <v>1006</v>
      </c>
      <c r="BM40" t="s">
        <v>1007</v>
      </c>
      <c r="BN40">
        <v>35685327</v>
      </c>
      <c r="BO40" t="s">
        <v>295</v>
      </c>
      <c r="BP40" t="s">
        <v>74</v>
      </c>
      <c r="BQ40" t="s">
        <v>74</v>
      </c>
      <c r="BR40" t="s">
        <v>103</v>
      </c>
      <c r="BS40" t="s">
        <v>1008</v>
      </c>
      <c r="BT40" t="str">
        <f>HYPERLINK("https%3A%2F%2Fwww.webofscience.com%2Fwos%2Fwoscc%2Ffull-record%2FWOS:000836322100011","View Full Record in Web of Science")</f>
        <v>View Full Record in Web of Science</v>
      </c>
    </row>
    <row r="41" spans="1:72" x14ac:dyDescent="0.15">
      <c r="A41" t="s">
        <v>72</v>
      </c>
      <c r="B41" t="s">
        <v>1009</v>
      </c>
      <c r="C41" t="s">
        <v>74</v>
      </c>
      <c r="D41" t="s">
        <v>74</v>
      </c>
      <c r="E41" t="s">
        <v>74</v>
      </c>
      <c r="F41" t="s">
        <v>1010</v>
      </c>
      <c r="G41" t="s">
        <v>74</v>
      </c>
      <c r="H41" t="s">
        <v>74</v>
      </c>
      <c r="I41" t="s">
        <v>1011</v>
      </c>
      <c r="J41" t="s">
        <v>1012</v>
      </c>
      <c r="K41" t="s">
        <v>74</v>
      </c>
      <c r="L41" t="s">
        <v>74</v>
      </c>
      <c r="M41" t="s">
        <v>78</v>
      </c>
      <c r="N41" t="s">
        <v>79</v>
      </c>
      <c r="O41" t="s">
        <v>74</v>
      </c>
      <c r="P41" t="s">
        <v>74</v>
      </c>
      <c r="Q41" t="s">
        <v>74</v>
      </c>
      <c r="R41" t="s">
        <v>74</v>
      </c>
      <c r="S41" t="s">
        <v>74</v>
      </c>
      <c r="T41" t="s">
        <v>1013</v>
      </c>
      <c r="U41" t="s">
        <v>1014</v>
      </c>
      <c r="V41" t="s">
        <v>1015</v>
      </c>
      <c r="W41" t="s">
        <v>1016</v>
      </c>
      <c r="X41" t="s">
        <v>1017</v>
      </c>
      <c r="Y41" t="s">
        <v>1018</v>
      </c>
      <c r="Z41" t="s">
        <v>1019</v>
      </c>
      <c r="AA41" t="s">
        <v>74</v>
      </c>
      <c r="AB41" t="s">
        <v>1020</v>
      </c>
      <c r="AC41" t="s">
        <v>1021</v>
      </c>
      <c r="AD41" t="s">
        <v>1021</v>
      </c>
      <c r="AE41" t="s">
        <v>1022</v>
      </c>
      <c r="AF41" t="s">
        <v>74</v>
      </c>
      <c r="AG41">
        <v>28</v>
      </c>
      <c r="AH41">
        <v>6</v>
      </c>
      <c r="AI41">
        <v>6</v>
      </c>
      <c r="AJ41">
        <v>1</v>
      </c>
      <c r="AK41">
        <v>4</v>
      </c>
      <c r="AL41" t="s">
        <v>1023</v>
      </c>
      <c r="AM41" t="s">
        <v>1024</v>
      </c>
      <c r="AN41" t="s">
        <v>1025</v>
      </c>
      <c r="AO41" t="s">
        <v>1026</v>
      </c>
      <c r="AP41" t="s">
        <v>1027</v>
      </c>
      <c r="AQ41" t="s">
        <v>74</v>
      </c>
      <c r="AR41" t="s">
        <v>1028</v>
      </c>
      <c r="AS41" t="s">
        <v>1029</v>
      </c>
      <c r="AT41" t="s">
        <v>639</v>
      </c>
      <c r="AU41">
        <v>2022</v>
      </c>
      <c r="AV41">
        <v>113</v>
      </c>
      <c r="AW41">
        <v>4</v>
      </c>
      <c r="AX41" t="s">
        <v>74</v>
      </c>
      <c r="AY41" t="s">
        <v>74</v>
      </c>
      <c r="AZ41" t="s">
        <v>74</v>
      </c>
      <c r="BA41" t="s">
        <v>74</v>
      </c>
      <c r="BB41">
        <v>414</v>
      </c>
      <c r="BC41">
        <v>420</v>
      </c>
      <c r="BD41" t="s">
        <v>74</v>
      </c>
      <c r="BE41" t="s">
        <v>1030</v>
      </c>
      <c r="BF41" t="str">
        <f>HYPERLINK("http://dx.doi.org/10.1093/jhered/esac028","http://dx.doi.org/10.1093/jhered/esac028")</f>
        <v>http://dx.doi.org/10.1093/jhered/esac028</v>
      </c>
      <c r="BG41" t="s">
        <v>74</v>
      </c>
      <c r="BH41" t="s">
        <v>99</v>
      </c>
      <c r="BI41">
        <v>7</v>
      </c>
      <c r="BJ41" t="s">
        <v>1031</v>
      </c>
      <c r="BK41" t="s">
        <v>101</v>
      </c>
      <c r="BL41" t="s">
        <v>1031</v>
      </c>
      <c r="BM41" t="s">
        <v>1032</v>
      </c>
      <c r="BN41">
        <v>35657776</v>
      </c>
      <c r="BO41" t="s">
        <v>1033</v>
      </c>
      <c r="BP41" t="s">
        <v>74</v>
      </c>
      <c r="BQ41" t="s">
        <v>74</v>
      </c>
      <c r="BR41" t="s">
        <v>103</v>
      </c>
      <c r="BS41" t="s">
        <v>1034</v>
      </c>
      <c r="BT41" t="str">
        <f>HYPERLINK("https%3A%2F%2Fwww.webofscience.com%2Fwos%2Fwoscc%2Ffull-record%2FWOS:000818880100001","View Full Record in Web of Science")</f>
        <v>View Full Record in Web of Science</v>
      </c>
    </row>
    <row r="42" spans="1:72" x14ac:dyDescent="0.15">
      <c r="A42" t="s">
        <v>72</v>
      </c>
      <c r="B42" t="s">
        <v>1035</v>
      </c>
      <c r="C42" t="s">
        <v>74</v>
      </c>
      <c r="D42" t="s">
        <v>74</v>
      </c>
      <c r="E42" t="s">
        <v>74</v>
      </c>
      <c r="F42" t="s">
        <v>1036</v>
      </c>
      <c r="G42" t="s">
        <v>74</v>
      </c>
      <c r="H42" t="s">
        <v>74</v>
      </c>
      <c r="I42" t="s">
        <v>1037</v>
      </c>
      <c r="J42" t="s">
        <v>1038</v>
      </c>
      <c r="K42" t="s">
        <v>74</v>
      </c>
      <c r="L42" t="s">
        <v>74</v>
      </c>
      <c r="M42" t="s">
        <v>78</v>
      </c>
      <c r="N42" t="s">
        <v>79</v>
      </c>
      <c r="O42" t="s">
        <v>74</v>
      </c>
      <c r="P42" t="s">
        <v>74</v>
      </c>
      <c r="Q42" t="s">
        <v>74</v>
      </c>
      <c r="R42" t="s">
        <v>74</v>
      </c>
      <c r="S42" t="s">
        <v>74</v>
      </c>
      <c r="T42" t="s">
        <v>1039</v>
      </c>
      <c r="U42" t="s">
        <v>1040</v>
      </c>
      <c r="V42" t="s">
        <v>1041</v>
      </c>
      <c r="W42" t="s">
        <v>1042</v>
      </c>
      <c r="X42" t="s">
        <v>1043</v>
      </c>
      <c r="Y42" t="s">
        <v>1044</v>
      </c>
      <c r="Z42" t="s">
        <v>1045</v>
      </c>
      <c r="AA42" t="s">
        <v>74</v>
      </c>
      <c r="AB42" t="s">
        <v>74</v>
      </c>
      <c r="AC42" t="s">
        <v>74</v>
      </c>
      <c r="AD42" t="s">
        <v>74</v>
      </c>
      <c r="AE42" t="s">
        <v>74</v>
      </c>
      <c r="AF42" t="s">
        <v>74</v>
      </c>
      <c r="AG42">
        <v>116</v>
      </c>
      <c r="AH42">
        <v>1</v>
      </c>
      <c r="AI42">
        <v>1</v>
      </c>
      <c r="AJ42">
        <v>0</v>
      </c>
      <c r="AK42">
        <v>3</v>
      </c>
      <c r="AL42" t="s">
        <v>1046</v>
      </c>
      <c r="AM42" t="s">
        <v>1047</v>
      </c>
      <c r="AN42" t="s">
        <v>1048</v>
      </c>
      <c r="AO42" t="s">
        <v>1049</v>
      </c>
      <c r="AP42" t="s">
        <v>1050</v>
      </c>
      <c r="AQ42" t="s">
        <v>74</v>
      </c>
      <c r="AR42" t="s">
        <v>1038</v>
      </c>
      <c r="AS42" t="s">
        <v>1051</v>
      </c>
      <c r="AT42" t="s">
        <v>1052</v>
      </c>
      <c r="AU42">
        <v>2022</v>
      </c>
      <c r="AV42">
        <v>44</v>
      </c>
      <c r="AW42">
        <v>11</v>
      </c>
      <c r="AX42" t="s">
        <v>74</v>
      </c>
      <c r="AY42" t="s">
        <v>74</v>
      </c>
      <c r="AZ42" t="s">
        <v>74</v>
      </c>
      <c r="BA42" t="s">
        <v>74</v>
      </c>
      <c r="BB42">
        <v>259</v>
      </c>
      <c r="BC42">
        <v>334</v>
      </c>
      <c r="BD42" t="s">
        <v>74</v>
      </c>
      <c r="BE42" t="s">
        <v>1053</v>
      </c>
      <c r="BF42" t="str">
        <f>HYPERLINK("http://dx.doi.org/10.5252/zoosystema2022v44a11","http://dx.doi.org/10.5252/zoosystema2022v44a11")</f>
        <v>http://dx.doi.org/10.5252/zoosystema2022v44a11</v>
      </c>
      <c r="BG42" t="s">
        <v>74</v>
      </c>
      <c r="BH42" t="s">
        <v>74</v>
      </c>
      <c r="BI42">
        <v>76</v>
      </c>
      <c r="BJ42" t="s">
        <v>1054</v>
      </c>
      <c r="BK42" t="s">
        <v>101</v>
      </c>
      <c r="BL42" t="s">
        <v>1054</v>
      </c>
      <c r="BM42" t="s">
        <v>1055</v>
      </c>
      <c r="BN42" t="s">
        <v>74</v>
      </c>
      <c r="BO42" t="s">
        <v>986</v>
      </c>
      <c r="BP42" t="s">
        <v>74</v>
      </c>
      <c r="BQ42" t="s">
        <v>74</v>
      </c>
      <c r="BR42" t="s">
        <v>103</v>
      </c>
      <c r="BS42" t="s">
        <v>1056</v>
      </c>
      <c r="BT42" t="str">
        <f>HYPERLINK("https%3A%2F%2Fwww.webofscience.com%2Fwos%2Fwoscc%2Ffull-record%2FWOS:000812977500001","View Full Record in Web of Science")</f>
        <v>View Full Record in Web of Science</v>
      </c>
    </row>
    <row r="43" spans="1:72" x14ac:dyDescent="0.15">
      <c r="A43" t="s">
        <v>72</v>
      </c>
      <c r="B43" t="s">
        <v>1057</v>
      </c>
      <c r="C43" t="s">
        <v>74</v>
      </c>
      <c r="D43" t="s">
        <v>74</v>
      </c>
      <c r="E43" t="s">
        <v>74</v>
      </c>
      <c r="F43" t="s">
        <v>1058</v>
      </c>
      <c r="G43" t="s">
        <v>74</v>
      </c>
      <c r="H43" t="s">
        <v>74</v>
      </c>
      <c r="I43" t="s">
        <v>1059</v>
      </c>
      <c r="J43" t="s">
        <v>1060</v>
      </c>
      <c r="K43" t="s">
        <v>74</v>
      </c>
      <c r="L43" t="s">
        <v>74</v>
      </c>
      <c r="M43" t="s">
        <v>78</v>
      </c>
      <c r="N43" t="s">
        <v>79</v>
      </c>
      <c r="O43" t="s">
        <v>74</v>
      </c>
      <c r="P43" t="s">
        <v>74</v>
      </c>
      <c r="Q43" t="s">
        <v>74</v>
      </c>
      <c r="R43" t="s">
        <v>74</v>
      </c>
      <c r="S43" t="s">
        <v>74</v>
      </c>
      <c r="T43" t="s">
        <v>1061</v>
      </c>
      <c r="U43" t="s">
        <v>1062</v>
      </c>
      <c r="V43" t="s">
        <v>1063</v>
      </c>
      <c r="W43" t="s">
        <v>1064</v>
      </c>
      <c r="X43" t="s">
        <v>1065</v>
      </c>
      <c r="Y43" t="s">
        <v>1066</v>
      </c>
      <c r="Z43" t="s">
        <v>1067</v>
      </c>
      <c r="AA43" t="s">
        <v>1068</v>
      </c>
      <c r="AB43" t="s">
        <v>1069</v>
      </c>
      <c r="AC43" t="s">
        <v>1070</v>
      </c>
      <c r="AD43" t="s">
        <v>1071</v>
      </c>
      <c r="AE43" t="s">
        <v>1072</v>
      </c>
      <c r="AF43" t="s">
        <v>74</v>
      </c>
      <c r="AG43">
        <v>182</v>
      </c>
      <c r="AH43">
        <v>1</v>
      </c>
      <c r="AI43">
        <v>1</v>
      </c>
      <c r="AJ43">
        <v>3</v>
      </c>
      <c r="AK43">
        <v>18</v>
      </c>
      <c r="AL43" t="s">
        <v>257</v>
      </c>
      <c r="AM43" t="s">
        <v>258</v>
      </c>
      <c r="AN43" t="s">
        <v>259</v>
      </c>
      <c r="AO43" t="s">
        <v>1073</v>
      </c>
      <c r="AP43" t="s">
        <v>1074</v>
      </c>
      <c r="AQ43" t="s">
        <v>74</v>
      </c>
      <c r="AR43" t="s">
        <v>1075</v>
      </c>
      <c r="AS43" t="s">
        <v>1076</v>
      </c>
      <c r="AT43" t="s">
        <v>1077</v>
      </c>
      <c r="AU43">
        <v>2022</v>
      </c>
      <c r="AV43">
        <v>600</v>
      </c>
      <c r="AW43" t="s">
        <v>74</v>
      </c>
      <c r="AX43" t="s">
        <v>74</v>
      </c>
      <c r="AY43" t="s">
        <v>74</v>
      </c>
      <c r="AZ43" t="s">
        <v>74</v>
      </c>
      <c r="BA43" t="s">
        <v>74</v>
      </c>
      <c r="BB43" t="s">
        <v>74</v>
      </c>
      <c r="BC43" t="s">
        <v>74</v>
      </c>
      <c r="BD43">
        <v>111058</v>
      </c>
      <c r="BE43" t="s">
        <v>1078</v>
      </c>
      <c r="BF43" t="str">
        <f>HYPERLINK("http://dx.doi.org/10.1016/j.palaeo.2022.111058","http://dx.doi.org/10.1016/j.palaeo.2022.111058")</f>
        <v>http://dx.doi.org/10.1016/j.palaeo.2022.111058</v>
      </c>
      <c r="BG43" t="s">
        <v>74</v>
      </c>
      <c r="BH43" t="s">
        <v>99</v>
      </c>
      <c r="BI43">
        <v>20</v>
      </c>
      <c r="BJ43" t="s">
        <v>1079</v>
      </c>
      <c r="BK43" t="s">
        <v>101</v>
      </c>
      <c r="BL43" t="s">
        <v>1080</v>
      </c>
      <c r="BM43" t="s">
        <v>1081</v>
      </c>
      <c r="BN43" t="s">
        <v>74</v>
      </c>
      <c r="BO43" t="s">
        <v>74</v>
      </c>
      <c r="BP43" t="s">
        <v>74</v>
      </c>
      <c r="BQ43" t="s">
        <v>74</v>
      </c>
      <c r="BR43" t="s">
        <v>103</v>
      </c>
      <c r="BS43" t="s">
        <v>1082</v>
      </c>
      <c r="BT43" t="str">
        <f>HYPERLINK("https%3A%2F%2Fwww.webofscience.com%2Fwos%2Fwoscc%2Ffull-record%2FWOS:000810263200001","View Full Record in Web of Science")</f>
        <v>View Full Record in Web of Science</v>
      </c>
    </row>
    <row r="44" spans="1:72" x14ac:dyDescent="0.15">
      <c r="A44" t="s">
        <v>72</v>
      </c>
      <c r="B44" t="s">
        <v>1083</v>
      </c>
      <c r="C44" t="s">
        <v>74</v>
      </c>
      <c r="D44" t="s">
        <v>74</v>
      </c>
      <c r="E44" t="s">
        <v>74</v>
      </c>
      <c r="F44" t="s">
        <v>1084</v>
      </c>
      <c r="G44" t="s">
        <v>74</v>
      </c>
      <c r="H44" t="s">
        <v>74</v>
      </c>
      <c r="I44" t="s">
        <v>1085</v>
      </c>
      <c r="J44" t="s">
        <v>1086</v>
      </c>
      <c r="K44" t="s">
        <v>74</v>
      </c>
      <c r="L44" t="s">
        <v>74</v>
      </c>
      <c r="M44" t="s">
        <v>78</v>
      </c>
      <c r="N44" t="s">
        <v>79</v>
      </c>
      <c r="O44" t="s">
        <v>74</v>
      </c>
      <c r="P44" t="s">
        <v>74</v>
      </c>
      <c r="Q44" t="s">
        <v>74</v>
      </c>
      <c r="R44" t="s">
        <v>74</v>
      </c>
      <c r="S44" t="s">
        <v>74</v>
      </c>
      <c r="T44" t="s">
        <v>1087</v>
      </c>
      <c r="U44" t="s">
        <v>1088</v>
      </c>
      <c r="V44" t="s">
        <v>1089</v>
      </c>
      <c r="W44" t="s">
        <v>1090</v>
      </c>
      <c r="X44" t="s">
        <v>1091</v>
      </c>
      <c r="Y44" t="s">
        <v>1092</v>
      </c>
      <c r="Z44" t="s">
        <v>1093</v>
      </c>
      <c r="AA44" t="s">
        <v>1094</v>
      </c>
      <c r="AB44" t="s">
        <v>74</v>
      </c>
      <c r="AC44" t="s">
        <v>1095</v>
      </c>
      <c r="AD44" t="s">
        <v>1096</v>
      </c>
      <c r="AE44" t="s">
        <v>1097</v>
      </c>
      <c r="AF44" t="s">
        <v>74</v>
      </c>
      <c r="AG44">
        <v>47</v>
      </c>
      <c r="AH44">
        <v>39</v>
      </c>
      <c r="AI44">
        <v>39</v>
      </c>
      <c r="AJ44">
        <v>19</v>
      </c>
      <c r="AK44">
        <v>106</v>
      </c>
      <c r="AL44" t="s">
        <v>257</v>
      </c>
      <c r="AM44" t="s">
        <v>258</v>
      </c>
      <c r="AN44" t="s">
        <v>259</v>
      </c>
      <c r="AO44" t="s">
        <v>1098</v>
      </c>
      <c r="AP44" t="s">
        <v>1099</v>
      </c>
      <c r="AQ44" t="s">
        <v>74</v>
      </c>
      <c r="AR44" t="s">
        <v>1100</v>
      </c>
      <c r="AS44" t="s">
        <v>1101</v>
      </c>
      <c r="AT44" t="s">
        <v>1102</v>
      </c>
      <c r="AU44">
        <v>2022</v>
      </c>
      <c r="AV44">
        <v>838</v>
      </c>
      <c r="AW44" t="s">
        <v>74</v>
      </c>
      <c r="AX44">
        <v>3</v>
      </c>
      <c r="AY44" t="s">
        <v>74</v>
      </c>
      <c r="AZ44" t="s">
        <v>74</v>
      </c>
      <c r="BA44" t="s">
        <v>74</v>
      </c>
      <c r="BB44" t="s">
        <v>74</v>
      </c>
      <c r="BC44" t="s">
        <v>74</v>
      </c>
      <c r="BD44">
        <v>156051</v>
      </c>
      <c r="BE44" t="s">
        <v>1103</v>
      </c>
      <c r="BF44" t="str">
        <f>HYPERLINK("http://dx.doi.org/10.1016/j.scitotenv.2022.156051","http://dx.doi.org/10.1016/j.scitotenv.2022.156051")</f>
        <v>http://dx.doi.org/10.1016/j.scitotenv.2022.156051</v>
      </c>
      <c r="BG44" t="s">
        <v>74</v>
      </c>
      <c r="BH44" t="s">
        <v>99</v>
      </c>
      <c r="BI44">
        <v>10</v>
      </c>
      <c r="BJ44" t="s">
        <v>1104</v>
      </c>
      <c r="BK44" t="s">
        <v>101</v>
      </c>
      <c r="BL44" t="s">
        <v>840</v>
      </c>
      <c r="BM44" t="s">
        <v>1105</v>
      </c>
      <c r="BN44">
        <v>35597347</v>
      </c>
      <c r="BO44" t="s">
        <v>74</v>
      </c>
      <c r="BP44" t="s">
        <v>74</v>
      </c>
      <c r="BQ44" t="s">
        <v>74</v>
      </c>
      <c r="BR44" t="s">
        <v>103</v>
      </c>
      <c r="BS44" t="s">
        <v>1106</v>
      </c>
      <c r="BT44" t="str">
        <f>HYPERLINK("https%3A%2F%2Fwww.webofscience.com%2Fwos%2Fwoscc%2Ffull-record%2FWOS:000809761500016","View Full Record in Web of Science")</f>
        <v>View Full Record in Web of Science</v>
      </c>
    </row>
    <row r="45" spans="1:72" x14ac:dyDescent="0.15">
      <c r="A45" t="s">
        <v>72</v>
      </c>
      <c r="B45" t="s">
        <v>1107</v>
      </c>
      <c r="C45" t="s">
        <v>74</v>
      </c>
      <c r="D45" t="s">
        <v>74</v>
      </c>
      <c r="E45" t="s">
        <v>74</v>
      </c>
      <c r="F45" t="s">
        <v>1108</v>
      </c>
      <c r="G45" t="s">
        <v>74</v>
      </c>
      <c r="H45" t="s">
        <v>74</v>
      </c>
      <c r="I45" t="s">
        <v>1109</v>
      </c>
      <c r="J45" t="s">
        <v>1110</v>
      </c>
      <c r="K45" t="s">
        <v>74</v>
      </c>
      <c r="L45" t="s">
        <v>74</v>
      </c>
      <c r="M45" t="s">
        <v>78</v>
      </c>
      <c r="N45" t="s">
        <v>161</v>
      </c>
      <c r="O45" t="s">
        <v>74</v>
      </c>
      <c r="P45" t="s">
        <v>74</v>
      </c>
      <c r="Q45" t="s">
        <v>74</v>
      </c>
      <c r="R45" t="s">
        <v>74</v>
      </c>
      <c r="S45" t="s">
        <v>74</v>
      </c>
      <c r="T45" t="s">
        <v>1111</v>
      </c>
      <c r="U45" t="s">
        <v>1112</v>
      </c>
      <c r="V45" t="s">
        <v>1113</v>
      </c>
      <c r="W45" t="s">
        <v>1114</v>
      </c>
      <c r="X45" t="s">
        <v>1115</v>
      </c>
      <c r="Y45" t="s">
        <v>1116</v>
      </c>
      <c r="Z45" t="s">
        <v>1117</v>
      </c>
      <c r="AA45" t="s">
        <v>74</v>
      </c>
      <c r="AB45" t="s">
        <v>74</v>
      </c>
      <c r="AC45" t="s">
        <v>1118</v>
      </c>
      <c r="AD45" t="s">
        <v>1119</v>
      </c>
      <c r="AE45" t="s">
        <v>1120</v>
      </c>
      <c r="AF45" t="s">
        <v>74</v>
      </c>
      <c r="AG45">
        <v>229</v>
      </c>
      <c r="AH45">
        <v>4</v>
      </c>
      <c r="AI45">
        <v>4</v>
      </c>
      <c r="AJ45">
        <v>0</v>
      </c>
      <c r="AK45">
        <v>16</v>
      </c>
      <c r="AL45" t="s">
        <v>530</v>
      </c>
      <c r="AM45" t="s">
        <v>1121</v>
      </c>
      <c r="AN45" t="s">
        <v>1122</v>
      </c>
      <c r="AO45" t="s">
        <v>1123</v>
      </c>
      <c r="AP45" t="s">
        <v>1124</v>
      </c>
      <c r="AQ45" t="s">
        <v>74</v>
      </c>
      <c r="AR45" t="s">
        <v>1125</v>
      </c>
      <c r="AS45" t="s">
        <v>1126</v>
      </c>
      <c r="AT45" t="s">
        <v>346</v>
      </c>
      <c r="AU45">
        <v>2022</v>
      </c>
      <c r="AV45">
        <v>34</v>
      </c>
      <c r="AW45">
        <v>4</v>
      </c>
      <c r="AX45" t="s">
        <v>74</v>
      </c>
      <c r="AY45" t="s">
        <v>74</v>
      </c>
      <c r="AZ45" t="s">
        <v>74</v>
      </c>
      <c r="BA45" t="s">
        <v>74</v>
      </c>
      <c r="BB45">
        <v>1805</v>
      </c>
      <c r="BC45">
        <v>1824</v>
      </c>
      <c r="BD45" t="s">
        <v>74</v>
      </c>
      <c r="BE45" t="s">
        <v>1127</v>
      </c>
      <c r="BF45" t="str">
        <f>HYPERLINK("http://dx.doi.org/10.1007/s10811-022-02776-1","http://dx.doi.org/10.1007/s10811-022-02776-1")</f>
        <v>http://dx.doi.org/10.1007/s10811-022-02776-1</v>
      </c>
      <c r="BG45" t="s">
        <v>74</v>
      </c>
      <c r="BH45" t="s">
        <v>99</v>
      </c>
      <c r="BI45">
        <v>20</v>
      </c>
      <c r="BJ45" t="s">
        <v>1128</v>
      </c>
      <c r="BK45" t="s">
        <v>101</v>
      </c>
      <c r="BL45" t="s">
        <v>1128</v>
      </c>
      <c r="BM45" t="s">
        <v>1129</v>
      </c>
      <c r="BN45" t="s">
        <v>74</v>
      </c>
      <c r="BO45" t="s">
        <v>74</v>
      </c>
      <c r="BP45" t="s">
        <v>74</v>
      </c>
      <c r="BQ45" t="s">
        <v>74</v>
      </c>
      <c r="BR45" t="s">
        <v>103</v>
      </c>
      <c r="BS45" t="s">
        <v>1130</v>
      </c>
      <c r="BT45" t="str">
        <f>HYPERLINK("https%3A%2F%2Fwww.webofscience.com%2Fwos%2Fwoscc%2Ffull-record%2FWOS:000805718700001","View Full Record in Web of Science")</f>
        <v>View Full Record in Web of Science</v>
      </c>
    </row>
    <row r="46" spans="1:72" x14ac:dyDescent="0.15">
      <c r="A46" t="s">
        <v>72</v>
      </c>
      <c r="B46" t="s">
        <v>1131</v>
      </c>
      <c r="C46" t="s">
        <v>74</v>
      </c>
      <c r="D46" t="s">
        <v>74</v>
      </c>
      <c r="E46" t="s">
        <v>74</v>
      </c>
      <c r="F46" t="s">
        <v>1132</v>
      </c>
      <c r="G46" t="s">
        <v>74</v>
      </c>
      <c r="H46" t="s">
        <v>74</v>
      </c>
      <c r="I46" t="s">
        <v>1133</v>
      </c>
      <c r="J46" t="s">
        <v>1086</v>
      </c>
      <c r="K46" t="s">
        <v>74</v>
      </c>
      <c r="L46" t="s">
        <v>74</v>
      </c>
      <c r="M46" t="s">
        <v>78</v>
      </c>
      <c r="N46" t="s">
        <v>79</v>
      </c>
      <c r="O46" t="s">
        <v>74</v>
      </c>
      <c r="P46" t="s">
        <v>74</v>
      </c>
      <c r="Q46" t="s">
        <v>74</v>
      </c>
      <c r="R46" t="s">
        <v>74</v>
      </c>
      <c r="S46" t="s">
        <v>74</v>
      </c>
      <c r="T46" t="s">
        <v>1134</v>
      </c>
      <c r="U46" t="s">
        <v>1135</v>
      </c>
      <c r="V46" t="s">
        <v>1136</v>
      </c>
      <c r="W46" t="s">
        <v>1137</v>
      </c>
      <c r="X46" t="s">
        <v>1138</v>
      </c>
      <c r="Y46" t="s">
        <v>1139</v>
      </c>
      <c r="Z46" t="s">
        <v>1140</v>
      </c>
      <c r="AA46" t="s">
        <v>1141</v>
      </c>
      <c r="AB46" t="s">
        <v>1142</v>
      </c>
      <c r="AC46" t="s">
        <v>1143</v>
      </c>
      <c r="AD46" t="s">
        <v>1144</v>
      </c>
      <c r="AE46" t="s">
        <v>1145</v>
      </c>
      <c r="AF46" t="s">
        <v>74</v>
      </c>
      <c r="AG46">
        <v>73</v>
      </c>
      <c r="AH46">
        <v>1</v>
      </c>
      <c r="AI46">
        <v>1</v>
      </c>
      <c r="AJ46">
        <v>5</v>
      </c>
      <c r="AK46">
        <v>18</v>
      </c>
      <c r="AL46" t="s">
        <v>257</v>
      </c>
      <c r="AM46" t="s">
        <v>258</v>
      </c>
      <c r="AN46" t="s">
        <v>259</v>
      </c>
      <c r="AO46" t="s">
        <v>1098</v>
      </c>
      <c r="AP46" t="s">
        <v>1099</v>
      </c>
      <c r="AQ46" t="s">
        <v>74</v>
      </c>
      <c r="AR46" t="s">
        <v>1100</v>
      </c>
      <c r="AS46" t="s">
        <v>1101</v>
      </c>
      <c r="AT46" t="s">
        <v>1146</v>
      </c>
      <c r="AU46">
        <v>2022</v>
      </c>
      <c r="AV46">
        <v>839</v>
      </c>
      <c r="AW46" t="s">
        <v>74</v>
      </c>
      <c r="AX46" t="s">
        <v>74</v>
      </c>
      <c r="AY46" t="s">
        <v>74</v>
      </c>
      <c r="AZ46" t="s">
        <v>74</v>
      </c>
      <c r="BA46" t="s">
        <v>74</v>
      </c>
      <c r="BB46" t="s">
        <v>74</v>
      </c>
      <c r="BC46" t="s">
        <v>74</v>
      </c>
      <c r="BD46">
        <v>156335</v>
      </c>
      <c r="BE46" t="s">
        <v>1147</v>
      </c>
      <c r="BF46" t="str">
        <f>HYPERLINK("http://dx.doi.org/10.1016/j.scitotenv.2022.156335","http://dx.doi.org/10.1016/j.scitotenv.2022.156335")</f>
        <v>http://dx.doi.org/10.1016/j.scitotenv.2022.156335</v>
      </c>
      <c r="BG46" t="s">
        <v>74</v>
      </c>
      <c r="BH46" t="s">
        <v>99</v>
      </c>
      <c r="BI46">
        <v>13</v>
      </c>
      <c r="BJ46" t="s">
        <v>1104</v>
      </c>
      <c r="BK46" t="s">
        <v>101</v>
      </c>
      <c r="BL46" t="s">
        <v>840</v>
      </c>
      <c r="BM46" t="s">
        <v>1148</v>
      </c>
      <c r="BN46">
        <v>35654197</v>
      </c>
      <c r="BO46" t="s">
        <v>1149</v>
      </c>
      <c r="BP46" t="s">
        <v>74</v>
      </c>
      <c r="BQ46" t="s">
        <v>74</v>
      </c>
      <c r="BR46" t="s">
        <v>103</v>
      </c>
      <c r="BS46" t="s">
        <v>1150</v>
      </c>
      <c r="BT46" t="str">
        <f>HYPERLINK("https%3A%2F%2Fwww.webofscience.com%2Fwos%2Fwoscc%2Ffull-record%2FWOS:000833543400011","View Full Record in Web of Science")</f>
        <v>View Full Record in Web of Science</v>
      </c>
    </row>
    <row r="47" spans="1:72" x14ac:dyDescent="0.15">
      <c r="A47" t="s">
        <v>72</v>
      </c>
      <c r="B47" t="s">
        <v>1151</v>
      </c>
      <c r="C47" t="s">
        <v>74</v>
      </c>
      <c r="D47" t="s">
        <v>74</v>
      </c>
      <c r="E47" t="s">
        <v>74</v>
      </c>
      <c r="F47" t="s">
        <v>1152</v>
      </c>
      <c r="G47" t="s">
        <v>74</v>
      </c>
      <c r="H47" t="s">
        <v>74</v>
      </c>
      <c r="I47" t="s">
        <v>1153</v>
      </c>
      <c r="J47" t="s">
        <v>1154</v>
      </c>
      <c r="K47" t="s">
        <v>74</v>
      </c>
      <c r="L47" t="s">
        <v>74</v>
      </c>
      <c r="M47" t="s">
        <v>78</v>
      </c>
      <c r="N47" t="s">
        <v>79</v>
      </c>
      <c r="O47" t="s">
        <v>74</v>
      </c>
      <c r="P47" t="s">
        <v>74</v>
      </c>
      <c r="Q47" t="s">
        <v>74</v>
      </c>
      <c r="R47" t="s">
        <v>74</v>
      </c>
      <c r="S47" t="s">
        <v>74</v>
      </c>
      <c r="T47" t="s">
        <v>1155</v>
      </c>
      <c r="U47" t="s">
        <v>1156</v>
      </c>
      <c r="V47" t="s">
        <v>1157</v>
      </c>
      <c r="W47" t="s">
        <v>1158</v>
      </c>
      <c r="X47" t="s">
        <v>1159</v>
      </c>
      <c r="Y47" t="s">
        <v>1160</v>
      </c>
      <c r="Z47" t="s">
        <v>1161</v>
      </c>
      <c r="AA47" t="s">
        <v>1162</v>
      </c>
      <c r="AB47" t="s">
        <v>1163</v>
      </c>
      <c r="AC47" t="s">
        <v>1164</v>
      </c>
      <c r="AD47" t="s">
        <v>1165</v>
      </c>
      <c r="AE47" t="s">
        <v>1166</v>
      </c>
      <c r="AF47" t="s">
        <v>74</v>
      </c>
      <c r="AG47">
        <v>98</v>
      </c>
      <c r="AH47">
        <v>7</v>
      </c>
      <c r="AI47">
        <v>7</v>
      </c>
      <c r="AJ47">
        <v>2</v>
      </c>
      <c r="AK47">
        <v>6</v>
      </c>
      <c r="AL47" t="s">
        <v>199</v>
      </c>
      <c r="AM47" t="s">
        <v>200</v>
      </c>
      <c r="AN47" t="s">
        <v>201</v>
      </c>
      <c r="AO47" t="s">
        <v>1167</v>
      </c>
      <c r="AP47" t="s">
        <v>1168</v>
      </c>
      <c r="AQ47" t="s">
        <v>74</v>
      </c>
      <c r="AR47" t="s">
        <v>1169</v>
      </c>
      <c r="AS47" t="s">
        <v>1170</v>
      </c>
      <c r="AT47" t="s">
        <v>1171</v>
      </c>
      <c r="AU47">
        <v>2022</v>
      </c>
      <c r="AV47">
        <v>288</v>
      </c>
      <c r="AW47" t="s">
        <v>74</v>
      </c>
      <c r="AX47" t="s">
        <v>74</v>
      </c>
      <c r="AY47" t="s">
        <v>74</v>
      </c>
      <c r="AZ47" t="s">
        <v>74</v>
      </c>
      <c r="BA47" t="s">
        <v>74</v>
      </c>
      <c r="BB47" t="s">
        <v>74</v>
      </c>
      <c r="BC47" t="s">
        <v>74</v>
      </c>
      <c r="BD47">
        <v>107582</v>
      </c>
      <c r="BE47" t="s">
        <v>1172</v>
      </c>
      <c r="BF47" t="str">
        <f>HYPERLINK("http://dx.doi.org/10.1016/j.quascirev.2022.107582","http://dx.doi.org/10.1016/j.quascirev.2022.107582")</f>
        <v>http://dx.doi.org/10.1016/j.quascirev.2022.107582</v>
      </c>
      <c r="BG47" t="s">
        <v>74</v>
      </c>
      <c r="BH47" t="s">
        <v>99</v>
      </c>
      <c r="BI47">
        <v>19</v>
      </c>
      <c r="BJ47" t="s">
        <v>125</v>
      </c>
      <c r="BK47" t="s">
        <v>101</v>
      </c>
      <c r="BL47" t="s">
        <v>126</v>
      </c>
      <c r="BM47" t="s">
        <v>1173</v>
      </c>
      <c r="BN47" t="s">
        <v>74</v>
      </c>
      <c r="BO47" t="s">
        <v>74</v>
      </c>
      <c r="BP47" t="s">
        <v>74</v>
      </c>
      <c r="BQ47" t="s">
        <v>74</v>
      </c>
      <c r="BR47" t="s">
        <v>103</v>
      </c>
      <c r="BS47" t="s">
        <v>1174</v>
      </c>
      <c r="BT47" t="str">
        <f>HYPERLINK("https%3A%2F%2Fwww.webofscience.com%2Fwos%2Fwoscc%2Ffull-record%2FWOS:000812029500002","View Full Record in Web of Science")</f>
        <v>View Full Record in Web of Science</v>
      </c>
    </row>
    <row r="48" spans="1:72" x14ac:dyDescent="0.15">
      <c r="A48" t="s">
        <v>72</v>
      </c>
      <c r="B48" t="s">
        <v>1175</v>
      </c>
      <c r="C48" t="s">
        <v>74</v>
      </c>
      <c r="D48" t="s">
        <v>74</v>
      </c>
      <c r="E48" t="s">
        <v>74</v>
      </c>
      <c r="F48" t="s">
        <v>1176</v>
      </c>
      <c r="G48" t="s">
        <v>74</v>
      </c>
      <c r="H48" t="s">
        <v>74</v>
      </c>
      <c r="I48" t="s">
        <v>1177</v>
      </c>
      <c r="J48" t="s">
        <v>1178</v>
      </c>
      <c r="K48" t="s">
        <v>74</v>
      </c>
      <c r="L48" t="s">
        <v>74</v>
      </c>
      <c r="M48" t="s">
        <v>78</v>
      </c>
      <c r="N48" t="s">
        <v>79</v>
      </c>
      <c r="O48" t="s">
        <v>74</v>
      </c>
      <c r="P48" t="s">
        <v>74</v>
      </c>
      <c r="Q48" t="s">
        <v>74</v>
      </c>
      <c r="R48" t="s">
        <v>74</v>
      </c>
      <c r="S48" t="s">
        <v>74</v>
      </c>
      <c r="T48" t="s">
        <v>1179</v>
      </c>
      <c r="U48" t="s">
        <v>1180</v>
      </c>
      <c r="V48" t="s">
        <v>1181</v>
      </c>
      <c r="W48" t="s">
        <v>1182</v>
      </c>
      <c r="X48" t="s">
        <v>1183</v>
      </c>
      <c r="Y48" t="s">
        <v>1184</v>
      </c>
      <c r="Z48" t="s">
        <v>1185</v>
      </c>
      <c r="AA48" t="s">
        <v>1186</v>
      </c>
      <c r="AB48" t="s">
        <v>1187</v>
      </c>
      <c r="AC48" t="s">
        <v>1188</v>
      </c>
      <c r="AD48" t="s">
        <v>1189</v>
      </c>
      <c r="AE48" t="s">
        <v>1190</v>
      </c>
      <c r="AF48" t="s">
        <v>74</v>
      </c>
      <c r="AG48">
        <v>47</v>
      </c>
      <c r="AH48">
        <v>5</v>
      </c>
      <c r="AI48">
        <v>5</v>
      </c>
      <c r="AJ48">
        <v>7</v>
      </c>
      <c r="AK48">
        <v>15</v>
      </c>
      <c r="AL48" t="s">
        <v>199</v>
      </c>
      <c r="AM48" t="s">
        <v>200</v>
      </c>
      <c r="AN48" t="s">
        <v>201</v>
      </c>
      <c r="AO48" t="s">
        <v>1191</v>
      </c>
      <c r="AP48" t="s">
        <v>1192</v>
      </c>
      <c r="AQ48" t="s">
        <v>74</v>
      </c>
      <c r="AR48" t="s">
        <v>1178</v>
      </c>
      <c r="AS48" t="s">
        <v>1193</v>
      </c>
      <c r="AT48" t="s">
        <v>150</v>
      </c>
      <c r="AU48">
        <v>2022</v>
      </c>
      <c r="AV48">
        <v>303</v>
      </c>
      <c r="AW48" t="s">
        <v>74</v>
      </c>
      <c r="AX48">
        <v>2</v>
      </c>
      <c r="AY48" t="s">
        <v>74</v>
      </c>
      <c r="AZ48" t="s">
        <v>74</v>
      </c>
      <c r="BA48" t="s">
        <v>74</v>
      </c>
      <c r="BB48" t="s">
        <v>74</v>
      </c>
      <c r="BC48" t="s">
        <v>74</v>
      </c>
      <c r="BD48">
        <v>135144</v>
      </c>
      <c r="BE48" t="s">
        <v>1194</v>
      </c>
      <c r="BF48" t="str">
        <f>HYPERLINK("http://dx.doi.org/10.1016/j.chemosphere.2022.135144","http://dx.doi.org/10.1016/j.chemosphere.2022.135144")</f>
        <v>http://dx.doi.org/10.1016/j.chemosphere.2022.135144</v>
      </c>
      <c r="BG48" t="s">
        <v>74</v>
      </c>
      <c r="BH48" t="s">
        <v>99</v>
      </c>
      <c r="BI48">
        <v>7</v>
      </c>
      <c r="BJ48" t="s">
        <v>1104</v>
      </c>
      <c r="BK48" t="s">
        <v>101</v>
      </c>
      <c r="BL48" t="s">
        <v>840</v>
      </c>
      <c r="BM48" t="s">
        <v>1195</v>
      </c>
      <c r="BN48">
        <v>35660393</v>
      </c>
      <c r="BO48" t="s">
        <v>74</v>
      </c>
      <c r="BP48" t="s">
        <v>74</v>
      </c>
      <c r="BQ48" t="s">
        <v>74</v>
      </c>
      <c r="BR48" t="s">
        <v>103</v>
      </c>
      <c r="BS48" t="s">
        <v>1196</v>
      </c>
      <c r="BT48" t="str">
        <f>HYPERLINK("https%3A%2F%2Fwww.webofscience.com%2Fwos%2Fwoscc%2Ffull-record%2FWOS:000807998400004","View Full Record in Web of Science")</f>
        <v>View Full Record in Web of Science</v>
      </c>
    </row>
    <row r="49" spans="1:72" x14ac:dyDescent="0.15">
      <c r="A49" t="s">
        <v>72</v>
      </c>
      <c r="B49" t="s">
        <v>1197</v>
      </c>
      <c r="C49" t="s">
        <v>74</v>
      </c>
      <c r="D49" t="s">
        <v>74</v>
      </c>
      <c r="E49" t="s">
        <v>74</v>
      </c>
      <c r="F49" t="s">
        <v>1198</v>
      </c>
      <c r="G49" t="s">
        <v>74</v>
      </c>
      <c r="H49" t="s">
        <v>74</v>
      </c>
      <c r="I49" t="s">
        <v>1199</v>
      </c>
      <c r="J49" t="s">
        <v>1200</v>
      </c>
      <c r="K49" t="s">
        <v>74</v>
      </c>
      <c r="L49" t="s">
        <v>74</v>
      </c>
      <c r="M49" t="s">
        <v>78</v>
      </c>
      <c r="N49" t="s">
        <v>79</v>
      </c>
      <c r="O49" t="s">
        <v>74</v>
      </c>
      <c r="P49" t="s">
        <v>74</v>
      </c>
      <c r="Q49" t="s">
        <v>74</v>
      </c>
      <c r="R49" t="s">
        <v>74</v>
      </c>
      <c r="S49" t="s">
        <v>74</v>
      </c>
      <c r="T49" t="s">
        <v>1201</v>
      </c>
      <c r="U49" t="s">
        <v>1202</v>
      </c>
      <c r="V49" t="s">
        <v>1203</v>
      </c>
      <c r="W49" t="s">
        <v>1204</v>
      </c>
      <c r="X49" t="s">
        <v>1205</v>
      </c>
      <c r="Y49" t="s">
        <v>1206</v>
      </c>
      <c r="Z49" t="s">
        <v>1207</v>
      </c>
      <c r="AA49" t="s">
        <v>1208</v>
      </c>
      <c r="AB49" t="s">
        <v>1209</v>
      </c>
      <c r="AC49" t="s">
        <v>1210</v>
      </c>
      <c r="AD49" t="s">
        <v>1211</v>
      </c>
      <c r="AE49" t="s">
        <v>1212</v>
      </c>
      <c r="AF49" t="s">
        <v>74</v>
      </c>
      <c r="AG49">
        <v>47</v>
      </c>
      <c r="AH49">
        <v>3</v>
      </c>
      <c r="AI49">
        <v>3</v>
      </c>
      <c r="AJ49">
        <v>4</v>
      </c>
      <c r="AK49">
        <v>8</v>
      </c>
      <c r="AL49" t="s">
        <v>91</v>
      </c>
      <c r="AM49" t="s">
        <v>92</v>
      </c>
      <c r="AN49" t="s">
        <v>93</v>
      </c>
      <c r="AO49" t="s">
        <v>1213</v>
      </c>
      <c r="AP49" t="s">
        <v>1214</v>
      </c>
      <c r="AQ49" t="s">
        <v>74</v>
      </c>
      <c r="AR49" t="s">
        <v>1215</v>
      </c>
      <c r="AS49" t="s">
        <v>1216</v>
      </c>
      <c r="AT49" t="s">
        <v>206</v>
      </c>
      <c r="AU49">
        <v>2022</v>
      </c>
      <c r="AV49">
        <v>148</v>
      </c>
      <c r="AW49">
        <v>746</v>
      </c>
      <c r="AX49" t="s">
        <v>74</v>
      </c>
      <c r="AY49" t="s">
        <v>74</v>
      </c>
      <c r="AZ49" t="s">
        <v>74</v>
      </c>
      <c r="BA49" t="s">
        <v>74</v>
      </c>
      <c r="BB49">
        <v>2194</v>
      </c>
      <c r="BC49">
        <v>2218</v>
      </c>
      <c r="BD49" t="s">
        <v>74</v>
      </c>
      <c r="BE49" t="s">
        <v>1217</v>
      </c>
      <c r="BF49" t="str">
        <f>HYPERLINK("http://dx.doi.org/10.1002/qj.4298","http://dx.doi.org/10.1002/qj.4298")</f>
        <v>http://dx.doi.org/10.1002/qj.4298</v>
      </c>
      <c r="BG49" t="s">
        <v>74</v>
      </c>
      <c r="BH49" t="s">
        <v>99</v>
      </c>
      <c r="BI49">
        <v>25</v>
      </c>
      <c r="BJ49" t="s">
        <v>510</v>
      </c>
      <c r="BK49" t="s">
        <v>101</v>
      </c>
      <c r="BL49" t="s">
        <v>510</v>
      </c>
      <c r="BM49" t="s">
        <v>1218</v>
      </c>
      <c r="BN49" t="s">
        <v>74</v>
      </c>
      <c r="BO49" t="s">
        <v>267</v>
      </c>
      <c r="BP49" t="s">
        <v>74</v>
      </c>
      <c r="BQ49" t="s">
        <v>74</v>
      </c>
      <c r="BR49" t="s">
        <v>103</v>
      </c>
      <c r="BS49" t="s">
        <v>1219</v>
      </c>
      <c r="BT49" t="str">
        <f>HYPERLINK("https%3A%2F%2Fwww.webofscience.com%2Fwos%2Fwoscc%2Ffull-record%2FWOS:000804591600001","View Full Record in Web of Science")</f>
        <v>View Full Record in Web of Science</v>
      </c>
    </row>
    <row r="50" spans="1:72" x14ac:dyDescent="0.15">
      <c r="A50" t="s">
        <v>72</v>
      </c>
      <c r="B50" t="s">
        <v>1220</v>
      </c>
      <c r="C50" t="s">
        <v>74</v>
      </c>
      <c r="D50" t="s">
        <v>74</v>
      </c>
      <c r="E50" t="s">
        <v>74</v>
      </c>
      <c r="F50" t="s">
        <v>1221</v>
      </c>
      <c r="G50" t="s">
        <v>74</v>
      </c>
      <c r="H50" t="s">
        <v>74</v>
      </c>
      <c r="I50" t="s">
        <v>1222</v>
      </c>
      <c r="J50" t="s">
        <v>1223</v>
      </c>
      <c r="K50" t="s">
        <v>74</v>
      </c>
      <c r="L50" t="s">
        <v>74</v>
      </c>
      <c r="M50" t="s">
        <v>78</v>
      </c>
      <c r="N50" t="s">
        <v>79</v>
      </c>
      <c r="O50" t="s">
        <v>74</v>
      </c>
      <c r="P50" t="s">
        <v>74</v>
      </c>
      <c r="Q50" t="s">
        <v>74</v>
      </c>
      <c r="R50" t="s">
        <v>74</v>
      </c>
      <c r="S50" t="s">
        <v>74</v>
      </c>
      <c r="T50" t="s">
        <v>74</v>
      </c>
      <c r="U50" t="s">
        <v>1224</v>
      </c>
      <c r="V50" t="s">
        <v>1225</v>
      </c>
      <c r="W50" t="s">
        <v>1226</v>
      </c>
      <c r="X50" t="s">
        <v>1227</v>
      </c>
      <c r="Y50" t="s">
        <v>1228</v>
      </c>
      <c r="Z50" t="s">
        <v>1229</v>
      </c>
      <c r="AA50" t="s">
        <v>74</v>
      </c>
      <c r="AB50" t="s">
        <v>1230</v>
      </c>
      <c r="AC50" t="s">
        <v>1231</v>
      </c>
      <c r="AD50" t="s">
        <v>1232</v>
      </c>
      <c r="AE50" t="s">
        <v>1233</v>
      </c>
      <c r="AF50" t="s">
        <v>74</v>
      </c>
      <c r="AG50">
        <v>125</v>
      </c>
      <c r="AH50">
        <v>1</v>
      </c>
      <c r="AI50">
        <v>1</v>
      </c>
      <c r="AJ50">
        <v>0</v>
      </c>
      <c r="AK50">
        <v>0</v>
      </c>
      <c r="AL50" t="s">
        <v>1234</v>
      </c>
      <c r="AM50" t="s">
        <v>1235</v>
      </c>
      <c r="AN50" t="s">
        <v>1236</v>
      </c>
      <c r="AO50" t="s">
        <v>1237</v>
      </c>
      <c r="AP50" t="s">
        <v>1238</v>
      </c>
      <c r="AQ50" t="s">
        <v>74</v>
      </c>
      <c r="AR50" t="s">
        <v>1223</v>
      </c>
      <c r="AS50" t="s">
        <v>1239</v>
      </c>
      <c r="AT50" t="s">
        <v>537</v>
      </c>
      <c r="AU50">
        <v>2022</v>
      </c>
      <c r="AV50">
        <v>113</v>
      </c>
      <c r="AW50">
        <v>2</v>
      </c>
      <c r="AX50" t="s">
        <v>74</v>
      </c>
      <c r="AY50" t="s">
        <v>74</v>
      </c>
      <c r="AZ50" t="s">
        <v>74</v>
      </c>
      <c r="BA50" t="s">
        <v>74</v>
      </c>
      <c r="BB50">
        <v>245</v>
      </c>
      <c r="BC50">
        <v>265</v>
      </c>
      <c r="BD50" t="s">
        <v>74</v>
      </c>
      <c r="BE50" t="s">
        <v>1240</v>
      </c>
      <c r="BF50" t="str">
        <f>HYPERLINK("http://dx.doi.org/10.1086/719745","http://dx.doi.org/10.1086/719745")</f>
        <v>http://dx.doi.org/10.1086/719745</v>
      </c>
      <c r="BG50" t="s">
        <v>74</v>
      </c>
      <c r="BH50" t="s">
        <v>74</v>
      </c>
      <c r="BI50">
        <v>21</v>
      </c>
      <c r="BJ50" t="s">
        <v>1241</v>
      </c>
      <c r="BK50" t="s">
        <v>1242</v>
      </c>
      <c r="BL50" t="s">
        <v>1243</v>
      </c>
      <c r="BM50" t="s">
        <v>1244</v>
      </c>
      <c r="BN50" t="s">
        <v>74</v>
      </c>
      <c r="BO50" t="s">
        <v>74</v>
      </c>
      <c r="BP50" t="s">
        <v>74</v>
      </c>
      <c r="BQ50" t="s">
        <v>74</v>
      </c>
      <c r="BR50" t="s">
        <v>103</v>
      </c>
      <c r="BS50" t="s">
        <v>1245</v>
      </c>
      <c r="BT50" t="str">
        <f>HYPERLINK("https%3A%2F%2Fwww.webofscience.com%2Fwos%2Fwoscc%2Ffull-record%2FWOS:000926448100004","View Full Record in Web of Science")</f>
        <v>View Full Record in Web of Science</v>
      </c>
    </row>
    <row r="51" spans="1:72" x14ac:dyDescent="0.15">
      <c r="A51" t="s">
        <v>72</v>
      </c>
      <c r="B51" t="s">
        <v>1246</v>
      </c>
      <c r="C51" t="s">
        <v>74</v>
      </c>
      <c r="D51" t="s">
        <v>74</v>
      </c>
      <c r="E51" t="s">
        <v>74</v>
      </c>
      <c r="F51" t="s">
        <v>1247</v>
      </c>
      <c r="G51" t="s">
        <v>74</v>
      </c>
      <c r="H51" t="s">
        <v>74</v>
      </c>
      <c r="I51" t="s">
        <v>1248</v>
      </c>
      <c r="J51" t="s">
        <v>1249</v>
      </c>
      <c r="K51" t="s">
        <v>74</v>
      </c>
      <c r="L51" t="s">
        <v>74</v>
      </c>
      <c r="M51" t="s">
        <v>78</v>
      </c>
      <c r="N51" t="s">
        <v>79</v>
      </c>
      <c r="O51" t="s">
        <v>74</v>
      </c>
      <c r="P51" t="s">
        <v>74</v>
      </c>
      <c r="Q51" t="s">
        <v>74</v>
      </c>
      <c r="R51" t="s">
        <v>74</v>
      </c>
      <c r="S51" t="s">
        <v>74</v>
      </c>
      <c r="T51" t="s">
        <v>1250</v>
      </c>
      <c r="U51" t="s">
        <v>1251</v>
      </c>
      <c r="V51" t="s">
        <v>1252</v>
      </c>
      <c r="W51" t="s">
        <v>1253</v>
      </c>
      <c r="X51" t="s">
        <v>1254</v>
      </c>
      <c r="Y51" t="s">
        <v>1255</v>
      </c>
      <c r="Z51" t="s">
        <v>1256</v>
      </c>
      <c r="AA51" t="s">
        <v>74</v>
      </c>
      <c r="AB51" t="s">
        <v>1257</v>
      </c>
      <c r="AC51" t="s">
        <v>1258</v>
      </c>
      <c r="AD51" t="s">
        <v>1259</v>
      </c>
      <c r="AE51" t="s">
        <v>1260</v>
      </c>
      <c r="AF51" t="s">
        <v>74</v>
      </c>
      <c r="AG51">
        <v>100</v>
      </c>
      <c r="AH51">
        <v>6</v>
      </c>
      <c r="AI51">
        <v>6</v>
      </c>
      <c r="AJ51">
        <v>0</v>
      </c>
      <c r="AK51">
        <v>7</v>
      </c>
      <c r="AL51" t="s">
        <v>1000</v>
      </c>
      <c r="AM51" t="s">
        <v>531</v>
      </c>
      <c r="AN51" t="s">
        <v>1001</v>
      </c>
      <c r="AO51" t="s">
        <v>1261</v>
      </c>
      <c r="AP51" t="s">
        <v>1262</v>
      </c>
      <c r="AQ51" t="s">
        <v>74</v>
      </c>
      <c r="AR51" t="s">
        <v>1263</v>
      </c>
      <c r="AS51" t="s">
        <v>1264</v>
      </c>
      <c r="AT51" t="s">
        <v>1265</v>
      </c>
      <c r="AU51">
        <v>2022</v>
      </c>
      <c r="AV51">
        <v>260</v>
      </c>
      <c r="AW51" t="s">
        <v>74</v>
      </c>
      <c r="AX51" t="s">
        <v>74</v>
      </c>
      <c r="AY51" t="s">
        <v>74</v>
      </c>
      <c r="AZ51" t="s">
        <v>74</v>
      </c>
      <c r="BA51" t="s">
        <v>74</v>
      </c>
      <c r="BB51" t="s">
        <v>74</v>
      </c>
      <c r="BC51" t="s">
        <v>74</v>
      </c>
      <c r="BD51">
        <v>110735</v>
      </c>
      <c r="BE51" t="s">
        <v>1266</v>
      </c>
      <c r="BF51" t="str">
        <f>HYPERLINK("http://dx.doi.org/10.1016/j.cbpb.2022.110735","http://dx.doi.org/10.1016/j.cbpb.2022.110735")</f>
        <v>http://dx.doi.org/10.1016/j.cbpb.2022.110735</v>
      </c>
      <c r="BG51" t="s">
        <v>74</v>
      </c>
      <c r="BH51" t="s">
        <v>74</v>
      </c>
      <c r="BI51">
        <v>11</v>
      </c>
      <c r="BJ51" t="s">
        <v>1267</v>
      </c>
      <c r="BK51" t="s">
        <v>101</v>
      </c>
      <c r="BL51" t="s">
        <v>1267</v>
      </c>
      <c r="BM51" t="s">
        <v>1268</v>
      </c>
      <c r="BN51">
        <v>35321853</v>
      </c>
      <c r="BO51" t="s">
        <v>1149</v>
      </c>
      <c r="BP51" t="s">
        <v>74</v>
      </c>
      <c r="BQ51" t="s">
        <v>74</v>
      </c>
      <c r="BR51" t="s">
        <v>103</v>
      </c>
      <c r="BS51" t="s">
        <v>1269</v>
      </c>
      <c r="BT51" t="str">
        <f>HYPERLINK("https%3A%2F%2Fwww.webofscience.com%2Fwos%2Fwoscc%2Ffull-record%2FWOS:000913319100001","View Full Record in Web of Science")</f>
        <v>View Full Record in Web of Science</v>
      </c>
    </row>
    <row r="52" spans="1:72" x14ac:dyDescent="0.15">
      <c r="A52" t="s">
        <v>72</v>
      </c>
      <c r="B52" t="s">
        <v>1270</v>
      </c>
      <c r="C52" t="s">
        <v>74</v>
      </c>
      <c r="D52" t="s">
        <v>74</v>
      </c>
      <c r="E52" t="s">
        <v>74</v>
      </c>
      <c r="F52" t="s">
        <v>1271</v>
      </c>
      <c r="G52" t="s">
        <v>74</v>
      </c>
      <c r="H52" t="s">
        <v>74</v>
      </c>
      <c r="I52" t="s">
        <v>1272</v>
      </c>
      <c r="J52" t="s">
        <v>1273</v>
      </c>
      <c r="K52" t="s">
        <v>74</v>
      </c>
      <c r="L52" t="s">
        <v>74</v>
      </c>
      <c r="M52" t="s">
        <v>78</v>
      </c>
      <c r="N52" t="s">
        <v>79</v>
      </c>
      <c r="O52" t="s">
        <v>74</v>
      </c>
      <c r="P52" t="s">
        <v>74</v>
      </c>
      <c r="Q52" t="s">
        <v>74</v>
      </c>
      <c r="R52" t="s">
        <v>74</v>
      </c>
      <c r="S52" t="s">
        <v>74</v>
      </c>
      <c r="T52" t="s">
        <v>1274</v>
      </c>
      <c r="U52" t="s">
        <v>74</v>
      </c>
      <c r="V52" t="s">
        <v>1275</v>
      </c>
      <c r="W52" t="s">
        <v>1276</v>
      </c>
      <c r="X52" t="s">
        <v>1277</v>
      </c>
      <c r="Y52" t="s">
        <v>1278</v>
      </c>
      <c r="Z52" t="s">
        <v>74</v>
      </c>
      <c r="AA52" t="s">
        <v>1279</v>
      </c>
      <c r="AB52" t="s">
        <v>1280</v>
      </c>
      <c r="AC52" t="s">
        <v>74</v>
      </c>
      <c r="AD52" t="s">
        <v>74</v>
      </c>
      <c r="AE52" t="s">
        <v>74</v>
      </c>
      <c r="AF52" t="s">
        <v>74</v>
      </c>
      <c r="AG52">
        <v>14</v>
      </c>
      <c r="AH52">
        <v>0</v>
      </c>
      <c r="AI52">
        <v>0</v>
      </c>
      <c r="AJ52">
        <v>1</v>
      </c>
      <c r="AK52">
        <v>2</v>
      </c>
      <c r="AL52" t="s">
        <v>1281</v>
      </c>
      <c r="AM52" t="s">
        <v>1282</v>
      </c>
      <c r="AN52" t="s">
        <v>1283</v>
      </c>
      <c r="AO52" t="s">
        <v>1284</v>
      </c>
      <c r="AP52" t="s">
        <v>74</v>
      </c>
      <c r="AQ52" t="s">
        <v>74</v>
      </c>
      <c r="AR52" t="s">
        <v>1285</v>
      </c>
      <c r="AS52" t="s">
        <v>1286</v>
      </c>
      <c r="AT52" t="s">
        <v>537</v>
      </c>
      <c r="AU52">
        <v>2022</v>
      </c>
      <c r="AV52">
        <v>32</v>
      </c>
      <c r="AW52">
        <v>2</v>
      </c>
      <c r="AX52" t="s">
        <v>74</v>
      </c>
      <c r="AY52" t="s">
        <v>74</v>
      </c>
      <c r="AZ52" t="s">
        <v>74</v>
      </c>
      <c r="BA52" t="s">
        <v>74</v>
      </c>
      <c r="BB52">
        <v>129</v>
      </c>
      <c r="BC52">
        <v>136</v>
      </c>
      <c r="BD52" t="s">
        <v>74</v>
      </c>
      <c r="BE52" t="s">
        <v>1287</v>
      </c>
      <c r="BF52" t="str">
        <f>HYPERLINK("http://dx.doi.org/10.17736/ijope.2022.jc837","http://dx.doi.org/10.17736/ijope.2022.jc837")</f>
        <v>http://dx.doi.org/10.17736/ijope.2022.jc837</v>
      </c>
      <c r="BG52" t="s">
        <v>74</v>
      </c>
      <c r="BH52" t="s">
        <v>74</v>
      </c>
      <c r="BI52">
        <v>8</v>
      </c>
      <c r="BJ52" t="s">
        <v>1288</v>
      </c>
      <c r="BK52" t="s">
        <v>101</v>
      </c>
      <c r="BL52" t="s">
        <v>1289</v>
      </c>
      <c r="BM52" t="s">
        <v>1290</v>
      </c>
      <c r="BN52" t="s">
        <v>74</v>
      </c>
      <c r="BO52" t="s">
        <v>74</v>
      </c>
      <c r="BP52" t="s">
        <v>74</v>
      </c>
      <c r="BQ52" t="s">
        <v>74</v>
      </c>
      <c r="BR52" t="s">
        <v>103</v>
      </c>
      <c r="BS52" t="s">
        <v>1291</v>
      </c>
      <c r="BT52" t="str">
        <f>HYPERLINK("https%3A%2F%2Fwww.webofscience.com%2Fwos%2Fwoscc%2Ffull-record%2FWOS:000863315600001","View Full Record in Web of Science")</f>
        <v>View Full Record in Web of Science</v>
      </c>
    </row>
    <row r="53" spans="1:72" x14ac:dyDescent="0.15">
      <c r="A53" t="s">
        <v>72</v>
      </c>
      <c r="B53" t="s">
        <v>1292</v>
      </c>
      <c r="C53" t="s">
        <v>74</v>
      </c>
      <c r="D53" t="s">
        <v>74</v>
      </c>
      <c r="E53" t="s">
        <v>74</v>
      </c>
      <c r="F53" t="s">
        <v>1293</v>
      </c>
      <c r="G53" t="s">
        <v>74</v>
      </c>
      <c r="H53" t="s">
        <v>74</v>
      </c>
      <c r="I53" t="s">
        <v>1294</v>
      </c>
      <c r="J53" t="s">
        <v>1273</v>
      </c>
      <c r="K53" t="s">
        <v>74</v>
      </c>
      <c r="L53" t="s">
        <v>74</v>
      </c>
      <c r="M53" t="s">
        <v>78</v>
      </c>
      <c r="N53" t="s">
        <v>79</v>
      </c>
      <c r="O53" t="s">
        <v>74</v>
      </c>
      <c r="P53" t="s">
        <v>74</v>
      </c>
      <c r="Q53" t="s">
        <v>74</v>
      </c>
      <c r="R53" t="s">
        <v>74</v>
      </c>
      <c r="S53" t="s">
        <v>74</v>
      </c>
      <c r="T53" t="s">
        <v>1295</v>
      </c>
      <c r="U53" t="s">
        <v>74</v>
      </c>
      <c r="V53" t="s">
        <v>1296</v>
      </c>
      <c r="W53" t="s">
        <v>1297</v>
      </c>
      <c r="X53" t="s">
        <v>1298</v>
      </c>
      <c r="Y53" t="s">
        <v>1278</v>
      </c>
      <c r="Z53" t="s">
        <v>74</v>
      </c>
      <c r="AA53" t="s">
        <v>1299</v>
      </c>
      <c r="AB53" t="s">
        <v>1300</v>
      </c>
      <c r="AC53" t="s">
        <v>74</v>
      </c>
      <c r="AD53" t="s">
        <v>74</v>
      </c>
      <c r="AE53" t="s">
        <v>74</v>
      </c>
      <c r="AF53" t="s">
        <v>74</v>
      </c>
      <c r="AG53">
        <v>22</v>
      </c>
      <c r="AH53">
        <v>1</v>
      </c>
      <c r="AI53">
        <v>1</v>
      </c>
      <c r="AJ53">
        <v>1</v>
      </c>
      <c r="AK53">
        <v>4</v>
      </c>
      <c r="AL53" t="s">
        <v>1281</v>
      </c>
      <c r="AM53" t="s">
        <v>1282</v>
      </c>
      <c r="AN53" t="s">
        <v>1283</v>
      </c>
      <c r="AO53" t="s">
        <v>1284</v>
      </c>
      <c r="AP53" t="s">
        <v>74</v>
      </c>
      <c r="AQ53" t="s">
        <v>74</v>
      </c>
      <c r="AR53" t="s">
        <v>1285</v>
      </c>
      <c r="AS53" t="s">
        <v>1286</v>
      </c>
      <c r="AT53" t="s">
        <v>537</v>
      </c>
      <c r="AU53">
        <v>2022</v>
      </c>
      <c r="AV53">
        <v>32</v>
      </c>
      <c r="AW53">
        <v>2</v>
      </c>
      <c r="AX53" t="s">
        <v>74</v>
      </c>
      <c r="AY53" t="s">
        <v>74</v>
      </c>
      <c r="AZ53" t="s">
        <v>74</v>
      </c>
      <c r="BA53" t="s">
        <v>74</v>
      </c>
      <c r="BB53">
        <v>137</v>
      </c>
      <c r="BC53">
        <v>142</v>
      </c>
      <c r="BD53" t="s">
        <v>74</v>
      </c>
      <c r="BE53" t="s">
        <v>1301</v>
      </c>
      <c r="BF53" t="str">
        <f>HYPERLINK("http://dx.doi.org/10.17736/ijope.2022.jc850","http://dx.doi.org/10.17736/ijope.2022.jc850")</f>
        <v>http://dx.doi.org/10.17736/ijope.2022.jc850</v>
      </c>
      <c r="BG53" t="s">
        <v>74</v>
      </c>
      <c r="BH53" t="s">
        <v>74</v>
      </c>
      <c r="BI53">
        <v>6</v>
      </c>
      <c r="BJ53" t="s">
        <v>1288</v>
      </c>
      <c r="BK53" t="s">
        <v>101</v>
      </c>
      <c r="BL53" t="s">
        <v>1289</v>
      </c>
      <c r="BM53" t="s">
        <v>1302</v>
      </c>
      <c r="BN53" t="s">
        <v>74</v>
      </c>
      <c r="BO53" t="s">
        <v>74</v>
      </c>
      <c r="BP53" t="s">
        <v>74</v>
      </c>
      <c r="BQ53" t="s">
        <v>74</v>
      </c>
      <c r="BR53" t="s">
        <v>103</v>
      </c>
      <c r="BS53" t="s">
        <v>1303</v>
      </c>
      <c r="BT53" t="str">
        <f>HYPERLINK("https%3A%2F%2Fwww.webofscience.com%2Fwos%2Fwoscc%2Ffull-record%2FWOS:000861869700001","View Full Record in Web of Science")</f>
        <v>View Full Record in Web of Science</v>
      </c>
    </row>
    <row r="54" spans="1:72" x14ac:dyDescent="0.15">
      <c r="A54" t="s">
        <v>72</v>
      </c>
      <c r="B54" t="s">
        <v>1304</v>
      </c>
      <c r="C54" t="s">
        <v>74</v>
      </c>
      <c r="D54" t="s">
        <v>74</v>
      </c>
      <c r="E54" t="s">
        <v>74</v>
      </c>
      <c r="F54" t="s">
        <v>1305</v>
      </c>
      <c r="G54" t="s">
        <v>74</v>
      </c>
      <c r="H54" t="s">
        <v>74</v>
      </c>
      <c r="I54" t="s">
        <v>1306</v>
      </c>
      <c r="J54" t="s">
        <v>1273</v>
      </c>
      <c r="K54" t="s">
        <v>74</v>
      </c>
      <c r="L54" t="s">
        <v>74</v>
      </c>
      <c r="M54" t="s">
        <v>78</v>
      </c>
      <c r="N54" t="s">
        <v>79</v>
      </c>
      <c r="O54" t="s">
        <v>74</v>
      </c>
      <c r="P54" t="s">
        <v>74</v>
      </c>
      <c r="Q54" t="s">
        <v>74</v>
      </c>
      <c r="R54" t="s">
        <v>74</v>
      </c>
      <c r="S54" t="s">
        <v>74</v>
      </c>
      <c r="T54" t="s">
        <v>1307</v>
      </c>
      <c r="U54" t="s">
        <v>1308</v>
      </c>
      <c r="V54" t="s">
        <v>1309</v>
      </c>
      <c r="W54" t="s">
        <v>1310</v>
      </c>
      <c r="X54" t="s">
        <v>1311</v>
      </c>
      <c r="Y54" t="s">
        <v>1312</v>
      </c>
      <c r="Z54" t="s">
        <v>74</v>
      </c>
      <c r="AA54" t="s">
        <v>1313</v>
      </c>
      <c r="AB54" t="s">
        <v>1314</v>
      </c>
      <c r="AC54" t="s">
        <v>74</v>
      </c>
      <c r="AD54" t="s">
        <v>74</v>
      </c>
      <c r="AE54" t="s">
        <v>74</v>
      </c>
      <c r="AF54" t="s">
        <v>74</v>
      </c>
      <c r="AG54">
        <v>22</v>
      </c>
      <c r="AH54">
        <v>1</v>
      </c>
      <c r="AI54">
        <v>1</v>
      </c>
      <c r="AJ54">
        <v>3</v>
      </c>
      <c r="AK54">
        <v>5</v>
      </c>
      <c r="AL54" t="s">
        <v>1281</v>
      </c>
      <c r="AM54" t="s">
        <v>1282</v>
      </c>
      <c r="AN54" t="s">
        <v>1283</v>
      </c>
      <c r="AO54" t="s">
        <v>1284</v>
      </c>
      <c r="AP54" t="s">
        <v>74</v>
      </c>
      <c r="AQ54" t="s">
        <v>74</v>
      </c>
      <c r="AR54" t="s">
        <v>1285</v>
      </c>
      <c r="AS54" t="s">
        <v>1286</v>
      </c>
      <c r="AT54" t="s">
        <v>537</v>
      </c>
      <c r="AU54">
        <v>2022</v>
      </c>
      <c r="AV54">
        <v>32</v>
      </c>
      <c r="AW54">
        <v>2</v>
      </c>
      <c r="AX54" t="s">
        <v>74</v>
      </c>
      <c r="AY54" t="s">
        <v>74</v>
      </c>
      <c r="AZ54" t="s">
        <v>74</v>
      </c>
      <c r="BA54" t="s">
        <v>74</v>
      </c>
      <c r="BB54">
        <v>143</v>
      </c>
      <c r="BC54">
        <v>152</v>
      </c>
      <c r="BD54" t="s">
        <v>74</v>
      </c>
      <c r="BE54" t="s">
        <v>1315</v>
      </c>
      <c r="BF54" t="str">
        <f>HYPERLINK("http://dx.doi.org/10.17736/ijope.2022.ik09","http://dx.doi.org/10.17736/ijope.2022.ik09")</f>
        <v>http://dx.doi.org/10.17736/ijope.2022.ik09</v>
      </c>
      <c r="BG54" t="s">
        <v>74</v>
      </c>
      <c r="BH54" t="s">
        <v>74</v>
      </c>
      <c r="BI54">
        <v>10</v>
      </c>
      <c r="BJ54" t="s">
        <v>1288</v>
      </c>
      <c r="BK54" t="s">
        <v>101</v>
      </c>
      <c r="BL54" t="s">
        <v>1289</v>
      </c>
      <c r="BM54" t="s">
        <v>1316</v>
      </c>
      <c r="BN54" t="s">
        <v>74</v>
      </c>
      <c r="BO54" t="s">
        <v>74</v>
      </c>
      <c r="BP54" t="s">
        <v>74</v>
      </c>
      <c r="BQ54" t="s">
        <v>74</v>
      </c>
      <c r="BR54" t="s">
        <v>103</v>
      </c>
      <c r="BS54" t="s">
        <v>1317</v>
      </c>
      <c r="BT54" t="str">
        <f>HYPERLINK("https%3A%2F%2Fwww.webofscience.com%2Fwos%2Fwoscc%2Ffull-record%2FWOS:000861988800001","View Full Record in Web of Science")</f>
        <v>View Full Record in Web of Science</v>
      </c>
    </row>
    <row r="55" spans="1:72" x14ac:dyDescent="0.15">
      <c r="A55" t="s">
        <v>72</v>
      </c>
      <c r="B55" t="s">
        <v>1318</v>
      </c>
      <c r="C55" t="s">
        <v>74</v>
      </c>
      <c r="D55" t="s">
        <v>74</v>
      </c>
      <c r="E55" t="s">
        <v>74</v>
      </c>
      <c r="F55" t="s">
        <v>1319</v>
      </c>
      <c r="G55" t="s">
        <v>74</v>
      </c>
      <c r="H55" t="s">
        <v>74</v>
      </c>
      <c r="I55" t="s">
        <v>1320</v>
      </c>
      <c r="J55" t="s">
        <v>1273</v>
      </c>
      <c r="K55" t="s">
        <v>74</v>
      </c>
      <c r="L55" t="s">
        <v>74</v>
      </c>
      <c r="M55" t="s">
        <v>78</v>
      </c>
      <c r="N55" t="s">
        <v>79</v>
      </c>
      <c r="O55" t="s">
        <v>74</v>
      </c>
      <c r="P55" t="s">
        <v>74</v>
      </c>
      <c r="Q55" t="s">
        <v>74</v>
      </c>
      <c r="R55" t="s">
        <v>74</v>
      </c>
      <c r="S55" t="s">
        <v>74</v>
      </c>
      <c r="T55" t="s">
        <v>1321</v>
      </c>
      <c r="U55" t="s">
        <v>1322</v>
      </c>
      <c r="V55" t="s">
        <v>1323</v>
      </c>
      <c r="W55" t="s">
        <v>1324</v>
      </c>
      <c r="X55" t="s">
        <v>1325</v>
      </c>
      <c r="Y55" t="s">
        <v>1326</v>
      </c>
      <c r="Z55" t="s">
        <v>74</v>
      </c>
      <c r="AA55" t="s">
        <v>1327</v>
      </c>
      <c r="AB55" t="s">
        <v>1328</v>
      </c>
      <c r="AC55" t="s">
        <v>74</v>
      </c>
      <c r="AD55" t="s">
        <v>74</v>
      </c>
      <c r="AE55" t="s">
        <v>74</v>
      </c>
      <c r="AF55" t="s">
        <v>74</v>
      </c>
      <c r="AG55">
        <v>18</v>
      </c>
      <c r="AH55">
        <v>1</v>
      </c>
      <c r="AI55">
        <v>1</v>
      </c>
      <c r="AJ55">
        <v>0</v>
      </c>
      <c r="AK55">
        <v>0</v>
      </c>
      <c r="AL55" t="s">
        <v>1281</v>
      </c>
      <c r="AM55" t="s">
        <v>1282</v>
      </c>
      <c r="AN55" t="s">
        <v>1283</v>
      </c>
      <c r="AO55" t="s">
        <v>1284</v>
      </c>
      <c r="AP55" t="s">
        <v>74</v>
      </c>
      <c r="AQ55" t="s">
        <v>74</v>
      </c>
      <c r="AR55" t="s">
        <v>1285</v>
      </c>
      <c r="AS55" t="s">
        <v>1286</v>
      </c>
      <c r="AT55" t="s">
        <v>537</v>
      </c>
      <c r="AU55">
        <v>2022</v>
      </c>
      <c r="AV55">
        <v>32</v>
      </c>
      <c r="AW55">
        <v>2</v>
      </c>
      <c r="AX55" t="s">
        <v>74</v>
      </c>
      <c r="AY55" t="s">
        <v>74</v>
      </c>
      <c r="AZ55" t="s">
        <v>74</v>
      </c>
      <c r="BA55" t="s">
        <v>74</v>
      </c>
      <c r="BB55">
        <v>160</v>
      </c>
      <c r="BC55">
        <v>167</v>
      </c>
      <c r="BD55" t="s">
        <v>74</v>
      </c>
      <c r="BE55" t="s">
        <v>1329</v>
      </c>
      <c r="BF55" t="str">
        <f>HYPERLINK("http://dx.doi.org/10.17736/ijope.2022.jc859","http://dx.doi.org/10.17736/ijope.2022.jc859")</f>
        <v>http://dx.doi.org/10.17736/ijope.2022.jc859</v>
      </c>
      <c r="BG55" t="s">
        <v>74</v>
      </c>
      <c r="BH55" t="s">
        <v>74</v>
      </c>
      <c r="BI55">
        <v>8</v>
      </c>
      <c r="BJ55" t="s">
        <v>1288</v>
      </c>
      <c r="BK55" t="s">
        <v>101</v>
      </c>
      <c r="BL55" t="s">
        <v>1289</v>
      </c>
      <c r="BM55" t="s">
        <v>1330</v>
      </c>
      <c r="BN55" t="s">
        <v>74</v>
      </c>
      <c r="BO55" t="s">
        <v>74</v>
      </c>
      <c r="BP55" t="s">
        <v>74</v>
      </c>
      <c r="BQ55" t="s">
        <v>74</v>
      </c>
      <c r="BR55" t="s">
        <v>103</v>
      </c>
      <c r="BS55" t="s">
        <v>1331</v>
      </c>
      <c r="BT55" t="str">
        <f>HYPERLINK("https%3A%2F%2Fwww.webofscience.com%2Fwos%2Fwoscc%2Ffull-record%2FWOS:000861861000001","View Full Record in Web of Science")</f>
        <v>View Full Record in Web of Science</v>
      </c>
    </row>
    <row r="56" spans="1:72" x14ac:dyDescent="0.15">
      <c r="A56" t="s">
        <v>72</v>
      </c>
      <c r="B56" t="s">
        <v>1332</v>
      </c>
      <c r="C56" t="s">
        <v>74</v>
      </c>
      <c r="D56" t="s">
        <v>74</v>
      </c>
      <c r="E56" t="s">
        <v>74</v>
      </c>
      <c r="F56" t="s">
        <v>1333</v>
      </c>
      <c r="G56" t="s">
        <v>74</v>
      </c>
      <c r="H56" t="s">
        <v>74</v>
      </c>
      <c r="I56" t="s">
        <v>1334</v>
      </c>
      <c r="J56" t="s">
        <v>1273</v>
      </c>
      <c r="K56" t="s">
        <v>74</v>
      </c>
      <c r="L56" t="s">
        <v>74</v>
      </c>
      <c r="M56" t="s">
        <v>78</v>
      </c>
      <c r="N56" t="s">
        <v>79</v>
      </c>
      <c r="O56" t="s">
        <v>74</v>
      </c>
      <c r="P56" t="s">
        <v>74</v>
      </c>
      <c r="Q56" t="s">
        <v>74</v>
      </c>
      <c r="R56" t="s">
        <v>74</v>
      </c>
      <c r="S56" t="s">
        <v>74</v>
      </c>
      <c r="T56" t="s">
        <v>1335</v>
      </c>
      <c r="U56" t="s">
        <v>1308</v>
      </c>
      <c r="V56" t="s">
        <v>1336</v>
      </c>
      <c r="W56" t="s">
        <v>1337</v>
      </c>
      <c r="X56" t="s">
        <v>1338</v>
      </c>
      <c r="Y56" t="s">
        <v>1339</v>
      </c>
      <c r="Z56" t="s">
        <v>74</v>
      </c>
      <c r="AA56" t="s">
        <v>1340</v>
      </c>
      <c r="AB56" t="s">
        <v>1341</v>
      </c>
      <c r="AC56" t="s">
        <v>74</v>
      </c>
      <c r="AD56" t="s">
        <v>74</v>
      </c>
      <c r="AE56" t="s">
        <v>74</v>
      </c>
      <c r="AF56" t="s">
        <v>74</v>
      </c>
      <c r="AG56">
        <v>15</v>
      </c>
      <c r="AH56">
        <v>0</v>
      </c>
      <c r="AI56">
        <v>0</v>
      </c>
      <c r="AJ56">
        <v>0</v>
      </c>
      <c r="AK56">
        <v>1</v>
      </c>
      <c r="AL56" t="s">
        <v>1281</v>
      </c>
      <c r="AM56" t="s">
        <v>1282</v>
      </c>
      <c r="AN56" t="s">
        <v>1283</v>
      </c>
      <c r="AO56" t="s">
        <v>1284</v>
      </c>
      <c r="AP56" t="s">
        <v>74</v>
      </c>
      <c r="AQ56" t="s">
        <v>74</v>
      </c>
      <c r="AR56" t="s">
        <v>1285</v>
      </c>
      <c r="AS56" t="s">
        <v>1286</v>
      </c>
      <c r="AT56" t="s">
        <v>537</v>
      </c>
      <c r="AU56">
        <v>2022</v>
      </c>
      <c r="AV56">
        <v>32</v>
      </c>
      <c r="AW56">
        <v>2</v>
      </c>
      <c r="AX56" t="s">
        <v>74</v>
      </c>
      <c r="AY56" t="s">
        <v>74</v>
      </c>
      <c r="AZ56" t="s">
        <v>74</v>
      </c>
      <c r="BA56" t="s">
        <v>74</v>
      </c>
      <c r="BB56">
        <v>153</v>
      </c>
      <c r="BC56">
        <v>159</v>
      </c>
      <c r="BD56" t="s">
        <v>74</v>
      </c>
      <c r="BE56" t="s">
        <v>1342</v>
      </c>
      <c r="BF56" t="str">
        <f>HYPERLINK("http://dx.doi.org/10.17736/ijope.2022.jc853","http://dx.doi.org/10.17736/ijope.2022.jc853")</f>
        <v>http://dx.doi.org/10.17736/ijope.2022.jc853</v>
      </c>
      <c r="BG56" t="s">
        <v>74</v>
      </c>
      <c r="BH56" t="s">
        <v>74</v>
      </c>
      <c r="BI56">
        <v>7</v>
      </c>
      <c r="BJ56" t="s">
        <v>1288</v>
      </c>
      <c r="BK56" t="s">
        <v>101</v>
      </c>
      <c r="BL56" t="s">
        <v>1289</v>
      </c>
      <c r="BM56" t="s">
        <v>1343</v>
      </c>
      <c r="BN56" t="s">
        <v>74</v>
      </c>
      <c r="BO56" t="s">
        <v>74</v>
      </c>
      <c r="BP56" t="s">
        <v>74</v>
      </c>
      <c r="BQ56" t="s">
        <v>74</v>
      </c>
      <c r="BR56" t="s">
        <v>103</v>
      </c>
      <c r="BS56" t="s">
        <v>1344</v>
      </c>
      <c r="BT56" t="str">
        <f>HYPERLINK("https%3A%2F%2Fwww.webofscience.com%2Fwos%2Fwoscc%2Ffull-record%2FWOS:000861922900001","View Full Record in Web of Science")</f>
        <v>View Full Record in Web of Science</v>
      </c>
    </row>
    <row r="57" spans="1:72" x14ac:dyDescent="0.15">
      <c r="A57" t="s">
        <v>72</v>
      </c>
      <c r="B57" t="s">
        <v>1345</v>
      </c>
      <c r="C57" t="s">
        <v>74</v>
      </c>
      <c r="D57" t="s">
        <v>74</v>
      </c>
      <c r="E57" t="s">
        <v>74</v>
      </c>
      <c r="F57" t="s">
        <v>1346</v>
      </c>
      <c r="G57" t="s">
        <v>74</v>
      </c>
      <c r="H57" t="s">
        <v>74</v>
      </c>
      <c r="I57" t="s">
        <v>1347</v>
      </c>
      <c r="J57" t="s">
        <v>1273</v>
      </c>
      <c r="K57" t="s">
        <v>74</v>
      </c>
      <c r="L57" t="s">
        <v>74</v>
      </c>
      <c r="M57" t="s">
        <v>78</v>
      </c>
      <c r="N57" t="s">
        <v>79</v>
      </c>
      <c r="O57" t="s">
        <v>74</v>
      </c>
      <c r="P57" t="s">
        <v>74</v>
      </c>
      <c r="Q57" t="s">
        <v>74</v>
      </c>
      <c r="R57" t="s">
        <v>74</v>
      </c>
      <c r="S57" t="s">
        <v>74</v>
      </c>
      <c r="T57" t="s">
        <v>1348</v>
      </c>
      <c r="U57" t="s">
        <v>74</v>
      </c>
      <c r="V57" t="s">
        <v>1349</v>
      </c>
      <c r="W57" t="s">
        <v>1350</v>
      </c>
      <c r="X57" t="s">
        <v>1351</v>
      </c>
      <c r="Y57" t="s">
        <v>1352</v>
      </c>
      <c r="Z57" t="s">
        <v>74</v>
      </c>
      <c r="AA57" t="s">
        <v>1353</v>
      </c>
      <c r="AB57" t="s">
        <v>1354</v>
      </c>
      <c r="AC57" t="s">
        <v>74</v>
      </c>
      <c r="AD57" t="s">
        <v>74</v>
      </c>
      <c r="AE57" t="s">
        <v>74</v>
      </c>
      <c r="AF57" t="s">
        <v>74</v>
      </c>
      <c r="AG57">
        <v>10</v>
      </c>
      <c r="AH57">
        <v>0</v>
      </c>
      <c r="AI57">
        <v>0</v>
      </c>
      <c r="AJ57">
        <v>1</v>
      </c>
      <c r="AK57">
        <v>2</v>
      </c>
      <c r="AL57" t="s">
        <v>1281</v>
      </c>
      <c r="AM57" t="s">
        <v>1282</v>
      </c>
      <c r="AN57" t="s">
        <v>1283</v>
      </c>
      <c r="AO57" t="s">
        <v>1284</v>
      </c>
      <c r="AP57" t="s">
        <v>74</v>
      </c>
      <c r="AQ57" t="s">
        <v>74</v>
      </c>
      <c r="AR57" t="s">
        <v>1285</v>
      </c>
      <c r="AS57" t="s">
        <v>1286</v>
      </c>
      <c r="AT57" t="s">
        <v>537</v>
      </c>
      <c r="AU57">
        <v>2022</v>
      </c>
      <c r="AV57">
        <v>32</v>
      </c>
      <c r="AW57">
        <v>2</v>
      </c>
      <c r="AX57" t="s">
        <v>74</v>
      </c>
      <c r="AY57" t="s">
        <v>74</v>
      </c>
      <c r="AZ57" t="s">
        <v>74</v>
      </c>
      <c r="BA57" t="s">
        <v>74</v>
      </c>
      <c r="BB57">
        <v>168</v>
      </c>
      <c r="BC57">
        <v>175</v>
      </c>
      <c r="BD57" t="s">
        <v>74</v>
      </c>
      <c r="BE57" t="s">
        <v>1355</v>
      </c>
      <c r="BF57" t="str">
        <f>HYPERLINK("http://dx.doi.org/10.17736/ijope.2022.jc851","http://dx.doi.org/10.17736/ijope.2022.jc851")</f>
        <v>http://dx.doi.org/10.17736/ijope.2022.jc851</v>
      </c>
      <c r="BG57" t="s">
        <v>74</v>
      </c>
      <c r="BH57" t="s">
        <v>74</v>
      </c>
      <c r="BI57">
        <v>8</v>
      </c>
      <c r="BJ57" t="s">
        <v>1288</v>
      </c>
      <c r="BK57" t="s">
        <v>101</v>
      </c>
      <c r="BL57" t="s">
        <v>1289</v>
      </c>
      <c r="BM57" t="s">
        <v>1356</v>
      </c>
      <c r="BN57" t="s">
        <v>74</v>
      </c>
      <c r="BO57" t="s">
        <v>74</v>
      </c>
      <c r="BP57" t="s">
        <v>74</v>
      </c>
      <c r="BQ57" t="s">
        <v>74</v>
      </c>
      <c r="BR57" t="s">
        <v>103</v>
      </c>
      <c r="BS57" t="s">
        <v>1357</v>
      </c>
      <c r="BT57" t="str">
        <f>HYPERLINK("https%3A%2F%2Fwww.webofscience.com%2Fwos%2Fwoscc%2Ffull-record%2FWOS:000855638000001","View Full Record in Web of Science")</f>
        <v>View Full Record in Web of Science</v>
      </c>
    </row>
    <row r="58" spans="1:72" x14ac:dyDescent="0.15">
      <c r="A58" t="s">
        <v>72</v>
      </c>
      <c r="B58" t="s">
        <v>1358</v>
      </c>
      <c r="C58" t="s">
        <v>74</v>
      </c>
      <c r="D58" t="s">
        <v>74</v>
      </c>
      <c r="E58" t="s">
        <v>74</v>
      </c>
      <c r="F58" t="s">
        <v>1359</v>
      </c>
      <c r="G58" t="s">
        <v>74</v>
      </c>
      <c r="H58" t="s">
        <v>74</v>
      </c>
      <c r="I58" t="s">
        <v>1360</v>
      </c>
      <c r="J58" t="s">
        <v>1361</v>
      </c>
      <c r="K58" t="s">
        <v>74</v>
      </c>
      <c r="L58" t="s">
        <v>74</v>
      </c>
      <c r="M58" t="s">
        <v>78</v>
      </c>
      <c r="N58" t="s">
        <v>79</v>
      </c>
      <c r="O58" t="s">
        <v>74</v>
      </c>
      <c r="P58" t="s">
        <v>74</v>
      </c>
      <c r="Q58" t="s">
        <v>74</v>
      </c>
      <c r="R58" t="s">
        <v>74</v>
      </c>
      <c r="S58" t="s">
        <v>74</v>
      </c>
      <c r="T58" t="s">
        <v>1362</v>
      </c>
      <c r="U58" t="s">
        <v>1363</v>
      </c>
      <c r="V58" t="s">
        <v>1364</v>
      </c>
      <c r="W58" t="s">
        <v>1365</v>
      </c>
      <c r="X58" t="s">
        <v>1366</v>
      </c>
      <c r="Y58" t="s">
        <v>1367</v>
      </c>
      <c r="Z58" t="s">
        <v>1368</v>
      </c>
      <c r="AA58" t="s">
        <v>74</v>
      </c>
      <c r="AB58" t="s">
        <v>74</v>
      </c>
      <c r="AC58" t="s">
        <v>1369</v>
      </c>
      <c r="AD58" t="s">
        <v>1370</v>
      </c>
      <c r="AE58" t="s">
        <v>1371</v>
      </c>
      <c r="AF58" t="s">
        <v>74</v>
      </c>
      <c r="AG58">
        <v>25</v>
      </c>
      <c r="AH58">
        <v>0</v>
      </c>
      <c r="AI58">
        <v>0</v>
      </c>
      <c r="AJ58">
        <v>6</v>
      </c>
      <c r="AK58">
        <v>20</v>
      </c>
      <c r="AL58" t="s">
        <v>1372</v>
      </c>
      <c r="AM58" t="s">
        <v>531</v>
      </c>
      <c r="AN58" t="s">
        <v>1373</v>
      </c>
      <c r="AO58" t="s">
        <v>1374</v>
      </c>
      <c r="AP58" t="s">
        <v>1375</v>
      </c>
      <c r="AQ58" t="s">
        <v>74</v>
      </c>
      <c r="AR58" t="s">
        <v>1376</v>
      </c>
      <c r="AS58" t="s">
        <v>1377</v>
      </c>
      <c r="AT58" t="s">
        <v>537</v>
      </c>
      <c r="AU58">
        <v>2022</v>
      </c>
      <c r="AV58">
        <v>47</v>
      </c>
      <c r="AW58">
        <v>6</v>
      </c>
      <c r="AX58" t="s">
        <v>74</v>
      </c>
      <c r="AY58" t="s">
        <v>74</v>
      </c>
      <c r="AZ58" t="s">
        <v>74</v>
      </c>
      <c r="BA58" t="s">
        <v>74</v>
      </c>
      <c r="BB58">
        <v>449</v>
      </c>
      <c r="BC58">
        <v>456</v>
      </c>
      <c r="BD58" t="s">
        <v>74</v>
      </c>
      <c r="BE58" t="s">
        <v>1378</v>
      </c>
      <c r="BF58" t="str">
        <f>HYPERLINK("http://dx.doi.org/10.3103/S1068373922060048","http://dx.doi.org/10.3103/S1068373922060048")</f>
        <v>http://dx.doi.org/10.3103/S1068373922060048</v>
      </c>
      <c r="BG58" t="s">
        <v>74</v>
      </c>
      <c r="BH58" t="s">
        <v>74</v>
      </c>
      <c r="BI58">
        <v>8</v>
      </c>
      <c r="BJ58" t="s">
        <v>510</v>
      </c>
      <c r="BK58" t="s">
        <v>101</v>
      </c>
      <c r="BL58" t="s">
        <v>510</v>
      </c>
      <c r="BM58" t="s">
        <v>1379</v>
      </c>
      <c r="BN58" t="s">
        <v>74</v>
      </c>
      <c r="BO58" t="s">
        <v>74</v>
      </c>
      <c r="BP58" t="s">
        <v>74</v>
      </c>
      <c r="BQ58" t="s">
        <v>74</v>
      </c>
      <c r="BR58" t="s">
        <v>103</v>
      </c>
      <c r="BS58" t="s">
        <v>1380</v>
      </c>
      <c r="BT58" t="str">
        <f>HYPERLINK("https%3A%2F%2Fwww.webofscience.com%2Fwos%2Fwoscc%2Ffull-record%2FWOS:000850564500004","View Full Record in Web of Science")</f>
        <v>View Full Record in Web of Science</v>
      </c>
    </row>
    <row r="59" spans="1:72" x14ac:dyDescent="0.15">
      <c r="A59" t="s">
        <v>72</v>
      </c>
      <c r="B59" t="s">
        <v>1381</v>
      </c>
      <c r="C59" t="s">
        <v>74</v>
      </c>
      <c r="D59" t="s">
        <v>74</v>
      </c>
      <c r="E59" t="s">
        <v>74</v>
      </c>
      <c r="F59" t="s">
        <v>1381</v>
      </c>
      <c r="G59" t="s">
        <v>74</v>
      </c>
      <c r="H59" t="s">
        <v>74</v>
      </c>
      <c r="I59" t="s">
        <v>1382</v>
      </c>
      <c r="J59" t="s">
        <v>1383</v>
      </c>
      <c r="K59" t="s">
        <v>74</v>
      </c>
      <c r="L59" t="s">
        <v>74</v>
      </c>
      <c r="M59" t="s">
        <v>1384</v>
      </c>
      <c r="N59" t="s">
        <v>1385</v>
      </c>
      <c r="O59" t="s">
        <v>74</v>
      </c>
      <c r="P59" t="s">
        <v>74</v>
      </c>
      <c r="Q59" t="s">
        <v>74</v>
      </c>
      <c r="R59" t="s">
        <v>74</v>
      </c>
      <c r="S59" t="s">
        <v>74</v>
      </c>
      <c r="T59" t="s">
        <v>74</v>
      </c>
      <c r="U59" t="s">
        <v>74</v>
      </c>
      <c r="V59" t="s">
        <v>74</v>
      </c>
      <c r="W59" t="s">
        <v>74</v>
      </c>
      <c r="X59" t="s">
        <v>74</v>
      </c>
      <c r="Y59" t="s">
        <v>74</v>
      </c>
      <c r="Z59" t="s">
        <v>74</v>
      </c>
      <c r="AA59" t="s">
        <v>74</v>
      </c>
      <c r="AB59" t="s">
        <v>74</v>
      </c>
      <c r="AC59" t="s">
        <v>74</v>
      </c>
      <c r="AD59" t="s">
        <v>74</v>
      </c>
      <c r="AE59" t="s">
        <v>74</v>
      </c>
      <c r="AF59" t="s">
        <v>74</v>
      </c>
      <c r="AG59">
        <v>0</v>
      </c>
      <c r="AH59">
        <v>0</v>
      </c>
      <c r="AI59">
        <v>0</v>
      </c>
      <c r="AJ59">
        <v>0</v>
      </c>
      <c r="AK59">
        <v>0</v>
      </c>
      <c r="AL59" t="s">
        <v>1386</v>
      </c>
      <c r="AM59" t="s">
        <v>1387</v>
      </c>
      <c r="AN59" t="s">
        <v>1388</v>
      </c>
      <c r="AO59" t="s">
        <v>1389</v>
      </c>
      <c r="AP59" t="s">
        <v>74</v>
      </c>
      <c r="AQ59" t="s">
        <v>74</v>
      </c>
      <c r="AR59" t="s">
        <v>1390</v>
      </c>
      <c r="AS59" t="s">
        <v>1391</v>
      </c>
      <c r="AT59" t="s">
        <v>537</v>
      </c>
      <c r="AU59">
        <v>2022</v>
      </c>
      <c r="AV59">
        <v>66</v>
      </c>
      <c r="AW59">
        <v>3</v>
      </c>
      <c r="AX59" t="s">
        <v>74</v>
      </c>
      <c r="AY59" t="s">
        <v>74</v>
      </c>
      <c r="AZ59" t="s">
        <v>74</v>
      </c>
      <c r="BA59" t="s">
        <v>74</v>
      </c>
      <c r="BB59">
        <v>140</v>
      </c>
      <c r="BC59">
        <v>141</v>
      </c>
      <c r="BD59" t="s">
        <v>74</v>
      </c>
      <c r="BE59" t="s">
        <v>74</v>
      </c>
      <c r="BF59" t="s">
        <v>74</v>
      </c>
      <c r="BG59" t="s">
        <v>74</v>
      </c>
      <c r="BH59" t="s">
        <v>74</v>
      </c>
      <c r="BI59">
        <v>2</v>
      </c>
      <c r="BJ59" t="s">
        <v>1392</v>
      </c>
      <c r="BK59" t="s">
        <v>101</v>
      </c>
      <c r="BL59" t="s">
        <v>1392</v>
      </c>
      <c r="BM59" t="s">
        <v>1393</v>
      </c>
      <c r="BN59" t="s">
        <v>74</v>
      </c>
      <c r="BO59" t="s">
        <v>74</v>
      </c>
      <c r="BP59" t="s">
        <v>74</v>
      </c>
      <c r="BQ59" t="s">
        <v>74</v>
      </c>
      <c r="BR59" t="s">
        <v>103</v>
      </c>
      <c r="BS59" t="s">
        <v>1394</v>
      </c>
      <c r="BT59" t="str">
        <f>HYPERLINK("https%3A%2F%2Fwww.webofscience.com%2Fwos%2Fwoscc%2Ffull-record%2FWOS:000842030700009","View Full Record in Web of Science")</f>
        <v>View Full Record in Web of Science</v>
      </c>
    </row>
    <row r="60" spans="1:72" x14ac:dyDescent="0.15">
      <c r="A60" t="s">
        <v>72</v>
      </c>
      <c r="B60" t="s">
        <v>1381</v>
      </c>
      <c r="C60" t="s">
        <v>74</v>
      </c>
      <c r="D60" t="s">
        <v>74</v>
      </c>
      <c r="E60" t="s">
        <v>74</v>
      </c>
      <c r="F60" t="s">
        <v>1381</v>
      </c>
      <c r="G60" t="s">
        <v>74</v>
      </c>
      <c r="H60" t="s">
        <v>74</v>
      </c>
      <c r="I60" t="s">
        <v>1395</v>
      </c>
      <c r="J60" t="s">
        <v>1383</v>
      </c>
      <c r="K60" t="s">
        <v>74</v>
      </c>
      <c r="L60" t="s">
        <v>74</v>
      </c>
      <c r="M60" t="s">
        <v>1384</v>
      </c>
      <c r="N60" t="s">
        <v>1385</v>
      </c>
      <c r="O60" t="s">
        <v>74</v>
      </c>
      <c r="P60" t="s">
        <v>74</v>
      </c>
      <c r="Q60" t="s">
        <v>74</v>
      </c>
      <c r="R60" t="s">
        <v>74</v>
      </c>
      <c r="S60" t="s">
        <v>74</v>
      </c>
      <c r="T60" t="s">
        <v>74</v>
      </c>
      <c r="U60" t="s">
        <v>74</v>
      </c>
      <c r="V60" t="s">
        <v>74</v>
      </c>
      <c r="W60" t="s">
        <v>74</v>
      </c>
      <c r="X60" t="s">
        <v>74</v>
      </c>
      <c r="Y60" t="s">
        <v>74</v>
      </c>
      <c r="Z60" t="s">
        <v>74</v>
      </c>
      <c r="AA60" t="s">
        <v>74</v>
      </c>
      <c r="AB60" t="s">
        <v>74</v>
      </c>
      <c r="AC60" t="s">
        <v>74</v>
      </c>
      <c r="AD60" t="s">
        <v>74</v>
      </c>
      <c r="AE60" t="s">
        <v>74</v>
      </c>
      <c r="AF60" t="s">
        <v>74</v>
      </c>
      <c r="AG60">
        <v>0</v>
      </c>
      <c r="AH60">
        <v>0</v>
      </c>
      <c r="AI60">
        <v>0</v>
      </c>
      <c r="AJ60">
        <v>0</v>
      </c>
      <c r="AK60">
        <v>0</v>
      </c>
      <c r="AL60" t="s">
        <v>1386</v>
      </c>
      <c r="AM60" t="s">
        <v>1387</v>
      </c>
      <c r="AN60" t="s">
        <v>1388</v>
      </c>
      <c r="AO60" t="s">
        <v>1389</v>
      </c>
      <c r="AP60" t="s">
        <v>74</v>
      </c>
      <c r="AQ60" t="s">
        <v>74</v>
      </c>
      <c r="AR60" t="s">
        <v>1390</v>
      </c>
      <c r="AS60" t="s">
        <v>1391</v>
      </c>
      <c r="AT60" t="s">
        <v>537</v>
      </c>
      <c r="AU60">
        <v>2022</v>
      </c>
      <c r="AV60">
        <v>66</v>
      </c>
      <c r="AW60">
        <v>3</v>
      </c>
      <c r="AX60" t="s">
        <v>74</v>
      </c>
      <c r="AY60" t="s">
        <v>74</v>
      </c>
      <c r="AZ60" t="s">
        <v>74</v>
      </c>
      <c r="BA60" t="s">
        <v>74</v>
      </c>
      <c r="BB60">
        <v>141</v>
      </c>
      <c r="BC60">
        <v>142</v>
      </c>
      <c r="BD60" t="s">
        <v>74</v>
      </c>
      <c r="BE60" t="s">
        <v>74</v>
      </c>
      <c r="BF60" t="s">
        <v>74</v>
      </c>
      <c r="BG60" t="s">
        <v>74</v>
      </c>
      <c r="BH60" t="s">
        <v>74</v>
      </c>
      <c r="BI60">
        <v>2</v>
      </c>
      <c r="BJ60" t="s">
        <v>1392</v>
      </c>
      <c r="BK60" t="s">
        <v>101</v>
      </c>
      <c r="BL60" t="s">
        <v>1392</v>
      </c>
      <c r="BM60" t="s">
        <v>1393</v>
      </c>
      <c r="BN60" t="s">
        <v>74</v>
      </c>
      <c r="BO60" t="s">
        <v>74</v>
      </c>
      <c r="BP60" t="s">
        <v>74</v>
      </c>
      <c r="BQ60" t="s">
        <v>74</v>
      </c>
      <c r="BR60" t="s">
        <v>103</v>
      </c>
      <c r="BS60" t="s">
        <v>1396</v>
      </c>
      <c r="BT60" t="str">
        <f>HYPERLINK("https%3A%2F%2Fwww.webofscience.com%2Fwos%2Fwoscc%2Ffull-record%2FWOS:000842030700010","View Full Record in Web of Science")</f>
        <v>View Full Record in Web of Science</v>
      </c>
    </row>
    <row r="61" spans="1:72" x14ac:dyDescent="0.15">
      <c r="A61" t="s">
        <v>72</v>
      </c>
      <c r="B61" t="s">
        <v>1397</v>
      </c>
      <c r="C61" t="s">
        <v>74</v>
      </c>
      <c r="D61" t="s">
        <v>74</v>
      </c>
      <c r="E61" t="s">
        <v>74</v>
      </c>
      <c r="F61" t="s">
        <v>1398</v>
      </c>
      <c r="G61" t="s">
        <v>74</v>
      </c>
      <c r="H61" t="s">
        <v>74</v>
      </c>
      <c r="I61" t="s">
        <v>1399</v>
      </c>
      <c r="J61" t="s">
        <v>1400</v>
      </c>
      <c r="K61" t="s">
        <v>74</v>
      </c>
      <c r="L61" t="s">
        <v>74</v>
      </c>
      <c r="M61" t="s">
        <v>78</v>
      </c>
      <c r="N61" t="s">
        <v>79</v>
      </c>
      <c r="O61" t="s">
        <v>74</v>
      </c>
      <c r="P61" t="s">
        <v>74</v>
      </c>
      <c r="Q61" t="s">
        <v>74</v>
      </c>
      <c r="R61" t="s">
        <v>74</v>
      </c>
      <c r="S61" t="s">
        <v>74</v>
      </c>
      <c r="T61" t="s">
        <v>1401</v>
      </c>
      <c r="U61" t="s">
        <v>1402</v>
      </c>
      <c r="V61" t="s">
        <v>1403</v>
      </c>
      <c r="W61" t="s">
        <v>1404</v>
      </c>
      <c r="X61" t="s">
        <v>1405</v>
      </c>
      <c r="Y61" t="s">
        <v>1406</v>
      </c>
      <c r="Z61" t="s">
        <v>1407</v>
      </c>
      <c r="AA61" t="s">
        <v>1408</v>
      </c>
      <c r="AB61" t="s">
        <v>1409</v>
      </c>
      <c r="AC61" t="s">
        <v>1410</v>
      </c>
      <c r="AD61" t="s">
        <v>1411</v>
      </c>
      <c r="AE61" t="s">
        <v>1412</v>
      </c>
      <c r="AF61" t="s">
        <v>74</v>
      </c>
      <c r="AG61">
        <v>166</v>
      </c>
      <c r="AH61">
        <v>12</v>
      </c>
      <c r="AI61">
        <v>12</v>
      </c>
      <c r="AJ61">
        <v>6</v>
      </c>
      <c r="AK61">
        <v>32</v>
      </c>
      <c r="AL61" t="s">
        <v>1413</v>
      </c>
      <c r="AM61" t="s">
        <v>1414</v>
      </c>
      <c r="AN61" t="s">
        <v>1415</v>
      </c>
      <c r="AO61" t="s">
        <v>1416</v>
      </c>
      <c r="AP61" t="s">
        <v>1417</v>
      </c>
      <c r="AQ61" t="s">
        <v>74</v>
      </c>
      <c r="AR61" t="s">
        <v>1418</v>
      </c>
      <c r="AS61" t="s">
        <v>1419</v>
      </c>
      <c r="AT61" t="s">
        <v>537</v>
      </c>
      <c r="AU61">
        <v>2022</v>
      </c>
      <c r="AV61">
        <v>103</v>
      </c>
      <c r="AW61">
        <v>6</v>
      </c>
      <c r="AX61" t="s">
        <v>74</v>
      </c>
      <c r="AY61" t="s">
        <v>74</v>
      </c>
      <c r="AZ61" t="s">
        <v>74</v>
      </c>
      <c r="BA61" t="s">
        <v>74</v>
      </c>
      <c r="BB61" t="s">
        <v>1420</v>
      </c>
      <c r="BC61" t="s">
        <v>1421</v>
      </c>
      <c r="BD61" t="s">
        <v>74</v>
      </c>
      <c r="BE61" t="s">
        <v>1422</v>
      </c>
      <c r="BF61" t="str">
        <f>HYPERLINK("http://dx.doi.org/10.1175/BAMS-D-21-0227.1","http://dx.doi.org/10.1175/BAMS-D-21-0227.1")</f>
        <v>http://dx.doi.org/10.1175/BAMS-D-21-0227.1</v>
      </c>
      <c r="BG61" t="s">
        <v>74</v>
      </c>
      <c r="BH61" t="s">
        <v>74</v>
      </c>
      <c r="BI61">
        <v>20</v>
      </c>
      <c r="BJ61" t="s">
        <v>510</v>
      </c>
      <c r="BK61" t="s">
        <v>101</v>
      </c>
      <c r="BL61" t="s">
        <v>510</v>
      </c>
      <c r="BM61" t="s">
        <v>1423</v>
      </c>
      <c r="BN61" t="s">
        <v>74</v>
      </c>
      <c r="BO61" t="s">
        <v>1424</v>
      </c>
      <c r="BP61" t="s">
        <v>74</v>
      </c>
      <c r="BQ61" t="s">
        <v>74</v>
      </c>
      <c r="BR61" t="s">
        <v>103</v>
      </c>
      <c r="BS61" t="s">
        <v>1425</v>
      </c>
      <c r="BT61" t="str">
        <f>HYPERLINK("https%3A%2F%2Fwww.webofscience.com%2Fwos%2Fwoscc%2Ffull-record%2FWOS:000841455200004","View Full Record in Web of Science")</f>
        <v>View Full Record in Web of Science</v>
      </c>
    </row>
    <row r="62" spans="1:72" x14ac:dyDescent="0.15">
      <c r="A62" t="s">
        <v>72</v>
      </c>
      <c r="B62" t="s">
        <v>1426</v>
      </c>
      <c r="C62" t="s">
        <v>74</v>
      </c>
      <c r="D62" t="s">
        <v>74</v>
      </c>
      <c r="E62" t="s">
        <v>74</v>
      </c>
      <c r="F62" t="s">
        <v>1427</v>
      </c>
      <c r="G62" t="s">
        <v>74</v>
      </c>
      <c r="H62" t="s">
        <v>74</v>
      </c>
      <c r="I62" t="s">
        <v>1428</v>
      </c>
      <c r="J62" t="s">
        <v>1429</v>
      </c>
      <c r="K62" t="s">
        <v>74</v>
      </c>
      <c r="L62" t="s">
        <v>74</v>
      </c>
      <c r="M62" t="s">
        <v>78</v>
      </c>
      <c r="N62" t="s">
        <v>79</v>
      </c>
      <c r="O62" t="s">
        <v>74</v>
      </c>
      <c r="P62" t="s">
        <v>74</v>
      </c>
      <c r="Q62" t="s">
        <v>74</v>
      </c>
      <c r="R62" t="s">
        <v>74</v>
      </c>
      <c r="S62" t="s">
        <v>74</v>
      </c>
      <c r="T62" t="s">
        <v>1430</v>
      </c>
      <c r="U62" t="s">
        <v>1431</v>
      </c>
      <c r="V62" t="s">
        <v>1432</v>
      </c>
      <c r="W62" t="s">
        <v>1433</v>
      </c>
      <c r="X62" t="s">
        <v>1434</v>
      </c>
      <c r="Y62" t="s">
        <v>1435</v>
      </c>
      <c r="Z62" t="s">
        <v>1436</v>
      </c>
      <c r="AA62" t="s">
        <v>1437</v>
      </c>
      <c r="AB62" t="s">
        <v>1438</v>
      </c>
      <c r="AC62" t="s">
        <v>1439</v>
      </c>
      <c r="AD62" t="s">
        <v>1440</v>
      </c>
      <c r="AE62" t="s">
        <v>1441</v>
      </c>
      <c r="AF62" t="s">
        <v>74</v>
      </c>
      <c r="AG62">
        <v>55</v>
      </c>
      <c r="AH62">
        <v>5</v>
      </c>
      <c r="AI62">
        <v>5</v>
      </c>
      <c r="AJ62">
        <v>1</v>
      </c>
      <c r="AK62">
        <v>4</v>
      </c>
      <c r="AL62" t="s">
        <v>1413</v>
      </c>
      <c r="AM62" t="s">
        <v>1414</v>
      </c>
      <c r="AN62" t="s">
        <v>1415</v>
      </c>
      <c r="AO62" t="s">
        <v>1442</v>
      </c>
      <c r="AP62" t="s">
        <v>1443</v>
      </c>
      <c r="AQ62" t="s">
        <v>74</v>
      </c>
      <c r="AR62" t="s">
        <v>1444</v>
      </c>
      <c r="AS62" t="s">
        <v>1445</v>
      </c>
      <c r="AT62" t="s">
        <v>537</v>
      </c>
      <c r="AU62">
        <v>2022</v>
      </c>
      <c r="AV62">
        <v>52</v>
      </c>
      <c r="AW62">
        <v>6</v>
      </c>
      <c r="AX62" t="s">
        <v>74</v>
      </c>
      <c r="AY62" t="s">
        <v>74</v>
      </c>
      <c r="AZ62" t="s">
        <v>74</v>
      </c>
      <c r="BA62" t="s">
        <v>74</v>
      </c>
      <c r="BB62">
        <v>1073</v>
      </c>
      <c r="BC62">
        <v>1089</v>
      </c>
      <c r="BD62" t="s">
        <v>74</v>
      </c>
      <c r="BE62" t="s">
        <v>1446</v>
      </c>
      <c r="BF62" t="str">
        <f>HYPERLINK("http://dx.doi.org/10.1175/JPO-D-21-0049.1","http://dx.doi.org/10.1175/JPO-D-21-0049.1")</f>
        <v>http://dx.doi.org/10.1175/JPO-D-21-0049.1</v>
      </c>
      <c r="BG62" t="s">
        <v>74</v>
      </c>
      <c r="BH62" t="s">
        <v>74</v>
      </c>
      <c r="BI62">
        <v>17</v>
      </c>
      <c r="BJ62" t="s">
        <v>208</v>
      </c>
      <c r="BK62" t="s">
        <v>101</v>
      </c>
      <c r="BL62" t="s">
        <v>208</v>
      </c>
      <c r="BM62" t="s">
        <v>1447</v>
      </c>
      <c r="BN62" t="s">
        <v>74</v>
      </c>
      <c r="BO62" t="s">
        <v>1448</v>
      </c>
      <c r="BP62" t="s">
        <v>74</v>
      </c>
      <c r="BQ62" t="s">
        <v>74</v>
      </c>
      <c r="BR62" t="s">
        <v>103</v>
      </c>
      <c r="BS62" t="s">
        <v>1449</v>
      </c>
      <c r="BT62" t="str">
        <f>HYPERLINK("https%3A%2F%2Fwww.webofscience.com%2Fwos%2Fwoscc%2Ffull-record%2FWOS:000839063900003","View Full Record in Web of Science")</f>
        <v>View Full Record in Web of Science</v>
      </c>
    </row>
    <row r="63" spans="1:72" x14ac:dyDescent="0.15">
      <c r="A63" t="s">
        <v>72</v>
      </c>
      <c r="B63" t="s">
        <v>1450</v>
      </c>
      <c r="C63" t="s">
        <v>74</v>
      </c>
      <c r="D63" t="s">
        <v>74</v>
      </c>
      <c r="E63" t="s">
        <v>74</v>
      </c>
      <c r="F63" t="s">
        <v>1451</v>
      </c>
      <c r="G63" t="s">
        <v>74</v>
      </c>
      <c r="H63" t="s">
        <v>74</v>
      </c>
      <c r="I63" t="s">
        <v>1452</v>
      </c>
      <c r="J63" t="s">
        <v>1429</v>
      </c>
      <c r="K63" t="s">
        <v>74</v>
      </c>
      <c r="L63" t="s">
        <v>74</v>
      </c>
      <c r="M63" t="s">
        <v>78</v>
      </c>
      <c r="N63" t="s">
        <v>79</v>
      </c>
      <c r="O63" t="s">
        <v>74</v>
      </c>
      <c r="P63" t="s">
        <v>74</v>
      </c>
      <c r="Q63" t="s">
        <v>74</v>
      </c>
      <c r="R63" t="s">
        <v>74</v>
      </c>
      <c r="S63" t="s">
        <v>74</v>
      </c>
      <c r="T63" t="s">
        <v>1453</v>
      </c>
      <c r="U63" t="s">
        <v>1454</v>
      </c>
      <c r="V63" t="s">
        <v>1455</v>
      </c>
      <c r="W63" t="s">
        <v>1456</v>
      </c>
      <c r="X63" t="s">
        <v>1457</v>
      </c>
      <c r="Y63" t="s">
        <v>1458</v>
      </c>
      <c r="Z63" t="s">
        <v>1459</v>
      </c>
      <c r="AA63" t="s">
        <v>1460</v>
      </c>
      <c r="AB63" t="s">
        <v>1461</v>
      </c>
      <c r="AC63" t="s">
        <v>1462</v>
      </c>
      <c r="AD63" t="s">
        <v>1463</v>
      </c>
      <c r="AE63" t="s">
        <v>1464</v>
      </c>
      <c r="AF63" t="s">
        <v>74</v>
      </c>
      <c r="AG63">
        <v>56</v>
      </c>
      <c r="AH63">
        <v>4</v>
      </c>
      <c r="AI63">
        <v>4</v>
      </c>
      <c r="AJ63">
        <v>4</v>
      </c>
      <c r="AK63">
        <v>14</v>
      </c>
      <c r="AL63" t="s">
        <v>1413</v>
      </c>
      <c r="AM63" t="s">
        <v>1414</v>
      </c>
      <c r="AN63" t="s">
        <v>1415</v>
      </c>
      <c r="AO63" t="s">
        <v>1442</v>
      </c>
      <c r="AP63" t="s">
        <v>1443</v>
      </c>
      <c r="AQ63" t="s">
        <v>74</v>
      </c>
      <c r="AR63" t="s">
        <v>1444</v>
      </c>
      <c r="AS63" t="s">
        <v>1445</v>
      </c>
      <c r="AT63" t="s">
        <v>537</v>
      </c>
      <c r="AU63">
        <v>2022</v>
      </c>
      <c r="AV63">
        <v>52</v>
      </c>
      <c r="AW63">
        <v>6</v>
      </c>
      <c r="AX63" t="s">
        <v>74</v>
      </c>
      <c r="AY63" t="s">
        <v>74</v>
      </c>
      <c r="AZ63" t="s">
        <v>74</v>
      </c>
      <c r="BA63" t="s">
        <v>74</v>
      </c>
      <c r="BB63">
        <v>1179</v>
      </c>
      <c r="BC63">
        <v>1189</v>
      </c>
      <c r="BD63" t="s">
        <v>74</v>
      </c>
      <c r="BE63" t="s">
        <v>1465</v>
      </c>
      <c r="BF63" t="str">
        <f>HYPERLINK("http://dx.doi.org/10.1175/JPO-D-21-0224.1","http://dx.doi.org/10.1175/JPO-D-21-0224.1")</f>
        <v>http://dx.doi.org/10.1175/JPO-D-21-0224.1</v>
      </c>
      <c r="BG63" t="s">
        <v>74</v>
      </c>
      <c r="BH63" t="s">
        <v>74</v>
      </c>
      <c r="BI63">
        <v>11</v>
      </c>
      <c r="BJ63" t="s">
        <v>208</v>
      </c>
      <c r="BK63" t="s">
        <v>101</v>
      </c>
      <c r="BL63" t="s">
        <v>208</v>
      </c>
      <c r="BM63" t="s">
        <v>1447</v>
      </c>
      <c r="BN63" t="s">
        <v>74</v>
      </c>
      <c r="BO63" t="s">
        <v>74</v>
      </c>
      <c r="BP63" t="s">
        <v>74</v>
      </c>
      <c r="BQ63" t="s">
        <v>74</v>
      </c>
      <c r="BR63" t="s">
        <v>103</v>
      </c>
      <c r="BS63" t="s">
        <v>1466</v>
      </c>
      <c r="BT63" t="str">
        <f>HYPERLINK("https%3A%2F%2Fwww.webofscience.com%2Fwos%2Fwoscc%2Ffull-record%2FWOS:000839063900008","View Full Record in Web of Science")</f>
        <v>View Full Record in Web of Science</v>
      </c>
    </row>
    <row r="64" spans="1:72" x14ac:dyDescent="0.15">
      <c r="A64" t="s">
        <v>72</v>
      </c>
      <c r="B64" t="s">
        <v>1467</v>
      </c>
      <c r="C64" t="s">
        <v>74</v>
      </c>
      <c r="D64" t="s">
        <v>74</v>
      </c>
      <c r="E64" t="s">
        <v>74</v>
      </c>
      <c r="F64" t="s">
        <v>1468</v>
      </c>
      <c r="G64" t="s">
        <v>74</v>
      </c>
      <c r="H64" t="s">
        <v>74</v>
      </c>
      <c r="I64" t="s">
        <v>1469</v>
      </c>
      <c r="J64" t="s">
        <v>1429</v>
      </c>
      <c r="K64" t="s">
        <v>74</v>
      </c>
      <c r="L64" t="s">
        <v>74</v>
      </c>
      <c r="M64" t="s">
        <v>78</v>
      </c>
      <c r="N64" t="s">
        <v>79</v>
      </c>
      <c r="O64" t="s">
        <v>74</v>
      </c>
      <c r="P64" t="s">
        <v>74</v>
      </c>
      <c r="Q64" t="s">
        <v>74</v>
      </c>
      <c r="R64" t="s">
        <v>74</v>
      </c>
      <c r="S64" t="s">
        <v>74</v>
      </c>
      <c r="T64" t="s">
        <v>1470</v>
      </c>
      <c r="U64" t="s">
        <v>1471</v>
      </c>
      <c r="V64" t="s">
        <v>1472</v>
      </c>
      <c r="W64" t="s">
        <v>1473</v>
      </c>
      <c r="X64" t="s">
        <v>1474</v>
      </c>
      <c r="Y64" t="s">
        <v>1475</v>
      </c>
      <c r="Z64" t="s">
        <v>1476</v>
      </c>
      <c r="AA64" t="s">
        <v>1477</v>
      </c>
      <c r="AB64" t="s">
        <v>1478</v>
      </c>
      <c r="AC64" t="s">
        <v>1479</v>
      </c>
      <c r="AD64" t="s">
        <v>1480</v>
      </c>
      <c r="AE64" t="s">
        <v>1481</v>
      </c>
      <c r="AF64" t="s">
        <v>74</v>
      </c>
      <c r="AG64">
        <v>51</v>
      </c>
      <c r="AH64">
        <v>2</v>
      </c>
      <c r="AI64">
        <v>2</v>
      </c>
      <c r="AJ64">
        <v>3</v>
      </c>
      <c r="AK64">
        <v>7</v>
      </c>
      <c r="AL64" t="s">
        <v>1413</v>
      </c>
      <c r="AM64" t="s">
        <v>1414</v>
      </c>
      <c r="AN64" t="s">
        <v>1415</v>
      </c>
      <c r="AO64" t="s">
        <v>1442</v>
      </c>
      <c r="AP64" t="s">
        <v>1443</v>
      </c>
      <c r="AQ64" t="s">
        <v>74</v>
      </c>
      <c r="AR64" t="s">
        <v>1444</v>
      </c>
      <c r="AS64" t="s">
        <v>1445</v>
      </c>
      <c r="AT64" t="s">
        <v>537</v>
      </c>
      <c r="AU64">
        <v>2022</v>
      </c>
      <c r="AV64">
        <v>52</v>
      </c>
      <c r="AW64">
        <v>6</v>
      </c>
      <c r="AX64" t="s">
        <v>74</v>
      </c>
      <c r="AY64" t="s">
        <v>74</v>
      </c>
      <c r="AZ64" t="s">
        <v>74</v>
      </c>
      <c r="BA64" t="s">
        <v>74</v>
      </c>
      <c r="BB64">
        <v>1295</v>
      </c>
      <c r="BC64">
        <v>1314</v>
      </c>
      <c r="BD64" t="s">
        <v>74</v>
      </c>
      <c r="BE64" t="s">
        <v>1482</v>
      </c>
      <c r="BF64" t="str">
        <f>HYPERLINK("http://dx.doi.org/10.1175/JPO-D-22-0023.1","http://dx.doi.org/10.1175/JPO-D-22-0023.1")</f>
        <v>http://dx.doi.org/10.1175/JPO-D-22-0023.1</v>
      </c>
      <c r="BG64" t="s">
        <v>74</v>
      </c>
      <c r="BH64" t="s">
        <v>74</v>
      </c>
      <c r="BI64">
        <v>20</v>
      </c>
      <c r="BJ64" t="s">
        <v>208</v>
      </c>
      <c r="BK64" t="s">
        <v>101</v>
      </c>
      <c r="BL64" t="s">
        <v>208</v>
      </c>
      <c r="BM64" t="s">
        <v>1447</v>
      </c>
      <c r="BN64" t="s">
        <v>74</v>
      </c>
      <c r="BO64" t="s">
        <v>1483</v>
      </c>
      <c r="BP64" t="s">
        <v>74</v>
      </c>
      <c r="BQ64" t="s">
        <v>74</v>
      </c>
      <c r="BR64" t="s">
        <v>103</v>
      </c>
      <c r="BS64" t="s">
        <v>1484</v>
      </c>
      <c r="BT64" t="str">
        <f>HYPERLINK("https%3A%2F%2Fwww.webofscience.com%2Fwos%2Fwoscc%2Ffull-record%2FWOS:000839063900015","View Full Record in Web of Science")</f>
        <v>View Full Record in Web of Science</v>
      </c>
    </row>
    <row r="65" spans="1:72" x14ac:dyDescent="0.15">
      <c r="A65" t="s">
        <v>72</v>
      </c>
      <c r="B65" t="s">
        <v>1485</v>
      </c>
      <c r="C65" t="s">
        <v>74</v>
      </c>
      <c r="D65" t="s">
        <v>74</v>
      </c>
      <c r="E65" t="s">
        <v>74</v>
      </c>
      <c r="F65" t="s">
        <v>1486</v>
      </c>
      <c r="G65" t="s">
        <v>74</v>
      </c>
      <c r="H65" t="s">
        <v>74</v>
      </c>
      <c r="I65" t="s">
        <v>1487</v>
      </c>
      <c r="J65" t="s">
        <v>1488</v>
      </c>
      <c r="K65" t="s">
        <v>74</v>
      </c>
      <c r="L65" t="s">
        <v>74</v>
      </c>
      <c r="M65" t="s">
        <v>78</v>
      </c>
      <c r="N65" t="s">
        <v>79</v>
      </c>
      <c r="O65" t="s">
        <v>74</v>
      </c>
      <c r="P65" t="s">
        <v>74</v>
      </c>
      <c r="Q65" t="s">
        <v>74</v>
      </c>
      <c r="R65" t="s">
        <v>74</v>
      </c>
      <c r="S65" t="s">
        <v>74</v>
      </c>
      <c r="T65" t="s">
        <v>74</v>
      </c>
      <c r="U65" t="s">
        <v>1489</v>
      </c>
      <c r="V65" t="s">
        <v>1490</v>
      </c>
      <c r="W65" t="s">
        <v>1491</v>
      </c>
      <c r="X65" t="s">
        <v>1492</v>
      </c>
      <c r="Y65" t="s">
        <v>1493</v>
      </c>
      <c r="Z65" t="s">
        <v>1494</v>
      </c>
      <c r="AA65" t="s">
        <v>74</v>
      </c>
      <c r="AB65" t="s">
        <v>1495</v>
      </c>
      <c r="AC65" t="s">
        <v>1496</v>
      </c>
      <c r="AD65" t="s">
        <v>1497</v>
      </c>
      <c r="AE65" t="s">
        <v>1498</v>
      </c>
      <c r="AF65" t="s">
        <v>74</v>
      </c>
      <c r="AG65">
        <v>276</v>
      </c>
      <c r="AH65">
        <v>13</v>
      </c>
      <c r="AI65">
        <v>13</v>
      </c>
      <c r="AJ65">
        <v>7</v>
      </c>
      <c r="AK65">
        <v>25</v>
      </c>
      <c r="AL65" t="s">
        <v>1499</v>
      </c>
      <c r="AM65" t="s">
        <v>1500</v>
      </c>
      <c r="AN65" t="s">
        <v>1501</v>
      </c>
      <c r="AO65" t="s">
        <v>1502</v>
      </c>
      <c r="AP65" t="s">
        <v>1503</v>
      </c>
      <c r="AQ65" t="s">
        <v>74</v>
      </c>
      <c r="AR65" t="s">
        <v>1488</v>
      </c>
      <c r="AS65" t="s">
        <v>1504</v>
      </c>
      <c r="AT65" t="s">
        <v>537</v>
      </c>
      <c r="AU65">
        <v>2022</v>
      </c>
      <c r="AV65">
        <v>37</v>
      </c>
      <c r="AW65">
        <v>6</v>
      </c>
      <c r="AX65" t="s">
        <v>74</v>
      </c>
      <c r="AY65" t="s">
        <v>74</v>
      </c>
      <c r="AZ65" t="s">
        <v>74</v>
      </c>
      <c r="BA65" t="s">
        <v>74</v>
      </c>
      <c r="BB65">
        <v>292</v>
      </c>
      <c r="BC65">
        <v>317</v>
      </c>
      <c r="BD65" t="s">
        <v>74</v>
      </c>
      <c r="BE65" t="s">
        <v>1505</v>
      </c>
      <c r="BF65" t="str">
        <f>HYPERLINK("http://dx.doi.org/10.2110/palo.2021.051","http://dx.doi.org/10.2110/palo.2021.051")</f>
        <v>http://dx.doi.org/10.2110/palo.2021.051</v>
      </c>
      <c r="BG65" t="s">
        <v>74</v>
      </c>
      <c r="BH65" t="s">
        <v>74</v>
      </c>
      <c r="BI65">
        <v>26</v>
      </c>
      <c r="BJ65" t="s">
        <v>1506</v>
      </c>
      <c r="BK65" t="s">
        <v>101</v>
      </c>
      <c r="BL65" t="s">
        <v>1506</v>
      </c>
      <c r="BM65" t="s">
        <v>1507</v>
      </c>
      <c r="BN65" t="s">
        <v>74</v>
      </c>
      <c r="BO65" t="s">
        <v>590</v>
      </c>
      <c r="BP65" t="s">
        <v>74</v>
      </c>
      <c r="BQ65" t="s">
        <v>74</v>
      </c>
      <c r="BR65" t="s">
        <v>103</v>
      </c>
      <c r="BS65" t="s">
        <v>1508</v>
      </c>
      <c r="BT65" t="str">
        <f>HYPERLINK("https%3A%2F%2Fwww.webofscience.com%2Fwos%2Fwoscc%2Ffull-record%2FWOS:000836795700002","View Full Record in Web of Science")</f>
        <v>View Full Record in Web of Science</v>
      </c>
    </row>
    <row r="66" spans="1:72" x14ac:dyDescent="0.15">
      <c r="A66" t="s">
        <v>72</v>
      </c>
      <c r="B66" t="s">
        <v>1509</v>
      </c>
      <c r="C66" t="s">
        <v>74</v>
      </c>
      <c r="D66" t="s">
        <v>74</v>
      </c>
      <c r="E66" t="s">
        <v>74</v>
      </c>
      <c r="F66" t="s">
        <v>1510</v>
      </c>
      <c r="G66" t="s">
        <v>74</v>
      </c>
      <c r="H66" t="s">
        <v>74</v>
      </c>
      <c r="I66" t="s">
        <v>1511</v>
      </c>
      <c r="J66" t="s">
        <v>1512</v>
      </c>
      <c r="K66" t="s">
        <v>74</v>
      </c>
      <c r="L66" t="s">
        <v>74</v>
      </c>
      <c r="M66" t="s">
        <v>78</v>
      </c>
      <c r="N66" t="s">
        <v>79</v>
      </c>
      <c r="O66" t="s">
        <v>74</v>
      </c>
      <c r="P66" t="s">
        <v>74</v>
      </c>
      <c r="Q66" t="s">
        <v>74</v>
      </c>
      <c r="R66" t="s">
        <v>74</v>
      </c>
      <c r="S66" t="s">
        <v>74</v>
      </c>
      <c r="T66" t="s">
        <v>1513</v>
      </c>
      <c r="U66" t="s">
        <v>1514</v>
      </c>
      <c r="V66" t="s">
        <v>1515</v>
      </c>
      <c r="W66" t="s">
        <v>1516</v>
      </c>
      <c r="X66" t="s">
        <v>1517</v>
      </c>
      <c r="Y66" t="s">
        <v>1518</v>
      </c>
      <c r="Z66" t="s">
        <v>74</v>
      </c>
      <c r="AA66" t="s">
        <v>1519</v>
      </c>
      <c r="AB66" t="s">
        <v>1520</v>
      </c>
      <c r="AC66" t="s">
        <v>1521</v>
      </c>
      <c r="AD66" t="s">
        <v>1522</v>
      </c>
      <c r="AE66" t="s">
        <v>1523</v>
      </c>
      <c r="AF66" t="s">
        <v>74</v>
      </c>
      <c r="AG66">
        <v>103</v>
      </c>
      <c r="AH66">
        <v>1</v>
      </c>
      <c r="AI66">
        <v>1</v>
      </c>
      <c r="AJ66">
        <v>2</v>
      </c>
      <c r="AK66">
        <v>21</v>
      </c>
      <c r="AL66" t="s">
        <v>1524</v>
      </c>
      <c r="AM66" t="s">
        <v>1525</v>
      </c>
      <c r="AN66" t="s">
        <v>1526</v>
      </c>
      <c r="AO66" t="s">
        <v>1527</v>
      </c>
      <c r="AP66" t="s">
        <v>74</v>
      </c>
      <c r="AQ66" t="s">
        <v>74</v>
      </c>
      <c r="AR66" t="s">
        <v>1528</v>
      </c>
      <c r="AS66" t="s">
        <v>1529</v>
      </c>
      <c r="AT66" t="s">
        <v>537</v>
      </c>
      <c r="AU66">
        <v>2022</v>
      </c>
      <c r="AV66">
        <v>27</v>
      </c>
      <c r="AW66">
        <v>2</v>
      </c>
      <c r="AX66" t="s">
        <v>74</v>
      </c>
      <c r="AY66" t="s">
        <v>74</v>
      </c>
      <c r="AZ66" t="s">
        <v>74</v>
      </c>
      <c r="BA66" t="s">
        <v>74</v>
      </c>
      <c r="BB66" t="s">
        <v>74</v>
      </c>
      <c r="BC66" t="s">
        <v>74</v>
      </c>
      <c r="BD66">
        <v>14</v>
      </c>
      <c r="BE66" t="s">
        <v>1530</v>
      </c>
      <c r="BF66" t="str">
        <f>HYPERLINK("http://dx.doi.org/10.5751/ES-13147-270214","http://dx.doi.org/10.5751/ES-13147-270214")</f>
        <v>http://dx.doi.org/10.5751/ES-13147-270214</v>
      </c>
      <c r="BG66" t="s">
        <v>74</v>
      </c>
      <c r="BH66" t="s">
        <v>74</v>
      </c>
      <c r="BI66">
        <v>27</v>
      </c>
      <c r="BJ66" t="s">
        <v>1531</v>
      </c>
      <c r="BK66" t="s">
        <v>956</v>
      </c>
      <c r="BL66" t="s">
        <v>840</v>
      </c>
      <c r="BM66" t="s">
        <v>1532</v>
      </c>
      <c r="BN66" t="s">
        <v>74</v>
      </c>
      <c r="BO66" t="s">
        <v>1533</v>
      </c>
      <c r="BP66" t="s">
        <v>74</v>
      </c>
      <c r="BQ66" t="s">
        <v>74</v>
      </c>
      <c r="BR66" t="s">
        <v>103</v>
      </c>
      <c r="BS66" t="s">
        <v>1534</v>
      </c>
      <c r="BT66" t="str">
        <f>HYPERLINK("https%3A%2F%2Fwww.webofscience.com%2Fwos%2Fwoscc%2Ffull-record%2FWOS:000828540400006","View Full Record in Web of Science")</f>
        <v>View Full Record in Web of Science</v>
      </c>
    </row>
    <row r="67" spans="1:72" x14ac:dyDescent="0.15">
      <c r="A67" t="s">
        <v>72</v>
      </c>
      <c r="B67" t="s">
        <v>1535</v>
      </c>
      <c r="C67" t="s">
        <v>74</v>
      </c>
      <c r="D67" t="s">
        <v>74</v>
      </c>
      <c r="E67" t="s">
        <v>74</v>
      </c>
      <c r="F67" t="s">
        <v>1536</v>
      </c>
      <c r="G67" t="s">
        <v>74</v>
      </c>
      <c r="H67" t="s">
        <v>74</v>
      </c>
      <c r="I67" t="s">
        <v>1537</v>
      </c>
      <c r="J67" t="s">
        <v>1538</v>
      </c>
      <c r="K67" t="s">
        <v>74</v>
      </c>
      <c r="L67" t="s">
        <v>74</v>
      </c>
      <c r="M67" t="s">
        <v>78</v>
      </c>
      <c r="N67" t="s">
        <v>79</v>
      </c>
      <c r="O67" t="s">
        <v>74</v>
      </c>
      <c r="P67" t="s">
        <v>74</v>
      </c>
      <c r="Q67" t="s">
        <v>74</v>
      </c>
      <c r="R67" t="s">
        <v>74</v>
      </c>
      <c r="S67" t="s">
        <v>74</v>
      </c>
      <c r="T67" t="s">
        <v>1539</v>
      </c>
      <c r="U67" t="s">
        <v>1540</v>
      </c>
      <c r="V67" t="s">
        <v>1541</v>
      </c>
      <c r="W67" t="s">
        <v>1542</v>
      </c>
      <c r="X67" t="s">
        <v>1543</v>
      </c>
      <c r="Y67" t="s">
        <v>1544</v>
      </c>
      <c r="Z67" t="s">
        <v>1545</v>
      </c>
      <c r="AA67" t="s">
        <v>1546</v>
      </c>
      <c r="AB67" t="s">
        <v>1547</v>
      </c>
      <c r="AC67" t="s">
        <v>1548</v>
      </c>
      <c r="AD67" t="s">
        <v>1549</v>
      </c>
      <c r="AE67" t="s">
        <v>1550</v>
      </c>
      <c r="AF67" t="s">
        <v>74</v>
      </c>
      <c r="AG67">
        <v>108</v>
      </c>
      <c r="AH67">
        <v>1</v>
      </c>
      <c r="AI67">
        <v>1</v>
      </c>
      <c r="AJ67">
        <v>2</v>
      </c>
      <c r="AK67">
        <v>13</v>
      </c>
      <c r="AL67" t="s">
        <v>1551</v>
      </c>
      <c r="AM67" t="s">
        <v>1552</v>
      </c>
      <c r="AN67" t="s">
        <v>1553</v>
      </c>
      <c r="AO67" t="s">
        <v>1554</v>
      </c>
      <c r="AP67" t="s">
        <v>1555</v>
      </c>
      <c r="AQ67" t="s">
        <v>74</v>
      </c>
      <c r="AR67" t="s">
        <v>1556</v>
      </c>
      <c r="AS67" t="s">
        <v>1557</v>
      </c>
      <c r="AT67" t="s">
        <v>537</v>
      </c>
      <c r="AU67">
        <v>2022</v>
      </c>
      <c r="AV67">
        <v>73</v>
      </c>
      <c r="AW67">
        <v>3</v>
      </c>
      <c r="AX67" t="s">
        <v>74</v>
      </c>
      <c r="AY67" t="s">
        <v>74</v>
      </c>
      <c r="AZ67" t="s">
        <v>74</v>
      </c>
      <c r="BA67" t="s">
        <v>74</v>
      </c>
      <c r="BB67">
        <v>231</v>
      </c>
      <c r="BC67">
        <v>244</v>
      </c>
      <c r="BD67" t="s">
        <v>74</v>
      </c>
      <c r="BE67" t="s">
        <v>1558</v>
      </c>
      <c r="BF67" t="str">
        <f>HYPERLINK("http://dx.doi.org/10.31577/GeolCarp.73.3.4","http://dx.doi.org/10.31577/GeolCarp.73.3.4")</f>
        <v>http://dx.doi.org/10.31577/GeolCarp.73.3.4</v>
      </c>
      <c r="BG67" t="s">
        <v>74</v>
      </c>
      <c r="BH67" t="s">
        <v>74</v>
      </c>
      <c r="BI67">
        <v>14</v>
      </c>
      <c r="BJ67" t="s">
        <v>265</v>
      </c>
      <c r="BK67" t="s">
        <v>101</v>
      </c>
      <c r="BL67" t="s">
        <v>100</v>
      </c>
      <c r="BM67" t="s">
        <v>1559</v>
      </c>
      <c r="BN67" t="s">
        <v>74</v>
      </c>
      <c r="BO67" t="s">
        <v>438</v>
      </c>
      <c r="BP67" t="s">
        <v>74</v>
      </c>
      <c r="BQ67" t="s">
        <v>74</v>
      </c>
      <c r="BR67" t="s">
        <v>103</v>
      </c>
      <c r="BS67" t="s">
        <v>1560</v>
      </c>
      <c r="BT67" t="str">
        <f>HYPERLINK("https%3A%2F%2Fwww.webofscience.com%2Fwos%2Fwoscc%2Ffull-record%2FWOS:000829232000004","View Full Record in Web of Science")</f>
        <v>View Full Record in Web of Science</v>
      </c>
    </row>
    <row r="68" spans="1:72" x14ac:dyDescent="0.15">
      <c r="A68" t="s">
        <v>72</v>
      </c>
      <c r="B68" t="s">
        <v>1561</v>
      </c>
      <c r="C68" t="s">
        <v>74</v>
      </c>
      <c r="D68" t="s">
        <v>74</v>
      </c>
      <c r="E68" t="s">
        <v>74</v>
      </c>
      <c r="F68" t="s">
        <v>1562</v>
      </c>
      <c r="G68" t="s">
        <v>74</v>
      </c>
      <c r="H68" t="s">
        <v>74</v>
      </c>
      <c r="I68" t="s">
        <v>1563</v>
      </c>
      <c r="J68" t="s">
        <v>692</v>
      </c>
      <c r="K68" t="s">
        <v>74</v>
      </c>
      <c r="L68" t="s">
        <v>74</v>
      </c>
      <c r="M68" t="s">
        <v>78</v>
      </c>
      <c r="N68" t="s">
        <v>190</v>
      </c>
      <c r="O68" t="s">
        <v>74</v>
      </c>
      <c r="P68" t="s">
        <v>74</v>
      </c>
      <c r="Q68" t="s">
        <v>74</v>
      </c>
      <c r="R68" t="s">
        <v>74</v>
      </c>
      <c r="S68" t="s">
        <v>74</v>
      </c>
      <c r="T68" t="s">
        <v>74</v>
      </c>
      <c r="U68" t="s">
        <v>74</v>
      </c>
      <c r="V68" t="s">
        <v>74</v>
      </c>
      <c r="W68" t="s">
        <v>1564</v>
      </c>
      <c r="X68" t="s">
        <v>1565</v>
      </c>
      <c r="Y68" t="s">
        <v>1566</v>
      </c>
      <c r="Z68" t="s">
        <v>74</v>
      </c>
      <c r="AA68" t="s">
        <v>1567</v>
      </c>
      <c r="AB68" t="s">
        <v>1568</v>
      </c>
      <c r="AC68" t="s">
        <v>74</v>
      </c>
      <c r="AD68" t="s">
        <v>74</v>
      </c>
      <c r="AE68" t="s">
        <v>74</v>
      </c>
      <c r="AF68" t="s">
        <v>74</v>
      </c>
      <c r="AG68">
        <v>10</v>
      </c>
      <c r="AH68">
        <v>1</v>
      </c>
      <c r="AI68">
        <v>1</v>
      </c>
      <c r="AJ68">
        <v>1</v>
      </c>
      <c r="AK68">
        <v>3</v>
      </c>
      <c r="AL68" t="s">
        <v>428</v>
      </c>
      <c r="AM68" t="s">
        <v>531</v>
      </c>
      <c r="AN68" t="s">
        <v>748</v>
      </c>
      <c r="AO68" t="s">
        <v>703</v>
      </c>
      <c r="AP68" t="s">
        <v>704</v>
      </c>
      <c r="AQ68" t="s">
        <v>74</v>
      </c>
      <c r="AR68" t="s">
        <v>705</v>
      </c>
      <c r="AS68" t="s">
        <v>706</v>
      </c>
      <c r="AT68" t="s">
        <v>537</v>
      </c>
      <c r="AU68">
        <v>2022</v>
      </c>
      <c r="AV68">
        <v>34</v>
      </c>
      <c r="AW68">
        <v>3</v>
      </c>
      <c r="AX68" t="s">
        <v>74</v>
      </c>
      <c r="AY68" t="s">
        <v>74</v>
      </c>
      <c r="AZ68" t="s">
        <v>74</v>
      </c>
      <c r="BA68" t="s">
        <v>74</v>
      </c>
      <c r="BB68">
        <v>205</v>
      </c>
      <c r="BC68">
        <v>207</v>
      </c>
      <c r="BD68" t="s">
        <v>74</v>
      </c>
      <c r="BE68" t="s">
        <v>1569</v>
      </c>
      <c r="BF68" t="str">
        <f>HYPERLINK("http://dx.doi.org/10.1017/S095410202200027X","http://dx.doi.org/10.1017/S095410202200027X")</f>
        <v>http://dx.doi.org/10.1017/S095410202200027X</v>
      </c>
      <c r="BG68" t="s">
        <v>74</v>
      </c>
      <c r="BH68" t="s">
        <v>74</v>
      </c>
      <c r="BI68">
        <v>3</v>
      </c>
      <c r="BJ68" t="s">
        <v>708</v>
      </c>
      <c r="BK68" t="s">
        <v>101</v>
      </c>
      <c r="BL68" t="s">
        <v>709</v>
      </c>
      <c r="BM68" t="s">
        <v>1570</v>
      </c>
      <c r="BN68" t="s">
        <v>74</v>
      </c>
      <c r="BO68" t="s">
        <v>1483</v>
      </c>
      <c r="BP68" t="s">
        <v>74</v>
      </c>
      <c r="BQ68" t="s">
        <v>74</v>
      </c>
      <c r="BR68" t="s">
        <v>103</v>
      </c>
      <c r="BS68" t="s">
        <v>1571</v>
      </c>
      <c r="BT68" t="str">
        <f>HYPERLINK("https%3A%2F%2Fwww.webofscience.com%2Fwos%2Fwoscc%2Ffull-record%2FWOS:000828172500003","View Full Record in Web of Science")</f>
        <v>View Full Record in Web of Science</v>
      </c>
    </row>
    <row r="69" spans="1:72" x14ac:dyDescent="0.15">
      <c r="A69" t="s">
        <v>72</v>
      </c>
      <c r="B69" t="s">
        <v>1572</v>
      </c>
      <c r="C69" t="s">
        <v>74</v>
      </c>
      <c r="D69" t="s">
        <v>74</v>
      </c>
      <c r="E69" t="s">
        <v>74</v>
      </c>
      <c r="F69" t="s">
        <v>1573</v>
      </c>
      <c r="G69" t="s">
        <v>74</v>
      </c>
      <c r="H69" t="s">
        <v>74</v>
      </c>
      <c r="I69" t="s">
        <v>1574</v>
      </c>
      <c r="J69" t="s">
        <v>1575</v>
      </c>
      <c r="K69" t="s">
        <v>74</v>
      </c>
      <c r="L69" t="s">
        <v>74</v>
      </c>
      <c r="M69" t="s">
        <v>78</v>
      </c>
      <c r="N69" t="s">
        <v>79</v>
      </c>
      <c r="O69" t="s">
        <v>74</v>
      </c>
      <c r="P69" t="s">
        <v>74</v>
      </c>
      <c r="Q69" t="s">
        <v>74</v>
      </c>
      <c r="R69" t="s">
        <v>74</v>
      </c>
      <c r="S69" t="s">
        <v>74</v>
      </c>
      <c r="T69" t="s">
        <v>74</v>
      </c>
      <c r="U69" t="s">
        <v>1576</v>
      </c>
      <c r="V69" t="s">
        <v>1577</v>
      </c>
      <c r="W69" t="s">
        <v>1578</v>
      </c>
      <c r="X69" t="s">
        <v>1579</v>
      </c>
      <c r="Y69" t="s">
        <v>1580</v>
      </c>
      <c r="Z69" t="s">
        <v>1581</v>
      </c>
      <c r="AA69" t="s">
        <v>1582</v>
      </c>
      <c r="AB69" t="s">
        <v>1583</v>
      </c>
      <c r="AC69" t="s">
        <v>1584</v>
      </c>
      <c r="AD69" t="s">
        <v>1585</v>
      </c>
      <c r="AE69" t="s">
        <v>1586</v>
      </c>
      <c r="AF69" t="s">
        <v>74</v>
      </c>
      <c r="AG69">
        <v>81</v>
      </c>
      <c r="AH69">
        <v>9</v>
      </c>
      <c r="AI69">
        <v>10</v>
      </c>
      <c r="AJ69">
        <v>1</v>
      </c>
      <c r="AK69">
        <v>16</v>
      </c>
      <c r="AL69" t="s">
        <v>1587</v>
      </c>
      <c r="AM69" t="s">
        <v>1588</v>
      </c>
      <c r="AN69" t="s">
        <v>1589</v>
      </c>
      <c r="AO69" t="s">
        <v>1590</v>
      </c>
      <c r="AP69" t="s">
        <v>1591</v>
      </c>
      <c r="AQ69" t="s">
        <v>74</v>
      </c>
      <c r="AR69" t="s">
        <v>1592</v>
      </c>
      <c r="AS69" t="s">
        <v>1593</v>
      </c>
      <c r="AT69" t="s">
        <v>537</v>
      </c>
      <c r="AU69">
        <v>2022</v>
      </c>
      <c r="AV69">
        <v>20</v>
      </c>
      <c r="AW69">
        <v>6</v>
      </c>
      <c r="AX69" t="s">
        <v>74</v>
      </c>
      <c r="AY69" t="s">
        <v>74</v>
      </c>
      <c r="AZ69" t="s">
        <v>74</v>
      </c>
      <c r="BA69" t="s">
        <v>74</v>
      </c>
      <c r="BB69" t="s">
        <v>74</v>
      </c>
      <c r="BC69" t="s">
        <v>74</v>
      </c>
      <c r="BD69" t="s">
        <v>1594</v>
      </c>
      <c r="BE69" t="s">
        <v>1595</v>
      </c>
      <c r="BF69" t="str">
        <f>HYPERLINK("http://dx.doi.org/10.1371/journal.pbio.3001640","http://dx.doi.org/10.1371/journal.pbio.3001640")</f>
        <v>http://dx.doi.org/10.1371/journal.pbio.3001640</v>
      </c>
      <c r="BG69" t="s">
        <v>74</v>
      </c>
      <c r="BH69" t="s">
        <v>74</v>
      </c>
      <c r="BI69">
        <v>22</v>
      </c>
      <c r="BJ69" t="s">
        <v>1596</v>
      </c>
      <c r="BK69" t="s">
        <v>101</v>
      </c>
      <c r="BL69" t="s">
        <v>1597</v>
      </c>
      <c r="BM69" t="s">
        <v>1598</v>
      </c>
      <c r="BN69">
        <v>35671265</v>
      </c>
      <c r="BO69" t="s">
        <v>410</v>
      </c>
      <c r="BP69" t="s">
        <v>74</v>
      </c>
      <c r="BQ69" t="s">
        <v>74</v>
      </c>
      <c r="BR69" t="s">
        <v>103</v>
      </c>
      <c r="BS69" t="s">
        <v>1599</v>
      </c>
      <c r="BT69" t="str">
        <f>HYPERLINK("https%3A%2F%2Fwww.webofscience.com%2Fwos%2Fwoscc%2Ffull-record%2FWOS:000827717700002","View Full Record in Web of Science")</f>
        <v>View Full Record in Web of Science</v>
      </c>
    </row>
    <row r="70" spans="1:72" x14ac:dyDescent="0.15">
      <c r="A70" t="s">
        <v>72</v>
      </c>
      <c r="B70" t="s">
        <v>1600</v>
      </c>
      <c r="C70" t="s">
        <v>74</v>
      </c>
      <c r="D70" t="s">
        <v>74</v>
      </c>
      <c r="E70" t="s">
        <v>74</v>
      </c>
      <c r="F70" t="s">
        <v>1601</v>
      </c>
      <c r="G70" t="s">
        <v>74</v>
      </c>
      <c r="H70" t="s">
        <v>74</v>
      </c>
      <c r="I70" t="s">
        <v>1602</v>
      </c>
      <c r="J70" t="s">
        <v>1603</v>
      </c>
      <c r="K70" t="s">
        <v>74</v>
      </c>
      <c r="L70" t="s">
        <v>74</v>
      </c>
      <c r="M70" t="s">
        <v>78</v>
      </c>
      <c r="N70" t="s">
        <v>79</v>
      </c>
      <c r="O70" t="s">
        <v>74</v>
      </c>
      <c r="P70" t="s">
        <v>74</v>
      </c>
      <c r="Q70" t="s">
        <v>74</v>
      </c>
      <c r="R70" t="s">
        <v>74</v>
      </c>
      <c r="S70" t="s">
        <v>74</v>
      </c>
      <c r="T70" t="s">
        <v>1604</v>
      </c>
      <c r="U70" t="s">
        <v>1605</v>
      </c>
      <c r="V70" t="s">
        <v>1606</v>
      </c>
      <c r="W70" t="s">
        <v>1607</v>
      </c>
      <c r="X70" t="s">
        <v>1608</v>
      </c>
      <c r="Y70" t="s">
        <v>1609</v>
      </c>
      <c r="Z70" t="s">
        <v>1610</v>
      </c>
      <c r="AA70" t="s">
        <v>1611</v>
      </c>
      <c r="AB70" t="s">
        <v>1612</v>
      </c>
      <c r="AC70" t="s">
        <v>1613</v>
      </c>
      <c r="AD70" t="s">
        <v>1614</v>
      </c>
      <c r="AE70" t="s">
        <v>1615</v>
      </c>
      <c r="AF70" t="s">
        <v>74</v>
      </c>
      <c r="AG70">
        <v>33</v>
      </c>
      <c r="AH70">
        <v>5</v>
      </c>
      <c r="AI70">
        <v>5</v>
      </c>
      <c r="AJ70">
        <v>0</v>
      </c>
      <c r="AK70">
        <v>5</v>
      </c>
      <c r="AL70" t="s">
        <v>1616</v>
      </c>
      <c r="AM70" t="s">
        <v>1617</v>
      </c>
      <c r="AN70" t="s">
        <v>1618</v>
      </c>
      <c r="AO70" t="s">
        <v>1619</v>
      </c>
      <c r="AP70" t="s">
        <v>1620</v>
      </c>
      <c r="AQ70" t="s">
        <v>74</v>
      </c>
      <c r="AR70" t="s">
        <v>1621</v>
      </c>
      <c r="AS70" t="s">
        <v>1622</v>
      </c>
      <c r="AT70" t="s">
        <v>537</v>
      </c>
      <c r="AU70">
        <v>2022</v>
      </c>
      <c r="AV70">
        <v>37</v>
      </c>
      <c r="AW70">
        <v>2</v>
      </c>
      <c r="AX70" t="s">
        <v>74</v>
      </c>
      <c r="AY70" t="s">
        <v>74</v>
      </c>
      <c r="AZ70" t="s">
        <v>74</v>
      </c>
      <c r="BA70" t="s">
        <v>74</v>
      </c>
      <c r="BB70">
        <v>175</v>
      </c>
      <c r="BC70">
        <v>183</v>
      </c>
      <c r="BD70" t="s">
        <v>74</v>
      </c>
      <c r="BE70" t="s">
        <v>1623</v>
      </c>
      <c r="BF70" t="str">
        <f>HYPERLINK("http://dx.doi.org/10.4490/algae.2022.37.4.1","http://dx.doi.org/10.4490/algae.2022.37.4.1")</f>
        <v>http://dx.doi.org/10.4490/algae.2022.37.4.1</v>
      </c>
      <c r="BG70" t="s">
        <v>74</v>
      </c>
      <c r="BH70" t="s">
        <v>74</v>
      </c>
      <c r="BI70">
        <v>9</v>
      </c>
      <c r="BJ70" t="s">
        <v>1624</v>
      </c>
      <c r="BK70" t="s">
        <v>101</v>
      </c>
      <c r="BL70" t="s">
        <v>1624</v>
      </c>
      <c r="BM70" t="s">
        <v>1625</v>
      </c>
      <c r="BN70" t="s">
        <v>74</v>
      </c>
      <c r="BO70" t="s">
        <v>438</v>
      </c>
      <c r="BP70" t="s">
        <v>74</v>
      </c>
      <c r="BQ70" t="s">
        <v>74</v>
      </c>
      <c r="BR70" t="s">
        <v>103</v>
      </c>
      <c r="BS70" t="s">
        <v>1626</v>
      </c>
      <c r="BT70" t="str">
        <f>HYPERLINK("https%3A%2F%2Fwww.webofscience.com%2Fwos%2Fwoscc%2Ffull-record%2FWOS:000825323600007","View Full Record in Web of Science")</f>
        <v>View Full Record in Web of Science</v>
      </c>
    </row>
    <row r="71" spans="1:72" x14ac:dyDescent="0.15">
      <c r="A71" t="s">
        <v>72</v>
      </c>
      <c r="B71" t="s">
        <v>1627</v>
      </c>
      <c r="C71" t="s">
        <v>74</v>
      </c>
      <c r="D71" t="s">
        <v>74</v>
      </c>
      <c r="E71" t="s">
        <v>74</v>
      </c>
      <c r="F71" t="s">
        <v>1628</v>
      </c>
      <c r="G71" t="s">
        <v>74</v>
      </c>
      <c r="H71" t="s">
        <v>74</v>
      </c>
      <c r="I71" t="s">
        <v>1629</v>
      </c>
      <c r="J71" t="s">
        <v>1630</v>
      </c>
      <c r="K71" t="s">
        <v>74</v>
      </c>
      <c r="L71" t="s">
        <v>74</v>
      </c>
      <c r="M71" t="s">
        <v>78</v>
      </c>
      <c r="N71" t="s">
        <v>79</v>
      </c>
      <c r="O71" t="s">
        <v>74</v>
      </c>
      <c r="P71" t="s">
        <v>74</v>
      </c>
      <c r="Q71" t="s">
        <v>74</v>
      </c>
      <c r="R71" t="s">
        <v>74</v>
      </c>
      <c r="S71" t="s">
        <v>74</v>
      </c>
      <c r="T71" t="s">
        <v>1631</v>
      </c>
      <c r="U71" t="s">
        <v>1632</v>
      </c>
      <c r="V71" t="s">
        <v>1633</v>
      </c>
      <c r="W71" t="s">
        <v>1634</v>
      </c>
      <c r="X71" t="s">
        <v>1635</v>
      </c>
      <c r="Y71" t="s">
        <v>1636</v>
      </c>
      <c r="Z71" t="s">
        <v>1637</v>
      </c>
      <c r="AA71" t="s">
        <v>1638</v>
      </c>
      <c r="AB71" t="s">
        <v>1639</v>
      </c>
      <c r="AC71" t="s">
        <v>1640</v>
      </c>
      <c r="AD71" t="s">
        <v>1641</v>
      </c>
      <c r="AE71" t="s">
        <v>1642</v>
      </c>
      <c r="AF71" t="s">
        <v>74</v>
      </c>
      <c r="AG71">
        <v>33</v>
      </c>
      <c r="AH71">
        <v>3</v>
      </c>
      <c r="AI71">
        <v>3</v>
      </c>
      <c r="AJ71">
        <v>0</v>
      </c>
      <c r="AK71">
        <v>4</v>
      </c>
      <c r="AL71" t="s">
        <v>1643</v>
      </c>
      <c r="AM71" t="s">
        <v>1644</v>
      </c>
      <c r="AN71" t="s">
        <v>1645</v>
      </c>
      <c r="AO71" t="s">
        <v>1646</v>
      </c>
      <c r="AP71" t="s">
        <v>74</v>
      </c>
      <c r="AQ71" t="s">
        <v>74</v>
      </c>
      <c r="AR71" t="s">
        <v>1630</v>
      </c>
      <c r="AS71" t="s">
        <v>1647</v>
      </c>
      <c r="AT71" t="s">
        <v>537</v>
      </c>
      <c r="AU71">
        <v>2022</v>
      </c>
      <c r="AV71">
        <v>35</v>
      </c>
      <c r="AW71">
        <v>1</v>
      </c>
      <c r="AX71" t="s">
        <v>74</v>
      </c>
      <c r="AY71" t="s">
        <v>74</v>
      </c>
      <c r="AZ71" t="s">
        <v>74</v>
      </c>
      <c r="BA71" t="s">
        <v>74</v>
      </c>
      <c r="BB71">
        <v>105</v>
      </c>
      <c r="BC71">
        <v>114</v>
      </c>
      <c r="BD71" t="s">
        <v>74</v>
      </c>
      <c r="BE71" t="s">
        <v>1648</v>
      </c>
      <c r="BF71" t="str">
        <f>HYPERLINK("http://dx.doi.org/10.13158/heia.35.1.2022.105","http://dx.doi.org/10.13158/heia.35.1.2022.105")</f>
        <v>http://dx.doi.org/10.13158/heia.35.1.2022.105</v>
      </c>
      <c r="BG71" t="s">
        <v>74</v>
      </c>
      <c r="BH71" t="s">
        <v>74</v>
      </c>
      <c r="BI71">
        <v>10</v>
      </c>
      <c r="BJ71" t="s">
        <v>1649</v>
      </c>
      <c r="BK71" t="s">
        <v>101</v>
      </c>
      <c r="BL71" t="s">
        <v>1649</v>
      </c>
      <c r="BM71" t="s">
        <v>1650</v>
      </c>
      <c r="BN71" t="s">
        <v>74</v>
      </c>
      <c r="BO71" t="s">
        <v>74</v>
      </c>
      <c r="BP71" t="s">
        <v>74</v>
      </c>
      <c r="BQ71" t="s">
        <v>74</v>
      </c>
      <c r="BR71" t="s">
        <v>103</v>
      </c>
      <c r="BS71" t="s">
        <v>1651</v>
      </c>
      <c r="BT71" t="str">
        <f>HYPERLINK("https%3A%2F%2Fwww.webofscience.com%2Fwos%2Fwoscc%2Ffull-record%2FWOS:000823584700007","View Full Record in Web of Science")</f>
        <v>View Full Record in Web of Science</v>
      </c>
    </row>
    <row r="72" spans="1:72" x14ac:dyDescent="0.15">
      <c r="A72" t="s">
        <v>72</v>
      </c>
      <c r="B72" t="s">
        <v>1652</v>
      </c>
      <c r="C72" t="s">
        <v>74</v>
      </c>
      <c r="D72" t="s">
        <v>74</v>
      </c>
      <c r="E72" t="s">
        <v>74</v>
      </c>
      <c r="F72" t="s">
        <v>1653</v>
      </c>
      <c r="G72" t="s">
        <v>74</v>
      </c>
      <c r="H72" t="s">
        <v>74</v>
      </c>
      <c r="I72" t="s">
        <v>1654</v>
      </c>
      <c r="J72" t="s">
        <v>1655</v>
      </c>
      <c r="K72" t="s">
        <v>74</v>
      </c>
      <c r="L72" t="s">
        <v>74</v>
      </c>
      <c r="M72" t="s">
        <v>78</v>
      </c>
      <c r="N72" t="s">
        <v>79</v>
      </c>
      <c r="O72" t="s">
        <v>74</v>
      </c>
      <c r="P72" t="s">
        <v>74</v>
      </c>
      <c r="Q72" t="s">
        <v>74</v>
      </c>
      <c r="R72" t="s">
        <v>74</v>
      </c>
      <c r="S72" t="s">
        <v>74</v>
      </c>
      <c r="T72" t="s">
        <v>1656</v>
      </c>
      <c r="U72" t="s">
        <v>74</v>
      </c>
      <c r="V72" t="s">
        <v>1657</v>
      </c>
      <c r="W72" t="s">
        <v>1658</v>
      </c>
      <c r="X72" t="s">
        <v>74</v>
      </c>
      <c r="Y72" t="s">
        <v>1659</v>
      </c>
      <c r="Z72" t="s">
        <v>1660</v>
      </c>
      <c r="AA72" t="s">
        <v>74</v>
      </c>
      <c r="AB72" t="s">
        <v>74</v>
      </c>
      <c r="AC72" t="s">
        <v>74</v>
      </c>
      <c r="AD72" t="s">
        <v>74</v>
      </c>
      <c r="AE72" t="s">
        <v>74</v>
      </c>
      <c r="AF72" t="s">
        <v>74</v>
      </c>
      <c r="AG72">
        <v>14</v>
      </c>
      <c r="AH72">
        <v>0</v>
      </c>
      <c r="AI72">
        <v>0</v>
      </c>
      <c r="AJ72">
        <v>1</v>
      </c>
      <c r="AK72">
        <v>2</v>
      </c>
      <c r="AL72" t="s">
        <v>1661</v>
      </c>
      <c r="AM72" t="s">
        <v>1662</v>
      </c>
      <c r="AN72" t="s">
        <v>1663</v>
      </c>
      <c r="AO72" t="s">
        <v>1664</v>
      </c>
      <c r="AP72" t="s">
        <v>1665</v>
      </c>
      <c r="AQ72" t="s">
        <v>74</v>
      </c>
      <c r="AR72" t="s">
        <v>1666</v>
      </c>
      <c r="AS72" t="s">
        <v>1667</v>
      </c>
      <c r="AT72" t="s">
        <v>537</v>
      </c>
      <c r="AU72">
        <v>2022</v>
      </c>
      <c r="AV72">
        <v>93</v>
      </c>
      <c r="AW72">
        <v>6</v>
      </c>
      <c r="AX72" t="s">
        <v>74</v>
      </c>
      <c r="AY72" t="s">
        <v>74</v>
      </c>
      <c r="AZ72" t="s">
        <v>74</v>
      </c>
      <c r="BA72" t="s">
        <v>74</v>
      </c>
      <c r="BB72">
        <v>536</v>
      </c>
      <c r="BC72">
        <v>539</v>
      </c>
      <c r="BD72" t="s">
        <v>74</v>
      </c>
      <c r="BE72" t="s">
        <v>1668</v>
      </c>
      <c r="BF72" t="str">
        <f>HYPERLINK("http://dx.doi.org/10.3357/AMHP.6042.2022","http://dx.doi.org/10.3357/AMHP.6042.2022")</f>
        <v>http://dx.doi.org/10.3357/AMHP.6042.2022</v>
      </c>
      <c r="BG72" t="s">
        <v>74</v>
      </c>
      <c r="BH72" t="s">
        <v>74</v>
      </c>
      <c r="BI72">
        <v>4</v>
      </c>
      <c r="BJ72" t="s">
        <v>1669</v>
      </c>
      <c r="BK72" t="s">
        <v>101</v>
      </c>
      <c r="BL72" t="s">
        <v>1670</v>
      </c>
      <c r="BM72" t="s">
        <v>1671</v>
      </c>
      <c r="BN72">
        <v>35729764</v>
      </c>
      <c r="BO72" t="s">
        <v>74</v>
      </c>
      <c r="BP72" t="s">
        <v>74</v>
      </c>
      <c r="BQ72" t="s">
        <v>74</v>
      </c>
      <c r="BR72" t="s">
        <v>103</v>
      </c>
      <c r="BS72" t="s">
        <v>1672</v>
      </c>
      <c r="BT72" t="str">
        <f>HYPERLINK("https%3A%2F%2Fwww.webofscience.com%2Fwos%2Fwoscc%2Ffull-record%2FWOS:000818866600008","View Full Record in Web of Science")</f>
        <v>View Full Record in Web of Science</v>
      </c>
    </row>
    <row r="73" spans="1:72" x14ac:dyDescent="0.15">
      <c r="A73" t="s">
        <v>72</v>
      </c>
      <c r="B73" t="s">
        <v>1673</v>
      </c>
      <c r="C73" t="s">
        <v>74</v>
      </c>
      <c r="D73" t="s">
        <v>74</v>
      </c>
      <c r="E73" t="s">
        <v>74</v>
      </c>
      <c r="F73" t="s">
        <v>1674</v>
      </c>
      <c r="G73" t="s">
        <v>74</v>
      </c>
      <c r="H73" t="s">
        <v>74</v>
      </c>
      <c r="I73" t="s">
        <v>1675</v>
      </c>
      <c r="J73" t="s">
        <v>1676</v>
      </c>
      <c r="K73" t="s">
        <v>74</v>
      </c>
      <c r="L73" t="s">
        <v>74</v>
      </c>
      <c r="M73" t="s">
        <v>78</v>
      </c>
      <c r="N73" t="s">
        <v>79</v>
      </c>
      <c r="O73" t="s">
        <v>74</v>
      </c>
      <c r="P73" t="s">
        <v>74</v>
      </c>
      <c r="Q73" t="s">
        <v>74</v>
      </c>
      <c r="R73" t="s">
        <v>74</v>
      </c>
      <c r="S73" t="s">
        <v>74</v>
      </c>
      <c r="T73" t="s">
        <v>1677</v>
      </c>
      <c r="U73" t="s">
        <v>1678</v>
      </c>
      <c r="V73" t="s">
        <v>1679</v>
      </c>
      <c r="W73" t="s">
        <v>1680</v>
      </c>
      <c r="X73" t="s">
        <v>1681</v>
      </c>
      <c r="Y73" t="s">
        <v>1682</v>
      </c>
      <c r="Z73" t="s">
        <v>1683</v>
      </c>
      <c r="AA73" t="s">
        <v>1684</v>
      </c>
      <c r="AB73" t="s">
        <v>1685</v>
      </c>
      <c r="AC73" t="s">
        <v>1686</v>
      </c>
      <c r="AD73" t="s">
        <v>1687</v>
      </c>
      <c r="AE73" t="s">
        <v>1688</v>
      </c>
      <c r="AF73" t="s">
        <v>74</v>
      </c>
      <c r="AG73">
        <v>35</v>
      </c>
      <c r="AH73">
        <v>1</v>
      </c>
      <c r="AI73">
        <v>1</v>
      </c>
      <c r="AJ73">
        <v>0</v>
      </c>
      <c r="AK73">
        <v>4</v>
      </c>
      <c r="AL73" t="s">
        <v>1689</v>
      </c>
      <c r="AM73" t="s">
        <v>531</v>
      </c>
      <c r="AN73" t="s">
        <v>1690</v>
      </c>
      <c r="AO73" t="s">
        <v>1691</v>
      </c>
      <c r="AP73" t="s">
        <v>1692</v>
      </c>
      <c r="AQ73" t="s">
        <v>74</v>
      </c>
      <c r="AR73" t="s">
        <v>1693</v>
      </c>
      <c r="AS73" t="s">
        <v>1694</v>
      </c>
      <c r="AT73" t="s">
        <v>537</v>
      </c>
      <c r="AU73">
        <v>2022</v>
      </c>
      <c r="AV73">
        <v>48</v>
      </c>
      <c r="AW73">
        <v>3</v>
      </c>
      <c r="AX73" t="s">
        <v>74</v>
      </c>
      <c r="AY73" t="s">
        <v>74</v>
      </c>
      <c r="AZ73" t="s">
        <v>74</v>
      </c>
      <c r="BA73" t="s">
        <v>74</v>
      </c>
      <c r="BB73">
        <v>202</v>
      </c>
      <c r="BC73">
        <v>212</v>
      </c>
      <c r="BD73" t="s">
        <v>74</v>
      </c>
      <c r="BE73" t="s">
        <v>1695</v>
      </c>
      <c r="BF73" t="str">
        <f>HYPERLINK("http://dx.doi.org/10.1134/S1063074022030087","http://dx.doi.org/10.1134/S1063074022030087")</f>
        <v>http://dx.doi.org/10.1134/S1063074022030087</v>
      </c>
      <c r="BG73" t="s">
        <v>74</v>
      </c>
      <c r="BH73" t="s">
        <v>74</v>
      </c>
      <c r="BI73">
        <v>11</v>
      </c>
      <c r="BJ73" t="s">
        <v>1696</v>
      </c>
      <c r="BK73" t="s">
        <v>101</v>
      </c>
      <c r="BL73" t="s">
        <v>1696</v>
      </c>
      <c r="BM73" t="s">
        <v>1697</v>
      </c>
      <c r="BN73" t="s">
        <v>74</v>
      </c>
      <c r="BO73" t="s">
        <v>74</v>
      </c>
      <c r="BP73" t="s">
        <v>74</v>
      </c>
      <c r="BQ73" t="s">
        <v>74</v>
      </c>
      <c r="BR73" t="s">
        <v>103</v>
      </c>
      <c r="BS73" t="s">
        <v>1698</v>
      </c>
      <c r="BT73" t="str">
        <f>HYPERLINK("https%3A%2F%2Fwww.webofscience.com%2Fwos%2Fwoscc%2Ffull-record%2FWOS:000820645200008","View Full Record in Web of Science")</f>
        <v>View Full Record in Web of Science</v>
      </c>
    </row>
    <row r="74" spans="1:72" x14ac:dyDescent="0.15">
      <c r="A74" t="s">
        <v>72</v>
      </c>
      <c r="B74" t="s">
        <v>1699</v>
      </c>
      <c r="C74" t="s">
        <v>74</v>
      </c>
      <c r="D74" t="s">
        <v>74</v>
      </c>
      <c r="E74" t="s">
        <v>74</v>
      </c>
      <c r="F74" t="s">
        <v>1700</v>
      </c>
      <c r="G74" t="s">
        <v>74</v>
      </c>
      <c r="H74" t="s">
        <v>74</v>
      </c>
      <c r="I74" t="s">
        <v>1701</v>
      </c>
      <c r="J74" t="s">
        <v>1702</v>
      </c>
      <c r="K74" t="s">
        <v>74</v>
      </c>
      <c r="L74" t="s">
        <v>74</v>
      </c>
      <c r="M74" t="s">
        <v>78</v>
      </c>
      <c r="N74" t="s">
        <v>79</v>
      </c>
      <c r="O74" t="s">
        <v>74</v>
      </c>
      <c r="P74" t="s">
        <v>74</v>
      </c>
      <c r="Q74" t="s">
        <v>74</v>
      </c>
      <c r="R74" t="s">
        <v>74</v>
      </c>
      <c r="S74" t="s">
        <v>74</v>
      </c>
      <c r="T74" t="s">
        <v>74</v>
      </c>
      <c r="U74" t="s">
        <v>1703</v>
      </c>
      <c r="V74" t="s">
        <v>1704</v>
      </c>
      <c r="W74" t="s">
        <v>1705</v>
      </c>
      <c r="X74" t="s">
        <v>1706</v>
      </c>
      <c r="Y74" t="s">
        <v>1707</v>
      </c>
      <c r="Z74" t="s">
        <v>1708</v>
      </c>
      <c r="AA74" t="s">
        <v>1709</v>
      </c>
      <c r="AB74" t="s">
        <v>1710</v>
      </c>
      <c r="AC74" t="s">
        <v>1711</v>
      </c>
      <c r="AD74" t="s">
        <v>1712</v>
      </c>
      <c r="AE74" t="s">
        <v>1713</v>
      </c>
      <c r="AF74" t="s">
        <v>74</v>
      </c>
      <c r="AG74">
        <v>116</v>
      </c>
      <c r="AH74">
        <v>4</v>
      </c>
      <c r="AI74">
        <v>4</v>
      </c>
      <c r="AJ74">
        <v>1</v>
      </c>
      <c r="AK74">
        <v>3</v>
      </c>
      <c r="AL74" t="s">
        <v>1714</v>
      </c>
      <c r="AM74" t="s">
        <v>1715</v>
      </c>
      <c r="AN74" t="s">
        <v>1716</v>
      </c>
      <c r="AO74" t="s">
        <v>1717</v>
      </c>
      <c r="AP74" t="s">
        <v>1718</v>
      </c>
      <c r="AQ74" t="s">
        <v>74</v>
      </c>
      <c r="AR74" t="s">
        <v>1702</v>
      </c>
      <c r="AS74" t="s">
        <v>1719</v>
      </c>
      <c r="AT74" t="s">
        <v>537</v>
      </c>
      <c r="AU74">
        <v>2022</v>
      </c>
      <c r="AV74">
        <v>32</v>
      </c>
      <c r="AW74">
        <v>6</v>
      </c>
      <c r="AX74" t="s">
        <v>74</v>
      </c>
      <c r="AY74" t="s">
        <v>74</v>
      </c>
      <c r="AZ74" t="s">
        <v>74</v>
      </c>
      <c r="BA74" t="s">
        <v>74</v>
      </c>
      <c r="BB74" t="s">
        <v>74</v>
      </c>
      <c r="BC74" t="s">
        <v>74</v>
      </c>
      <c r="BD74">
        <v>63128</v>
      </c>
      <c r="BE74" t="s">
        <v>1720</v>
      </c>
      <c r="BF74" t="str">
        <f>HYPERLINK("http://dx.doi.org/10.1063/5.0088042","http://dx.doi.org/10.1063/5.0088042")</f>
        <v>http://dx.doi.org/10.1063/5.0088042</v>
      </c>
      <c r="BG74" t="s">
        <v>74</v>
      </c>
      <c r="BH74" t="s">
        <v>74</v>
      </c>
      <c r="BI74">
        <v>12</v>
      </c>
      <c r="BJ74" t="s">
        <v>1721</v>
      </c>
      <c r="BK74" t="s">
        <v>101</v>
      </c>
      <c r="BL74" t="s">
        <v>1722</v>
      </c>
      <c r="BM74" t="s">
        <v>1723</v>
      </c>
      <c r="BN74">
        <v>35778149</v>
      </c>
      <c r="BO74" t="s">
        <v>74</v>
      </c>
      <c r="BP74" t="s">
        <v>74</v>
      </c>
      <c r="BQ74" t="s">
        <v>74</v>
      </c>
      <c r="BR74" t="s">
        <v>103</v>
      </c>
      <c r="BS74" t="s">
        <v>1724</v>
      </c>
      <c r="BT74" t="str">
        <f>HYPERLINK("https%3A%2F%2Fwww.webofscience.com%2Fwos%2Fwoscc%2Ffull-record%2FWOS:000816090300003","View Full Record in Web of Science")</f>
        <v>View Full Record in Web of Science</v>
      </c>
    </row>
    <row r="75" spans="1:72" x14ac:dyDescent="0.15">
      <c r="A75" t="s">
        <v>72</v>
      </c>
      <c r="B75" t="s">
        <v>1725</v>
      </c>
      <c r="C75" t="s">
        <v>74</v>
      </c>
      <c r="D75" t="s">
        <v>74</v>
      </c>
      <c r="E75" t="s">
        <v>74</v>
      </c>
      <c r="F75" t="s">
        <v>1726</v>
      </c>
      <c r="G75" t="s">
        <v>74</v>
      </c>
      <c r="H75" t="s">
        <v>74</v>
      </c>
      <c r="I75" t="s">
        <v>1727</v>
      </c>
      <c r="J75" t="s">
        <v>1728</v>
      </c>
      <c r="K75" t="s">
        <v>74</v>
      </c>
      <c r="L75" t="s">
        <v>74</v>
      </c>
      <c r="M75" t="s">
        <v>78</v>
      </c>
      <c r="N75" t="s">
        <v>79</v>
      </c>
      <c r="O75" t="s">
        <v>74</v>
      </c>
      <c r="P75" t="s">
        <v>74</v>
      </c>
      <c r="Q75" t="s">
        <v>74</v>
      </c>
      <c r="R75" t="s">
        <v>74</v>
      </c>
      <c r="S75" t="s">
        <v>74</v>
      </c>
      <c r="T75" t="s">
        <v>74</v>
      </c>
      <c r="U75" t="s">
        <v>1729</v>
      </c>
      <c r="V75" t="s">
        <v>1730</v>
      </c>
      <c r="W75" t="s">
        <v>1731</v>
      </c>
      <c r="X75" t="s">
        <v>1732</v>
      </c>
      <c r="Y75" t="s">
        <v>1733</v>
      </c>
      <c r="Z75" t="s">
        <v>1734</v>
      </c>
      <c r="AA75" t="s">
        <v>1735</v>
      </c>
      <c r="AB75" t="s">
        <v>1736</v>
      </c>
      <c r="AC75" t="s">
        <v>1737</v>
      </c>
      <c r="AD75" t="s">
        <v>1738</v>
      </c>
      <c r="AE75" t="s">
        <v>1739</v>
      </c>
      <c r="AF75" t="s">
        <v>74</v>
      </c>
      <c r="AG75">
        <v>65</v>
      </c>
      <c r="AH75">
        <v>3</v>
      </c>
      <c r="AI75">
        <v>4</v>
      </c>
      <c r="AJ75">
        <v>2</v>
      </c>
      <c r="AK75">
        <v>18</v>
      </c>
      <c r="AL75" t="s">
        <v>1740</v>
      </c>
      <c r="AM75" t="s">
        <v>1715</v>
      </c>
      <c r="AN75" t="s">
        <v>1741</v>
      </c>
      <c r="AO75" t="s">
        <v>1742</v>
      </c>
      <c r="AP75" t="s">
        <v>1743</v>
      </c>
      <c r="AQ75" t="s">
        <v>74</v>
      </c>
      <c r="AR75" t="s">
        <v>1744</v>
      </c>
      <c r="AS75" t="s">
        <v>1745</v>
      </c>
      <c r="AT75" t="s">
        <v>537</v>
      </c>
      <c r="AU75">
        <v>2022</v>
      </c>
      <c r="AV75">
        <v>151</v>
      </c>
      <c r="AW75">
        <v>6</v>
      </c>
      <c r="AX75" t="s">
        <v>74</v>
      </c>
      <c r="AY75" t="s">
        <v>74</v>
      </c>
      <c r="AZ75" t="s">
        <v>74</v>
      </c>
      <c r="BA75" t="s">
        <v>74</v>
      </c>
      <c r="BB75">
        <v>4264</v>
      </c>
      <c r="BC75">
        <v>4278</v>
      </c>
      <c r="BD75" t="s">
        <v>74</v>
      </c>
      <c r="BE75" t="s">
        <v>1746</v>
      </c>
      <c r="BF75" t="str">
        <f>HYPERLINK("http://dx.doi.org/10.1121/10.0011677","http://dx.doi.org/10.1121/10.0011677")</f>
        <v>http://dx.doi.org/10.1121/10.0011677</v>
      </c>
      <c r="BG75" t="s">
        <v>74</v>
      </c>
      <c r="BH75" t="s">
        <v>74</v>
      </c>
      <c r="BI75">
        <v>15</v>
      </c>
      <c r="BJ75" t="s">
        <v>1747</v>
      </c>
      <c r="BK75" t="s">
        <v>101</v>
      </c>
      <c r="BL75" t="s">
        <v>1747</v>
      </c>
      <c r="BM75" t="s">
        <v>1748</v>
      </c>
      <c r="BN75">
        <v>35778169</v>
      </c>
      <c r="BO75" t="s">
        <v>267</v>
      </c>
      <c r="BP75" t="s">
        <v>74</v>
      </c>
      <c r="BQ75" t="s">
        <v>74</v>
      </c>
      <c r="BR75" t="s">
        <v>103</v>
      </c>
      <c r="BS75" t="s">
        <v>1749</v>
      </c>
      <c r="BT75" t="str">
        <f>HYPERLINK("https%3A%2F%2Fwww.webofscience.com%2Fwos%2Fwoscc%2Ffull-record%2FWOS:000817767800002","View Full Record in Web of Science")</f>
        <v>View Full Record in Web of Science</v>
      </c>
    </row>
    <row r="76" spans="1:72" x14ac:dyDescent="0.15">
      <c r="A76" t="s">
        <v>72</v>
      </c>
      <c r="B76" t="s">
        <v>1750</v>
      </c>
      <c r="C76" t="s">
        <v>74</v>
      </c>
      <c r="D76" t="s">
        <v>74</v>
      </c>
      <c r="E76" t="s">
        <v>74</v>
      </c>
      <c r="F76" t="s">
        <v>1751</v>
      </c>
      <c r="G76" t="s">
        <v>74</v>
      </c>
      <c r="H76" t="s">
        <v>74</v>
      </c>
      <c r="I76" t="s">
        <v>1752</v>
      </c>
      <c r="J76" t="s">
        <v>1753</v>
      </c>
      <c r="K76" t="s">
        <v>74</v>
      </c>
      <c r="L76" t="s">
        <v>74</v>
      </c>
      <c r="M76" t="s">
        <v>78</v>
      </c>
      <c r="N76" t="s">
        <v>79</v>
      </c>
      <c r="O76" t="s">
        <v>74</v>
      </c>
      <c r="P76" t="s">
        <v>74</v>
      </c>
      <c r="Q76" t="s">
        <v>74</v>
      </c>
      <c r="R76" t="s">
        <v>74</v>
      </c>
      <c r="S76" t="s">
        <v>74</v>
      </c>
      <c r="T76" t="s">
        <v>1754</v>
      </c>
      <c r="U76" t="s">
        <v>1755</v>
      </c>
      <c r="V76" t="s">
        <v>1756</v>
      </c>
      <c r="W76" t="s">
        <v>1757</v>
      </c>
      <c r="X76" t="s">
        <v>1758</v>
      </c>
      <c r="Y76" t="s">
        <v>1759</v>
      </c>
      <c r="Z76" t="s">
        <v>1760</v>
      </c>
      <c r="AA76" t="s">
        <v>1761</v>
      </c>
      <c r="AB76" t="s">
        <v>1762</v>
      </c>
      <c r="AC76" t="s">
        <v>1763</v>
      </c>
      <c r="AD76" t="s">
        <v>1764</v>
      </c>
      <c r="AE76" t="s">
        <v>1765</v>
      </c>
      <c r="AF76" t="s">
        <v>74</v>
      </c>
      <c r="AG76">
        <v>107</v>
      </c>
      <c r="AH76">
        <v>1</v>
      </c>
      <c r="AI76">
        <v>1</v>
      </c>
      <c r="AJ76">
        <v>3</v>
      </c>
      <c r="AK76">
        <v>18</v>
      </c>
      <c r="AL76" t="s">
        <v>1766</v>
      </c>
      <c r="AM76" t="s">
        <v>1767</v>
      </c>
      <c r="AN76" t="s">
        <v>1768</v>
      </c>
      <c r="AO76" t="s">
        <v>74</v>
      </c>
      <c r="AP76" t="s">
        <v>1769</v>
      </c>
      <c r="AQ76" t="s">
        <v>74</v>
      </c>
      <c r="AR76" t="s">
        <v>1770</v>
      </c>
      <c r="AS76" t="s">
        <v>1771</v>
      </c>
      <c r="AT76" t="s">
        <v>537</v>
      </c>
      <c r="AU76">
        <v>2022</v>
      </c>
      <c r="AV76">
        <v>8</v>
      </c>
      <c r="AW76">
        <v>6</v>
      </c>
      <c r="AX76" t="s">
        <v>74</v>
      </c>
      <c r="AY76" t="s">
        <v>74</v>
      </c>
      <c r="AZ76" t="s">
        <v>74</v>
      </c>
      <c r="BA76" t="s">
        <v>74</v>
      </c>
      <c r="BB76" t="s">
        <v>74</v>
      </c>
      <c r="BC76" t="s">
        <v>74</v>
      </c>
      <c r="BD76">
        <v>303</v>
      </c>
      <c r="BE76" t="s">
        <v>1772</v>
      </c>
      <c r="BF76" t="str">
        <f>HYPERLINK("http://dx.doi.org/10.3390/universe8060303","http://dx.doi.org/10.3390/universe8060303")</f>
        <v>http://dx.doi.org/10.3390/universe8060303</v>
      </c>
      <c r="BG76" t="s">
        <v>74</v>
      </c>
      <c r="BH76" t="s">
        <v>74</v>
      </c>
      <c r="BI76">
        <v>20</v>
      </c>
      <c r="BJ76" t="s">
        <v>1773</v>
      </c>
      <c r="BK76" t="s">
        <v>101</v>
      </c>
      <c r="BL76" t="s">
        <v>1774</v>
      </c>
      <c r="BM76" t="s">
        <v>1775</v>
      </c>
      <c r="BN76" t="s">
        <v>74</v>
      </c>
      <c r="BO76" t="s">
        <v>128</v>
      </c>
      <c r="BP76" t="s">
        <v>74</v>
      </c>
      <c r="BQ76" t="s">
        <v>74</v>
      </c>
      <c r="BR76" t="s">
        <v>103</v>
      </c>
      <c r="BS76" t="s">
        <v>1776</v>
      </c>
      <c r="BT76" t="str">
        <f>HYPERLINK("https%3A%2F%2Fwww.webofscience.com%2Fwos%2Fwoscc%2Ffull-record%2FWOS:000818247300001","View Full Record in Web of Science")</f>
        <v>View Full Record in Web of Science</v>
      </c>
    </row>
    <row r="77" spans="1:72" x14ac:dyDescent="0.15">
      <c r="A77" t="s">
        <v>72</v>
      </c>
      <c r="B77" t="s">
        <v>1777</v>
      </c>
      <c r="C77" t="s">
        <v>74</v>
      </c>
      <c r="D77" t="s">
        <v>74</v>
      </c>
      <c r="E77" t="s">
        <v>74</v>
      </c>
      <c r="F77" t="s">
        <v>1778</v>
      </c>
      <c r="G77" t="s">
        <v>74</v>
      </c>
      <c r="H77" t="s">
        <v>74</v>
      </c>
      <c r="I77" t="s">
        <v>1779</v>
      </c>
      <c r="J77" t="s">
        <v>1780</v>
      </c>
      <c r="K77" t="s">
        <v>74</v>
      </c>
      <c r="L77" t="s">
        <v>74</v>
      </c>
      <c r="M77" t="s">
        <v>78</v>
      </c>
      <c r="N77" t="s">
        <v>79</v>
      </c>
      <c r="O77" t="s">
        <v>74</v>
      </c>
      <c r="P77" t="s">
        <v>74</v>
      </c>
      <c r="Q77" t="s">
        <v>74</v>
      </c>
      <c r="R77" t="s">
        <v>74</v>
      </c>
      <c r="S77" t="s">
        <v>74</v>
      </c>
      <c r="T77" t="s">
        <v>1781</v>
      </c>
      <c r="U77" t="s">
        <v>1782</v>
      </c>
      <c r="V77" t="s">
        <v>1783</v>
      </c>
      <c r="W77" t="s">
        <v>1784</v>
      </c>
      <c r="X77" t="s">
        <v>1785</v>
      </c>
      <c r="Y77" t="s">
        <v>1786</v>
      </c>
      <c r="Z77" t="s">
        <v>1787</v>
      </c>
      <c r="AA77" t="s">
        <v>1788</v>
      </c>
      <c r="AB77" t="s">
        <v>1789</v>
      </c>
      <c r="AC77" t="s">
        <v>1790</v>
      </c>
      <c r="AD77" t="s">
        <v>1791</v>
      </c>
      <c r="AE77" t="s">
        <v>1792</v>
      </c>
      <c r="AF77" t="s">
        <v>74</v>
      </c>
      <c r="AG77">
        <v>38</v>
      </c>
      <c r="AH77">
        <v>2</v>
      </c>
      <c r="AI77">
        <v>2</v>
      </c>
      <c r="AJ77">
        <v>8</v>
      </c>
      <c r="AK77">
        <v>10</v>
      </c>
      <c r="AL77" t="s">
        <v>1766</v>
      </c>
      <c r="AM77" t="s">
        <v>1767</v>
      </c>
      <c r="AN77" t="s">
        <v>1768</v>
      </c>
      <c r="AO77" t="s">
        <v>74</v>
      </c>
      <c r="AP77" t="s">
        <v>1793</v>
      </c>
      <c r="AQ77" t="s">
        <v>74</v>
      </c>
      <c r="AR77" t="s">
        <v>1794</v>
      </c>
      <c r="AS77" t="s">
        <v>1795</v>
      </c>
      <c r="AT77" t="s">
        <v>537</v>
      </c>
      <c r="AU77">
        <v>2022</v>
      </c>
      <c r="AV77">
        <v>13</v>
      </c>
      <c r="AW77">
        <v>6</v>
      </c>
      <c r="AX77" t="s">
        <v>74</v>
      </c>
      <c r="AY77" t="s">
        <v>74</v>
      </c>
      <c r="AZ77" t="s">
        <v>74</v>
      </c>
      <c r="BA77" t="s">
        <v>74</v>
      </c>
      <c r="BB77" t="s">
        <v>74</v>
      </c>
      <c r="BC77" t="s">
        <v>74</v>
      </c>
      <c r="BD77">
        <v>957</v>
      </c>
      <c r="BE77" t="s">
        <v>1796</v>
      </c>
      <c r="BF77" t="str">
        <f>HYPERLINK("http://dx.doi.org/10.3390/atmos13060957","http://dx.doi.org/10.3390/atmos13060957")</f>
        <v>http://dx.doi.org/10.3390/atmos13060957</v>
      </c>
      <c r="BG77" t="s">
        <v>74</v>
      </c>
      <c r="BH77" t="s">
        <v>74</v>
      </c>
      <c r="BI77">
        <v>24</v>
      </c>
      <c r="BJ77" t="s">
        <v>1797</v>
      </c>
      <c r="BK77" t="s">
        <v>101</v>
      </c>
      <c r="BL77" t="s">
        <v>957</v>
      </c>
      <c r="BM77" t="s">
        <v>1798</v>
      </c>
      <c r="BN77" t="s">
        <v>74</v>
      </c>
      <c r="BO77" t="s">
        <v>438</v>
      </c>
      <c r="BP77" t="s">
        <v>74</v>
      </c>
      <c r="BQ77" t="s">
        <v>74</v>
      </c>
      <c r="BR77" t="s">
        <v>103</v>
      </c>
      <c r="BS77" t="s">
        <v>1799</v>
      </c>
      <c r="BT77" t="str">
        <f>HYPERLINK("https%3A%2F%2Fwww.webofscience.com%2Fwos%2Fwoscc%2Ffull-record%2FWOS:000818197600001","View Full Record in Web of Science")</f>
        <v>View Full Record in Web of Science</v>
      </c>
    </row>
    <row r="78" spans="1:72" x14ac:dyDescent="0.15">
      <c r="A78" t="s">
        <v>72</v>
      </c>
      <c r="B78" t="s">
        <v>1800</v>
      </c>
      <c r="C78" t="s">
        <v>74</v>
      </c>
      <c r="D78" t="s">
        <v>74</v>
      </c>
      <c r="E78" t="s">
        <v>74</v>
      </c>
      <c r="F78" t="s">
        <v>1801</v>
      </c>
      <c r="G78" t="s">
        <v>74</v>
      </c>
      <c r="H78" t="s">
        <v>74</v>
      </c>
      <c r="I78" t="s">
        <v>1802</v>
      </c>
      <c r="J78" t="s">
        <v>1803</v>
      </c>
      <c r="K78" t="s">
        <v>74</v>
      </c>
      <c r="L78" t="s">
        <v>74</v>
      </c>
      <c r="M78" t="s">
        <v>78</v>
      </c>
      <c r="N78" t="s">
        <v>79</v>
      </c>
      <c r="O78" t="s">
        <v>74</v>
      </c>
      <c r="P78" t="s">
        <v>74</v>
      </c>
      <c r="Q78" t="s">
        <v>74</v>
      </c>
      <c r="R78" t="s">
        <v>74</v>
      </c>
      <c r="S78" t="s">
        <v>74</v>
      </c>
      <c r="T78" t="s">
        <v>1804</v>
      </c>
      <c r="U78" t="s">
        <v>1805</v>
      </c>
      <c r="V78" t="s">
        <v>1806</v>
      </c>
      <c r="W78" t="s">
        <v>1807</v>
      </c>
      <c r="X78" t="s">
        <v>1808</v>
      </c>
      <c r="Y78" t="s">
        <v>1809</v>
      </c>
      <c r="Z78" t="s">
        <v>1810</v>
      </c>
      <c r="AA78" t="s">
        <v>1811</v>
      </c>
      <c r="AB78" t="s">
        <v>1812</v>
      </c>
      <c r="AC78" t="s">
        <v>1813</v>
      </c>
      <c r="AD78" t="s">
        <v>1814</v>
      </c>
      <c r="AE78" t="s">
        <v>1815</v>
      </c>
      <c r="AF78" t="s">
        <v>74</v>
      </c>
      <c r="AG78">
        <v>96</v>
      </c>
      <c r="AH78">
        <v>5</v>
      </c>
      <c r="AI78">
        <v>6</v>
      </c>
      <c r="AJ78">
        <v>0</v>
      </c>
      <c r="AK78">
        <v>6</v>
      </c>
      <c r="AL78" t="s">
        <v>1766</v>
      </c>
      <c r="AM78" t="s">
        <v>1767</v>
      </c>
      <c r="AN78" t="s">
        <v>1768</v>
      </c>
      <c r="AO78" t="s">
        <v>74</v>
      </c>
      <c r="AP78" t="s">
        <v>1816</v>
      </c>
      <c r="AQ78" t="s">
        <v>74</v>
      </c>
      <c r="AR78" t="s">
        <v>1803</v>
      </c>
      <c r="AS78" t="s">
        <v>1817</v>
      </c>
      <c r="AT78" t="s">
        <v>537</v>
      </c>
      <c r="AU78">
        <v>2022</v>
      </c>
      <c r="AV78">
        <v>11</v>
      </c>
      <c r="AW78">
        <v>6</v>
      </c>
      <c r="AX78" t="s">
        <v>74</v>
      </c>
      <c r="AY78" t="s">
        <v>74</v>
      </c>
      <c r="AZ78" t="s">
        <v>74</v>
      </c>
      <c r="BA78" t="s">
        <v>74</v>
      </c>
      <c r="BB78" t="s">
        <v>74</v>
      </c>
      <c r="BC78" t="s">
        <v>74</v>
      </c>
      <c r="BD78">
        <v>890</v>
      </c>
      <c r="BE78" t="s">
        <v>1818</v>
      </c>
      <c r="BF78" t="str">
        <f>HYPERLINK("http://dx.doi.org/10.3390/biology11060890","http://dx.doi.org/10.3390/biology11060890")</f>
        <v>http://dx.doi.org/10.3390/biology11060890</v>
      </c>
      <c r="BG78" t="s">
        <v>74</v>
      </c>
      <c r="BH78" t="s">
        <v>74</v>
      </c>
      <c r="BI78">
        <v>24</v>
      </c>
      <c r="BJ78" t="s">
        <v>1819</v>
      </c>
      <c r="BK78" t="s">
        <v>101</v>
      </c>
      <c r="BL78" t="s">
        <v>1820</v>
      </c>
      <c r="BM78" t="s">
        <v>1821</v>
      </c>
      <c r="BN78">
        <v>35741411</v>
      </c>
      <c r="BO78" t="s">
        <v>295</v>
      </c>
      <c r="BP78" t="s">
        <v>74</v>
      </c>
      <c r="BQ78" t="s">
        <v>74</v>
      </c>
      <c r="BR78" t="s">
        <v>103</v>
      </c>
      <c r="BS78" t="s">
        <v>1822</v>
      </c>
      <c r="BT78" t="str">
        <f>HYPERLINK("https%3A%2F%2Fwww.webofscience.com%2Fwos%2Fwoscc%2Ffull-record%2FWOS:000816344700001","View Full Record in Web of Science")</f>
        <v>View Full Record in Web of Science</v>
      </c>
    </row>
    <row r="79" spans="1:72" x14ac:dyDescent="0.15">
      <c r="A79" t="s">
        <v>72</v>
      </c>
      <c r="B79" t="s">
        <v>1823</v>
      </c>
      <c r="C79" t="s">
        <v>74</v>
      </c>
      <c r="D79" t="s">
        <v>74</v>
      </c>
      <c r="E79" t="s">
        <v>74</v>
      </c>
      <c r="F79" t="s">
        <v>1824</v>
      </c>
      <c r="G79" t="s">
        <v>74</v>
      </c>
      <c r="H79" t="s">
        <v>74</v>
      </c>
      <c r="I79" t="s">
        <v>1825</v>
      </c>
      <c r="J79" t="s">
        <v>1826</v>
      </c>
      <c r="K79" t="s">
        <v>74</v>
      </c>
      <c r="L79" t="s">
        <v>74</v>
      </c>
      <c r="M79" t="s">
        <v>78</v>
      </c>
      <c r="N79" t="s">
        <v>161</v>
      </c>
      <c r="O79" t="s">
        <v>74</v>
      </c>
      <c r="P79" t="s">
        <v>74</v>
      </c>
      <c r="Q79" t="s">
        <v>74</v>
      </c>
      <c r="R79" t="s">
        <v>74</v>
      </c>
      <c r="S79" t="s">
        <v>74</v>
      </c>
      <c r="T79" t="s">
        <v>1827</v>
      </c>
      <c r="U79" t="s">
        <v>1828</v>
      </c>
      <c r="V79" t="s">
        <v>1829</v>
      </c>
      <c r="W79" t="s">
        <v>1830</v>
      </c>
      <c r="X79" t="s">
        <v>1831</v>
      </c>
      <c r="Y79" t="s">
        <v>1832</v>
      </c>
      <c r="Z79" t="s">
        <v>1833</v>
      </c>
      <c r="AA79" t="s">
        <v>74</v>
      </c>
      <c r="AB79" t="s">
        <v>1834</v>
      </c>
      <c r="AC79" t="s">
        <v>1835</v>
      </c>
      <c r="AD79" t="s">
        <v>1836</v>
      </c>
      <c r="AE79" t="s">
        <v>1837</v>
      </c>
      <c r="AF79" t="s">
        <v>74</v>
      </c>
      <c r="AG79">
        <v>118</v>
      </c>
      <c r="AH79">
        <v>2</v>
      </c>
      <c r="AI79">
        <v>2</v>
      </c>
      <c r="AJ79">
        <v>2</v>
      </c>
      <c r="AK79">
        <v>10</v>
      </c>
      <c r="AL79" t="s">
        <v>1766</v>
      </c>
      <c r="AM79" t="s">
        <v>1767</v>
      </c>
      <c r="AN79" t="s">
        <v>1768</v>
      </c>
      <c r="AO79" t="s">
        <v>74</v>
      </c>
      <c r="AP79" t="s">
        <v>1838</v>
      </c>
      <c r="AQ79" t="s">
        <v>74</v>
      </c>
      <c r="AR79" t="s">
        <v>1826</v>
      </c>
      <c r="AS79" t="s">
        <v>1839</v>
      </c>
      <c r="AT79" t="s">
        <v>537</v>
      </c>
      <c r="AU79">
        <v>2022</v>
      </c>
      <c r="AV79">
        <v>10</v>
      </c>
      <c r="AW79">
        <v>6</v>
      </c>
      <c r="AX79" t="s">
        <v>74</v>
      </c>
      <c r="AY79" t="s">
        <v>74</v>
      </c>
      <c r="AZ79" t="s">
        <v>74</v>
      </c>
      <c r="BA79" t="s">
        <v>74</v>
      </c>
      <c r="BB79" t="s">
        <v>74</v>
      </c>
      <c r="BC79" t="s">
        <v>74</v>
      </c>
      <c r="BD79">
        <v>1356</v>
      </c>
      <c r="BE79" t="s">
        <v>1840</v>
      </c>
      <c r="BF79" t="str">
        <f>HYPERLINK("http://dx.doi.org/10.3390/biomedicines10061356","http://dx.doi.org/10.3390/biomedicines10061356")</f>
        <v>http://dx.doi.org/10.3390/biomedicines10061356</v>
      </c>
      <c r="BG79" t="s">
        <v>74</v>
      </c>
      <c r="BH79" t="s">
        <v>74</v>
      </c>
      <c r="BI79">
        <v>15</v>
      </c>
      <c r="BJ79" t="s">
        <v>1841</v>
      </c>
      <c r="BK79" t="s">
        <v>101</v>
      </c>
      <c r="BL79" t="s">
        <v>1842</v>
      </c>
      <c r="BM79" t="s">
        <v>1843</v>
      </c>
      <c r="BN79">
        <v>35740378</v>
      </c>
      <c r="BO79" t="s">
        <v>1533</v>
      </c>
      <c r="BP79" t="s">
        <v>74</v>
      </c>
      <c r="BQ79" t="s">
        <v>74</v>
      </c>
      <c r="BR79" t="s">
        <v>103</v>
      </c>
      <c r="BS79" t="s">
        <v>1844</v>
      </c>
      <c r="BT79" t="str">
        <f>HYPERLINK("https%3A%2F%2Fwww.webofscience.com%2Fwos%2Fwoscc%2Ffull-record%2FWOS:000818463200001","View Full Record in Web of Science")</f>
        <v>View Full Record in Web of Science</v>
      </c>
    </row>
    <row r="80" spans="1:72" x14ac:dyDescent="0.15">
      <c r="A80" t="s">
        <v>72</v>
      </c>
      <c r="B80" t="s">
        <v>1845</v>
      </c>
      <c r="C80" t="s">
        <v>74</v>
      </c>
      <c r="D80" t="s">
        <v>74</v>
      </c>
      <c r="E80" t="s">
        <v>74</v>
      </c>
      <c r="F80" t="s">
        <v>1846</v>
      </c>
      <c r="G80" t="s">
        <v>74</v>
      </c>
      <c r="H80" t="s">
        <v>74</v>
      </c>
      <c r="I80" t="s">
        <v>1847</v>
      </c>
      <c r="J80" t="s">
        <v>1848</v>
      </c>
      <c r="K80" t="s">
        <v>74</v>
      </c>
      <c r="L80" t="s">
        <v>74</v>
      </c>
      <c r="M80" t="s">
        <v>78</v>
      </c>
      <c r="N80" t="s">
        <v>161</v>
      </c>
      <c r="O80" t="s">
        <v>74</v>
      </c>
      <c r="P80" t="s">
        <v>74</v>
      </c>
      <c r="Q80" t="s">
        <v>74</v>
      </c>
      <c r="R80" t="s">
        <v>74</v>
      </c>
      <c r="S80" t="s">
        <v>74</v>
      </c>
      <c r="T80" t="s">
        <v>1849</v>
      </c>
      <c r="U80" t="s">
        <v>1850</v>
      </c>
      <c r="V80" t="s">
        <v>1851</v>
      </c>
      <c r="W80" t="s">
        <v>1852</v>
      </c>
      <c r="X80" t="s">
        <v>1853</v>
      </c>
      <c r="Y80" t="s">
        <v>1854</v>
      </c>
      <c r="Z80" t="s">
        <v>1855</v>
      </c>
      <c r="AA80" t="s">
        <v>74</v>
      </c>
      <c r="AB80" t="s">
        <v>1856</v>
      </c>
      <c r="AC80" t="s">
        <v>1857</v>
      </c>
      <c r="AD80" t="s">
        <v>1857</v>
      </c>
      <c r="AE80" t="s">
        <v>1858</v>
      </c>
      <c r="AF80" t="s">
        <v>74</v>
      </c>
      <c r="AG80">
        <v>70</v>
      </c>
      <c r="AH80">
        <v>4</v>
      </c>
      <c r="AI80">
        <v>4</v>
      </c>
      <c r="AJ80">
        <v>1</v>
      </c>
      <c r="AK80">
        <v>7</v>
      </c>
      <c r="AL80" t="s">
        <v>1766</v>
      </c>
      <c r="AM80" t="s">
        <v>1767</v>
      </c>
      <c r="AN80" t="s">
        <v>1768</v>
      </c>
      <c r="AO80" t="s">
        <v>74</v>
      </c>
      <c r="AP80" t="s">
        <v>1859</v>
      </c>
      <c r="AQ80" t="s">
        <v>74</v>
      </c>
      <c r="AR80" t="s">
        <v>1848</v>
      </c>
      <c r="AS80" t="s">
        <v>1860</v>
      </c>
      <c r="AT80" t="s">
        <v>537</v>
      </c>
      <c r="AU80">
        <v>2022</v>
      </c>
      <c r="AV80">
        <v>14</v>
      </c>
      <c r="AW80">
        <v>6</v>
      </c>
      <c r="AX80" t="s">
        <v>74</v>
      </c>
      <c r="AY80" t="s">
        <v>74</v>
      </c>
      <c r="AZ80" t="s">
        <v>74</v>
      </c>
      <c r="BA80" t="s">
        <v>74</v>
      </c>
      <c r="BB80" t="s">
        <v>74</v>
      </c>
      <c r="BC80" t="s">
        <v>74</v>
      </c>
      <c r="BD80">
        <v>447</v>
      </c>
      <c r="BE80" t="s">
        <v>1861</v>
      </c>
      <c r="BF80" t="str">
        <f>HYPERLINK("http://dx.doi.org/10.3390/d14060447","http://dx.doi.org/10.3390/d14060447")</f>
        <v>http://dx.doi.org/10.3390/d14060447</v>
      </c>
      <c r="BG80" t="s">
        <v>74</v>
      </c>
      <c r="BH80" t="s">
        <v>74</v>
      </c>
      <c r="BI80">
        <v>14</v>
      </c>
      <c r="BJ80" t="s">
        <v>539</v>
      </c>
      <c r="BK80" t="s">
        <v>101</v>
      </c>
      <c r="BL80" t="s">
        <v>540</v>
      </c>
      <c r="BM80" t="s">
        <v>1862</v>
      </c>
      <c r="BN80" t="s">
        <v>74</v>
      </c>
      <c r="BO80" t="s">
        <v>1533</v>
      </c>
      <c r="BP80" t="s">
        <v>74</v>
      </c>
      <c r="BQ80" t="s">
        <v>74</v>
      </c>
      <c r="BR80" t="s">
        <v>103</v>
      </c>
      <c r="BS80" t="s">
        <v>1863</v>
      </c>
      <c r="BT80" t="str">
        <f>HYPERLINK("https%3A%2F%2Fwww.webofscience.com%2Fwos%2Fwoscc%2Ffull-record%2FWOS:000817589200001","View Full Record in Web of Science")</f>
        <v>View Full Record in Web of Science</v>
      </c>
    </row>
    <row r="81" spans="1:72" x14ac:dyDescent="0.15">
      <c r="A81" t="s">
        <v>72</v>
      </c>
      <c r="B81" t="s">
        <v>1864</v>
      </c>
      <c r="C81" t="s">
        <v>74</v>
      </c>
      <c r="D81" t="s">
        <v>74</v>
      </c>
      <c r="E81" t="s">
        <v>74</v>
      </c>
      <c r="F81" t="s">
        <v>1865</v>
      </c>
      <c r="G81" t="s">
        <v>74</v>
      </c>
      <c r="H81" t="s">
        <v>74</v>
      </c>
      <c r="I81" t="s">
        <v>1866</v>
      </c>
      <c r="J81" t="s">
        <v>1848</v>
      </c>
      <c r="K81" t="s">
        <v>74</v>
      </c>
      <c r="L81" t="s">
        <v>74</v>
      </c>
      <c r="M81" t="s">
        <v>78</v>
      </c>
      <c r="N81" t="s">
        <v>79</v>
      </c>
      <c r="O81" t="s">
        <v>74</v>
      </c>
      <c r="P81" t="s">
        <v>74</v>
      </c>
      <c r="Q81" t="s">
        <v>74</v>
      </c>
      <c r="R81" t="s">
        <v>74</v>
      </c>
      <c r="S81" t="s">
        <v>74</v>
      </c>
      <c r="T81" t="s">
        <v>1867</v>
      </c>
      <c r="U81" t="s">
        <v>1868</v>
      </c>
      <c r="V81" t="s">
        <v>1869</v>
      </c>
      <c r="W81" t="s">
        <v>1870</v>
      </c>
      <c r="X81" t="s">
        <v>1871</v>
      </c>
      <c r="Y81" t="s">
        <v>1872</v>
      </c>
      <c r="Z81" t="s">
        <v>1873</v>
      </c>
      <c r="AA81" t="s">
        <v>74</v>
      </c>
      <c r="AB81" t="s">
        <v>1874</v>
      </c>
      <c r="AC81" t="s">
        <v>1875</v>
      </c>
      <c r="AD81" t="s">
        <v>1876</v>
      </c>
      <c r="AE81" t="s">
        <v>1877</v>
      </c>
      <c r="AF81" t="s">
        <v>74</v>
      </c>
      <c r="AG81">
        <v>95</v>
      </c>
      <c r="AH81">
        <v>3</v>
      </c>
      <c r="AI81">
        <v>3</v>
      </c>
      <c r="AJ81">
        <v>0</v>
      </c>
      <c r="AK81">
        <v>3</v>
      </c>
      <c r="AL81" t="s">
        <v>1766</v>
      </c>
      <c r="AM81" t="s">
        <v>1767</v>
      </c>
      <c r="AN81" t="s">
        <v>1768</v>
      </c>
      <c r="AO81" t="s">
        <v>74</v>
      </c>
      <c r="AP81" t="s">
        <v>1859</v>
      </c>
      <c r="AQ81" t="s">
        <v>74</v>
      </c>
      <c r="AR81" t="s">
        <v>1848</v>
      </c>
      <c r="AS81" t="s">
        <v>1860</v>
      </c>
      <c r="AT81" t="s">
        <v>537</v>
      </c>
      <c r="AU81">
        <v>2022</v>
      </c>
      <c r="AV81">
        <v>14</v>
      </c>
      <c r="AW81">
        <v>6</v>
      </c>
      <c r="AX81" t="s">
        <v>74</v>
      </c>
      <c r="AY81" t="s">
        <v>74</v>
      </c>
      <c r="AZ81" t="s">
        <v>74</v>
      </c>
      <c r="BA81" t="s">
        <v>74</v>
      </c>
      <c r="BB81" t="s">
        <v>74</v>
      </c>
      <c r="BC81" t="s">
        <v>74</v>
      </c>
      <c r="BD81">
        <v>457</v>
      </c>
      <c r="BE81" t="s">
        <v>1878</v>
      </c>
      <c r="BF81" t="str">
        <f>HYPERLINK("http://dx.doi.org/10.3390/d14060457","http://dx.doi.org/10.3390/d14060457")</f>
        <v>http://dx.doi.org/10.3390/d14060457</v>
      </c>
      <c r="BG81" t="s">
        <v>74</v>
      </c>
      <c r="BH81" t="s">
        <v>74</v>
      </c>
      <c r="BI81">
        <v>21</v>
      </c>
      <c r="BJ81" t="s">
        <v>539</v>
      </c>
      <c r="BK81" t="s">
        <v>101</v>
      </c>
      <c r="BL81" t="s">
        <v>540</v>
      </c>
      <c r="BM81" t="s">
        <v>1879</v>
      </c>
      <c r="BN81" t="s">
        <v>74</v>
      </c>
      <c r="BO81" t="s">
        <v>295</v>
      </c>
      <c r="BP81" t="s">
        <v>74</v>
      </c>
      <c r="BQ81" t="s">
        <v>74</v>
      </c>
      <c r="BR81" t="s">
        <v>103</v>
      </c>
      <c r="BS81" t="s">
        <v>1880</v>
      </c>
      <c r="BT81" t="str">
        <f>HYPERLINK("https%3A%2F%2Fwww.webofscience.com%2Fwos%2Fwoscc%2Ffull-record%2FWOS:000817612100001","View Full Record in Web of Science")</f>
        <v>View Full Record in Web of Science</v>
      </c>
    </row>
    <row r="82" spans="1:72" x14ac:dyDescent="0.15">
      <c r="A82" t="s">
        <v>72</v>
      </c>
      <c r="B82" t="s">
        <v>1881</v>
      </c>
      <c r="C82" t="s">
        <v>74</v>
      </c>
      <c r="D82" t="s">
        <v>74</v>
      </c>
      <c r="E82" t="s">
        <v>74</v>
      </c>
      <c r="F82" t="s">
        <v>1882</v>
      </c>
      <c r="G82" t="s">
        <v>74</v>
      </c>
      <c r="H82" t="s">
        <v>74</v>
      </c>
      <c r="I82" t="s">
        <v>1883</v>
      </c>
      <c r="J82" t="s">
        <v>1884</v>
      </c>
      <c r="K82" t="s">
        <v>74</v>
      </c>
      <c r="L82" t="s">
        <v>74</v>
      </c>
      <c r="M82" t="s">
        <v>78</v>
      </c>
      <c r="N82" t="s">
        <v>79</v>
      </c>
      <c r="O82" t="s">
        <v>74</v>
      </c>
      <c r="P82" t="s">
        <v>74</v>
      </c>
      <c r="Q82" t="s">
        <v>74</v>
      </c>
      <c r="R82" t="s">
        <v>74</v>
      </c>
      <c r="S82" t="s">
        <v>74</v>
      </c>
      <c r="T82" t="s">
        <v>1885</v>
      </c>
      <c r="U82" t="s">
        <v>1886</v>
      </c>
      <c r="V82" t="s">
        <v>1887</v>
      </c>
      <c r="W82" t="s">
        <v>1888</v>
      </c>
      <c r="X82" t="s">
        <v>1889</v>
      </c>
      <c r="Y82" t="s">
        <v>1890</v>
      </c>
      <c r="Z82" t="s">
        <v>1891</v>
      </c>
      <c r="AA82" t="s">
        <v>1892</v>
      </c>
      <c r="AB82" t="s">
        <v>1893</v>
      </c>
      <c r="AC82" t="s">
        <v>1894</v>
      </c>
      <c r="AD82" t="s">
        <v>1895</v>
      </c>
      <c r="AE82" t="s">
        <v>1896</v>
      </c>
      <c r="AF82" t="s">
        <v>74</v>
      </c>
      <c r="AG82">
        <v>116</v>
      </c>
      <c r="AH82">
        <v>0</v>
      </c>
      <c r="AI82">
        <v>0</v>
      </c>
      <c r="AJ82">
        <v>1</v>
      </c>
      <c r="AK82">
        <v>16</v>
      </c>
      <c r="AL82" t="s">
        <v>1766</v>
      </c>
      <c r="AM82" t="s">
        <v>1767</v>
      </c>
      <c r="AN82" t="s">
        <v>1768</v>
      </c>
      <c r="AO82" t="s">
        <v>74</v>
      </c>
      <c r="AP82" t="s">
        <v>1897</v>
      </c>
      <c r="AQ82" t="s">
        <v>74</v>
      </c>
      <c r="AR82" t="s">
        <v>1884</v>
      </c>
      <c r="AS82" t="s">
        <v>1898</v>
      </c>
      <c r="AT82" t="s">
        <v>537</v>
      </c>
      <c r="AU82">
        <v>2022</v>
      </c>
      <c r="AV82">
        <v>10</v>
      </c>
      <c r="AW82">
        <v>6</v>
      </c>
      <c r="AX82" t="s">
        <v>74</v>
      </c>
      <c r="AY82" t="s">
        <v>74</v>
      </c>
      <c r="AZ82" t="s">
        <v>74</v>
      </c>
      <c r="BA82" t="s">
        <v>74</v>
      </c>
      <c r="BB82" t="s">
        <v>74</v>
      </c>
      <c r="BC82" t="s">
        <v>74</v>
      </c>
      <c r="BD82">
        <v>1140</v>
      </c>
      <c r="BE82" t="s">
        <v>1899</v>
      </c>
      <c r="BF82" t="str">
        <f>HYPERLINK("http://dx.doi.org/10.3390/microorganisms10061140","http://dx.doi.org/10.3390/microorganisms10061140")</f>
        <v>http://dx.doi.org/10.3390/microorganisms10061140</v>
      </c>
      <c r="BG82" t="s">
        <v>74</v>
      </c>
      <c r="BH82" t="s">
        <v>74</v>
      </c>
      <c r="BI82">
        <v>19</v>
      </c>
      <c r="BJ82" t="s">
        <v>293</v>
      </c>
      <c r="BK82" t="s">
        <v>101</v>
      </c>
      <c r="BL82" t="s">
        <v>293</v>
      </c>
      <c r="BM82" t="s">
        <v>1900</v>
      </c>
      <c r="BN82">
        <v>35744658</v>
      </c>
      <c r="BO82" t="s">
        <v>1533</v>
      </c>
      <c r="BP82" t="s">
        <v>74</v>
      </c>
      <c r="BQ82" t="s">
        <v>74</v>
      </c>
      <c r="BR82" t="s">
        <v>103</v>
      </c>
      <c r="BS82" t="s">
        <v>1901</v>
      </c>
      <c r="BT82" t="str">
        <f>HYPERLINK("https%3A%2F%2Fwww.webofscience.com%2Fwos%2Fwoscc%2Ffull-record%2FWOS:000818302800001","View Full Record in Web of Science")</f>
        <v>View Full Record in Web of Science</v>
      </c>
    </row>
    <row r="83" spans="1:72" x14ac:dyDescent="0.15">
      <c r="A83" t="s">
        <v>72</v>
      </c>
      <c r="B83" t="s">
        <v>1902</v>
      </c>
      <c r="C83" t="s">
        <v>74</v>
      </c>
      <c r="D83" t="s">
        <v>74</v>
      </c>
      <c r="E83" t="s">
        <v>74</v>
      </c>
      <c r="F83" t="s">
        <v>1903</v>
      </c>
      <c r="G83" t="s">
        <v>74</v>
      </c>
      <c r="H83" t="s">
        <v>74</v>
      </c>
      <c r="I83" t="s">
        <v>1904</v>
      </c>
      <c r="J83" t="s">
        <v>1884</v>
      </c>
      <c r="K83" t="s">
        <v>74</v>
      </c>
      <c r="L83" t="s">
        <v>74</v>
      </c>
      <c r="M83" t="s">
        <v>78</v>
      </c>
      <c r="N83" t="s">
        <v>79</v>
      </c>
      <c r="O83" t="s">
        <v>74</v>
      </c>
      <c r="P83" t="s">
        <v>74</v>
      </c>
      <c r="Q83" t="s">
        <v>74</v>
      </c>
      <c r="R83" t="s">
        <v>74</v>
      </c>
      <c r="S83" t="s">
        <v>74</v>
      </c>
      <c r="T83" t="s">
        <v>1905</v>
      </c>
      <c r="U83" t="s">
        <v>1906</v>
      </c>
      <c r="V83" t="s">
        <v>1907</v>
      </c>
      <c r="W83" t="s">
        <v>1908</v>
      </c>
      <c r="X83" t="s">
        <v>1909</v>
      </c>
      <c r="Y83" t="s">
        <v>1910</v>
      </c>
      <c r="Z83" t="s">
        <v>1911</v>
      </c>
      <c r="AA83" t="s">
        <v>1912</v>
      </c>
      <c r="AB83" t="s">
        <v>1913</v>
      </c>
      <c r="AC83" t="s">
        <v>1914</v>
      </c>
      <c r="AD83" t="s">
        <v>1915</v>
      </c>
      <c r="AE83" t="s">
        <v>1916</v>
      </c>
      <c r="AF83" t="s">
        <v>74</v>
      </c>
      <c r="AG83">
        <v>36</v>
      </c>
      <c r="AH83">
        <v>3</v>
      </c>
      <c r="AI83">
        <v>3</v>
      </c>
      <c r="AJ83">
        <v>4</v>
      </c>
      <c r="AK83">
        <v>13</v>
      </c>
      <c r="AL83" t="s">
        <v>1766</v>
      </c>
      <c r="AM83" t="s">
        <v>1767</v>
      </c>
      <c r="AN83" t="s">
        <v>1768</v>
      </c>
      <c r="AO83" t="s">
        <v>74</v>
      </c>
      <c r="AP83" t="s">
        <v>1897</v>
      </c>
      <c r="AQ83" t="s">
        <v>74</v>
      </c>
      <c r="AR83" t="s">
        <v>1884</v>
      </c>
      <c r="AS83" t="s">
        <v>1898</v>
      </c>
      <c r="AT83" t="s">
        <v>537</v>
      </c>
      <c r="AU83">
        <v>2022</v>
      </c>
      <c r="AV83">
        <v>10</v>
      </c>
      <c r="AW83">
        <v>6</v>
      </c>
      <c r="AX83" t="s">
        <v>74</v>
      </c>
      <c r="AY83" t="s">
        <v>74</v>
      </c>
      <c r="AZ83" t="s">
        <v>74</v>
      </c>
      <c r="BA83" t="s">
        <v>74</v>
      </c>
      <c r="BB83" t="s">
        <v>74</v>
      </c>
      <c r="BC83" t="s">
        <v>74</v>
      </c>
      <c r="BD83">
        <v>1085</v>
      </c>
      <c r="BE83" t="s">
        <v>1917</v>
      </c>
      <c r="BF83" t="str">
        <f>HYPERLINK("http://dx.doi.org/10.3390/microorganisms10061085","http://dx.doi.org/10.3390/microorganisms10061085")</f>
        <v>http://dx.doi.org/10.3390/microorganisms10061085</v>
      </c>
      <c r="BG83" t="s">
        <v>74</v>
      </c>
      <c r="BH83" t="s">
        <v>74</v>
      </c>
      <c r="BI83">
        <v>14</v>
      </c>
      <c r="BJ83" t="s">
        <v>293</v>
      </c>
      <c r="BK83" t="s">
        <v>101</v>
      </c>
      <c r="BL83" t="s">
        <v>293</v>
      </c>
      <c r="BM83" t="s">
        <v>1918</v>
      </c>
      <c r="BN83">
        <v>35744604</v>
      </c>
      <c r="BO83" t="s">
        <v>295</v>
      </c>
      <c r="BP83" t="s">
        <v>74</v>
      </c>
      <c r="BQ83" t="s">
        <v>74</v>
      </c>
      <c r="BR83" t="s">
        <v>103</v>
      </c>
      <c r="BS83" t="s">
        <v>1919</v>
      </c>
      <c r="BT83" t="str">
        <f>HYPERLINK("https%3A%2F%2Fwww.webofscience.com%2Fwos%2Fwoscc%2Ffull-record%2FWOS:000817727300001","View Full Record in Web of Science")</f>
        <v>View Full Record in Web of Science</v>
      </c>
    </row>
    <row r="84" spans="1:72" x14ac:dyDescent="0.15">
      <c r="A84" t="s">
        <v>72</v>
      </c>
      <c r="B84" t="s">
        <v>1920</v>
      </c>
      <c r="C84" t="s">
        <v>74</v>
      </c>
      <c r="D84" t="s">
        <v>74</v>
      </c>
      <c r="E84" t="s">
        <v>74</v>
      </c>
      <c r="F84" t="s">
        <v>1921</v>
      </c>
      <c r="G84" t="s">
        <v>74</v>
      </c>
      <c r="H84" t="s">
        <v>74</v>
      </c>
      <c r="I84" t="s">
        <v>1922</v>
      </c>
      <c r="J84" t="s">
        <v>1923</v>
      </c>
      <c r="K84" t="s">
        <v>74</v>
      </c>
      <c r="L84" t="s">
        <v>74</v>
      </c>
      <c r="M84" t="s">
        <v>78</v>
      </c>
      <c r="N84" t="s">
        <v>161</v>
      </c>
      <c r="O84" t="s">
        <v>74</v>
      </c>
      <c r="P84" t="s">
        <v>74</v>
      </c>
      <c r="Q84" t="s">
        <v>74</v>
      </c>
      <c r="R84" t="s">
        <v>74</v>
      </c>
      <c r="S84" t="s">
        <v>74</v>
      </c>
      <c r="T84" t="s">
        <v>1924</v>
      </c>
      <c r="U84" t="s">
        <v>1925</v>
      </c>
      <c r="V84" t="s">
        <v>1926</v>
      </c>
      <c r="W84" t="s">
        <v>1927</v>
      </c>
      <c r="X84" t="s">
        <v>1928</v>
      </c>
      <c r="Y84" t="s">
        <v>1929</v>
      </c>
      <c r="Z84" t="s">
        <v>1930</v>
      </c>
      <c r="AA84" t="s">
        <v>74</v>
      </c>
      <c r="AB84" t="s">
        <v>1931</v>
      </c>
      <c r="AC84" t="s">
        <v>1932</v>
      </c>
      <c r="AD84" t="s">
        <v>1933</v>
      </c>
      <c r="AE84" t="s">
        <v>1934</v>
      </c>
      <c r="AF84" t="s">
        <v>74</v>
      </c>
      <c r="AG84">
        <v>121</v>
      </c>
      <c r="AH84">
        <v>5</v>
      </c>
      <c r="AI84">
        <v>5</v>
      </c>
      <c r="AJ84">
        <v>0</v>
      </c>
      <c r="AK84">
        <v>6</v>
      </c>
      <c r="AL84" t="s">
        <v>1766</v>
      </c>
      <c r="AM84" t="s">
        <v>1767</v>
      </c>
      <c r="AN84" t="s">
        <v>1768</v>
      </c>
      <c r="AO84" t="s">
        <v>74</v>
      </c>
      <c r="AP84" t="s">
        <v>1935</v>
      </c>
      <c r="AQ84" t="s">
        <v>74</v>
      </c>
      <c r="AR84" t="s">
        <v>1936</v>
      </c>
      <c r="AS84" t="s">
        <v>1937</v>
      </c>
      <c r="AT84" t="s">
        <v>537</v>
      </c>
      <c r="AU84">
        <v>2022</v>
      </c>
      <c r="AV84">
        <v>14</v>
      </c>
      <c r="AW84">
        <v>12</v>
      </c>
      <c r="AX84" t="s">
        <v>74</v>
      </c>
      <c r="AY84" t="s">
        <v>74</v>
      </c>
      <c r="AZ84" t="s">
        <v>74</v>
      </c>
      <c r="BA84" t="s">
        <v>74</v>
      </c>
      <c r="BB84" t="s">
        <v>74</v>
      </c>
      <c r="BC84" t="s">
        <v>74</v>
      </c>
      <c r="BD84">
        <v>2736</v>
      </c>
      <c r="BE84" t="s">
        <v>1938</v>
      </c>
      <c r="BF84" t="str">
        <f>HYPERLINK("http://dx.doi.org/10.3390/rs14122736","http://dx.doi.org/10.3390/rs14122736")</f>
        <v>http://dx.doi.org/10.3390/rs14122736</v>
      </c>
      <c r="BG84" t="s">
        <v>74</v>
      </c>
      <c r="BH84" t="s">
        <v>74</v>
      </c>
      <c r="BI84">
        <v>36</v>
      </c>
      <c r="BJ84" t="s">
        <v>1939</v>
      </c>
      <c r="BK84" t="s">
        <v>101</v>
      </c>
      <c r="BL84" t="s">
        <v>1940</v>
      </c>
      <c r="BM84" t="s">
        <v>1941</v>
      </c>
      <c r="BN84" t="s">
        <v>74</v>
      </c>
      <c r="BO84" t="s">
        <v>1942</v>
      </c>
      <c r="BP84" t="s">
        <v>74</v>
      </c>
      <c r="BQ84" t="s">
        <v>74</v>
      </c>
      <c r="BR84" t="s">
        <v>103</v>
      </c>
      <c r="BS84" t="s">
        <v>1943</v>
      </c>
      <c r="BT84" t="str">
        <f>HYPERLINK("https%3A%2F%2Fwww.webofscience.com%2Fwos%2Fwoscc%2Ffull-record%2FWOS:000818383000001","View Full Record in Web of Science")</f>
        <v>View Full Record in Web of Science</v>
      </c>
    </row>
    <row r="85" spans="1:72" x14ac:dyDescent="0.15">
      <c r="A85" t="s">
        <v>72</v>
      </c>
      <c r="B85" t="s">
        <v>1944</v>
      </c>
      <c r="C85" t="s">
        <v>74</v>
      </c>
      <c r="D85" t="s">
        <v>74</v>
      </c>
      <c r="E85" t="s">
        <v>74</v>
      </c>
      <c r="F85" t="s">
        <v>1945</v>
      </c>
      <c r="G85" t="s">
        <v>74</v>
      </c>
      <c r="H85" t="s">
        <v>74</v>
      </c>
      <c r="I85" t="s">
        <v>1946</v>
      </c>
      <c r="J85" t="s">
        <v>1947</v>
      </c>
      <c r="K85" t="s">
        <v>74</v>
      </c>
      <c r="L85" t="s">
        <v>74</v>
      </c>
      <c r="M85" t="s">
        <v>78</v>
      </c>
      <c r="N85" t="s">
        <v>79</v>
      </c>
      <c r="O85" t="s">
        <v>74</v>
      </c>
      <c r="P85" t="s">
        <v>74</v>
      </c>
      <c r="Q85" t="s">
        <v>74</v>
      </c>
      <c r="R85" t="s">
        <v>74</v>
      </c>
      <c r="S85" t="s">
        <v>74</v>
      </c>
      <c r="T85" t="s">
        <v>1948</v>
      </c>
      <c r="U85" t="s">
        <v>1949</v>
      </c>
      <c r="V85" t="s">
        <v>1950</v>
      </c>
      <c r="W85" t="s">
        <v>1951</v>
      </c>
      <c r="X85" t="s">
        <v>1952</v>
      </c>
      <c r="Y85" t="s">
        <v>1953</v>
      </c>
      <c r="Z85" t="s">
        <v>1954</v>
      </c>
      <c r="AA85" t="s">
        <v>1955</v>
      </c>
      <c r="AB85" t="s">
        <v>1956</v>
      </c>
      <c r="AC85" t="s">
        <v>1957</v>
      </c>
      <c r="AD85" t="s">
        <v>1958</v>
      </c>
      <c r="AE85" t="s">
        <v>1959</v>
      </c>
      <c r="AF85" t="s">
        <v>74</v>
      </c>
      <c r="AG85">
        <v>92</v>
      </c>
      <c r="AH85">
        <v>4</v>
      </c>
      <c r="AI85">
        <v>4</v>
      </c>
      <c r="AJ85">
        <v>0</v>
      </c>
      <c r="AK85">
        <v>7</v>
      </c>
      <c r="AL85" t="s">
        <v>1766</v>
      </c>
      <c r="AM85" t="s">
        <v>1767</v>
      </c>
      <c r="AN85" t="s">
        <v>1768</v>
      </c>
      <c r="AO85" t="s">
        <v>74</v>
      </c>
      <c r="AP85" t="s">
        <v>1960</v>
      </c>
      <c r="AQ85" t="s">
        <v>74</v>
      </c>
      <c r="AR85" t="s">
        <v>1961</v>
      </c>
      <c r="AS85" t="s">
        <v>1962</v>
      </c>
      <c r="AT85" t="s">
        <v>537</v>
      </c>
      <c r="AU85">
        <v>2022</v>
      </c>
      <c r="AV85">
        <v>12</v>
      </c>
      <c r="AW85">
        <v>12</v>
      </c>
      <c r="AX85" t="s">
        <v>74</v>
      </c>
      <c r="AY85" t="s">
        <v>74</v>
      </c>
      <c r="AZ85" t="s">
        <v>74</v>
      </c>
      <c r="BA85" t="s">
        <v>74</v>
      </c>
      <c r="BB85" t="s">
        <v>74</v>
      </c>
      <c r="BC85" t="s">
        <v>74</v>
      </c>
      <c r="BD85">
        <v>5831</v>
      </c>
      <c r="BE85" t="s">
        <v>1963</v>
      </c>
      <c r="BF85" t="str">
        <f>HYPERLINK("http://dx.doi.org/10.3390/app12125831","http://dx.doi.org/10.3390/app12125831")</f>
        <v>http://dx.doi.org/10.3390/app12125831</v>
      </c>
      <c r="BG85" t="s">
        <v>74</v>
      </c>
      <c r="BH85" t="s">
        <v>74</v>
      </c>
      <c r="BI85">
        <v>26</v>
      </c>
      <c r="BJ85" t="s">
        <v>1964</v>
      </c>
      <c r="BK85" t="s">
        <v>101</v>
      </c>
      <c r="BL85" t="s">
        <v>1965</v>
      </c>
      <c r="BM85" t="s">
        <v>1966</v>
      </c>
      <c r="BN85" t="s">
        <v>74</v>
      </c>
      <c r="BO85" t="s">
        <v>295</v>
      </c>
      <c r="BP85" t="s">
        <v>74</v>
      </c>
      <c r="BQ85" t="s">
        <v>74</v>
      </c>
      <c r="BR85" t="s">
        <v>103</v>
      </c>
      <c r="BS85" t="s">
        <v>1967</v>
      </c>
      <c r="BT85" t="str">
        <f>HYPERLINK("https%3A%2F%2Fwww.webofscience.com%2Fwos%2Fwoscc%2Ffull-record%2FWOS:000816232600001","View Full Record in Web of Science")</f>
        <v>View Full Record in Web of Science</v>
      </c>
    </row>
    <row r="86" spans="1:72" x14ac:dyDescent="0.15">
      <c r="A86" t="s">
        <v>72</v>
      </c>
      <c r="B86" t="s">
        <v>1968</v>
      </c>
      <c r="C86" t="s">
        <v>74</v>
      </c>
      <c r="D86" t="s">
        <v>74</v>
      </c>
      <c r="E86" t="s">
        <v>74</v>
      </c>
      <c r="F86" t="s">
        <v>1969</v>
      </c>
      <c r="G86" t="s">
        <v>74</v>
      </c>
      <c r="H86" t="s">
        <v>74</v>
      </c>
      <c r="I86" t="s">
        <v>1970</v>
      </c>
      <c r="J86" t="s">
        <v>1848</v>
      </c>
      <c r="K86" t="s">
        <v>74</v>
      </c>
      <c r="L86" t="s">
        <v>74</v>
      </c>
      <c r="M86" t="s">
        <v>78</v>
      </c>
      <c r="N86" t="s">
        <v>79</v>
      </c>
      <c r="O86" t="s">
        <v>74</v>
      </c>
      <c r="P86" t="s">
        <v>74</v>
      </c>
      <c r="Q86" t="s">
        <v>74</v>
      </c>
      <c r="R86" t="s">
        <v>74</v>
      </c>
      <c r="S86" t="s">
        <v>74</v>
      </c>
      <c r="T86" t="s">
        <v>1971</v>
      </c>
      <c r="U86" t="s">
        <v>1972</v>
      </c>
      <c r="V86" t="s">
        <v>1973</v>
      </c>
      <c r="W86" t="s">
        <v>1974</v>
      </c>
      <c r="X86" t="s">
        <v>1975</v>
      </c>
      <c r="Y86" t="s">
        <v>1976</v>
      </c>
      <c r="Z86" t="s">
        <v>1977</v>
      </c>
      <c r="AA86" t="s">
        <v>1978</v>
      </c>
      <c r="AB86" t="s">
        <v>1979</v>
      </c>
      <c r="AC86" t="s">
        <v>1980</v>
      </c>
      <c r="AD86" t="s">
        <v>1980</v>
      </c>
      <c r="AE86" t="s">
        <v>1981</v>
      </c>
      <c r="AF86" t="s">
        <v>74</v>
      </c>
      <c r="AG86">
        <v>96</v>
      </c>
      <c r="AH86">
        <v>4</v>
      </c>
      <c r="AI86">
        <v>5</v>
      </c>
      <c r="AJ86">
        <v>3</v>
      </c>
      <c r="AK86">
        <v>15</v>
      </c>
      <c r="AL86" t="s">
        <v>1766</v>
      </c>
      <c r="AM86" t="s">
        <v>1767</v>
      </c>
      <c r="AN86" t="s">
        <v>1768</v>
      </c>
      <c r="AO86" t="s">
        <v>74</v>
      </c>
      <c r="AP86" t="s">
        <v>1859</v>
      </c>
      <c r="AQ86" t="s">
        <v>74</v>
      </c>
      <c r="AR86" t="s">
        <v>1848</v>
      </c>
      <c r="AS86" t="s">
        <v>1860</v>
      </c>
      <c r="AT86" t="s">
        <v>537</v>
      </c>
      <c r="AU86">
        <v>2022</v>
      </c>
      <c r="AV86">
        <v>14</v>
      </c>
      <c r="AW86">
        <v>6</v>
      </c>
      <c r="AX86" t="s">
        <v>74</v>
      </c>
      <c r="AY86" t="s">
        <v>74</v>
      </c>
      <c r="AZ86" t="s">
        <v>74</v>
      </c>
      <c r="BA86" t="s">
        <v>74</v>
      </c>
      <c r="BB86" t="s">
        <v>74</v>
      </c>
      <c r="BC86" t="s">
        <v>74</v>
      </c>
      <c r="BD86">
        <v>425</v>
      </c>
      <c r="BE86" t="s">
        <v>1982</v>
      </c>
      <c r="BF86" t="str">
        <f>HYPERLINK("http://dx.doi.org/10.3390/d14060425","http://dx.doi.org/10.3390/d14060425")</f>
        <v>http://dx.doi.org/10.3390/d14060425</v>
      </c>
      <c r="BG86" t="s">
        <v>74</v>
      </c>
      <c r="BH86" t="s">
        <v>74</v>
      </c>
      <c r="BI86">
        <v>21</v>
      </c>
      <c r="BJ86" t="s">
        <v>539</v>
      </c>
      <c r="BK86" t="s">
        <v>101</v>
      </c>
      <c r="BL86" t="s">
        <v>540</v>
      </c>
      <c r="BM86" t="s">
        <v>1983</v>
      </c>
      <c r="BN86" t="s">
        <v>74</v>
      </c>
      <c r="BO86" t="s">
        <v>295</v>
      </c>
      <c r="BP86" t="s">
        <v>74</v>
      </c>
      <c r="BQ86" t="s">
        <v>74</v>
      </c>
      <c r="BR86" t="s">
        <v>103</v>
      </c>
      <c r="BS86" t="s">
        <v>1984</v>
      </c>
      <c r="BT86" t="str">
        <f>HYPERLINK("https%3A%2F%2Fwww.webofscience.com%2Fwos%2Fwoscc%2Ffull-record%2FWOS:000817458400001","View Full Record in Web of Science")</f>
        <v>View Full Record in Web of Science</v>
      </c>
    </row>
    <row r="87" spans="1:72" x14ac:dyDescent="0.15">
      <c r="A87" t="s">
        <v>72</v>
      </c>
      <c r="B87" t="s">
        <v>1985</v>
      </c>
      <c r="C87" t="s">
        <v>74</v>
      </c>
      <c r="D87" t="s">
        <v>74</v>
      </c>
      <c r="E87" t="s">
        <v>74</v>
      </c>
      <c r="F87" t="s">
        <v>1986</v>
      </c>
      <c r="G87" t="s">
        <v>74</v>
      </c>
      <c r="H87" t="s">
        <v>74</v>
      </c>
      <c r="I87" t="s">
        <v>1987</v>
      </c>
      <c r="J87" t="s">
        <v>1848</v>
      </c>
      <c r="K87" t="s">
        <v>74</v>
      </c>
      <c r="L87" t="s">
        <v>74</v>
      </c>
      <c r="M87" t="s">
        <v>78</v>
      </c>
      <c r="N87" t="s">
        <v>79</v>
      </c>
      <c r="O87" t="s">
        <v>74</v>
      </c>
      <c r="P87" t="s">
        <v>74</v>
      </c>
      <c r="Q87" t="s">
        <v>74</v>
      </c>
      <c r="R87" t="s">
        <v>74</v>
      </c>
      <c r="S87" t="s">
        <v>74</v>
      </c>
      <c r="T87" t="s">
        <v>1988</v>
      </c>
      <c r="U87" t="s">
        <v>1989</v>
      </c>
      <c r="V87" t="s">
        <v>1990</v>
      </c>
      <c r="W87" t="s">
        <v>1991</v>
      </c>
      <c r="X87" t="s">
        <v>1992</v>
      </c>
      <c r="Y87" t="s">
        <v>1993</v>
      </c>
      <c r="Z87" t="s">
        <v>1994</v>
      </c>
      <c r="AA87" t="s">
        <v>1995</v>
      </c>
      <c r="AB87" t="s">
        <v>1996</v>
      </c>
      <c r="AC87" t="s">
        <v>1997</v>
      </c>
      <c r="AD87" t="s">
        <v>1998</v>
      </c>
      <c r="AE87" t="s">
        <v>1999</v>
      </c>
      <c r="AF87" t="s">
        <v>74</v>
      </c>
      <c r="AG87">
        <v>80</v>
      </c>
      <c r="AH87">
        <v>2</v>
      </c>
      <c r="AI87">
        <v>2</v>
      </c>
      <c r="AJ87">
        <v>4</v>
      </c>
      <c r="AK87">
        <v>15</v>
      </c>
      <c r="AL87" t="s">
        <v>1766</v>
      </c>
      <c r="AM87" t="s">
        <v>1767</v>
      </c>
      <c r="AN87" t="s">
        <v>1768</v>
      </c>
      <c r="AO87" t="s">
        <v>74</v>
      </c>
      <c r="AP87" t="s">
        <v>1859</v>
      </c>
      <c r="AQ87" t="s">
        <v>74</v>
      </c>
      <c r="AR87" t="s">
        <v>1848</v>
      </c>
      <c r="AS87" t="s">
        <v>1860</v>
      </c>
      <c r="AT87" t="s">
        <v>537</v>
      </c>
      <c r="AU87">
        <v>2022</v>
      </c>
      <c r="AV87">
        <v>14</v>
      </c>
      <c r="AW87">
        <v>6</v>
      </c>
      <c r="AX87" t="s">
        <v>74</v>
      </c>
      <c r="AY87" t="s">
        <v>74</v>
      </c>
      <c r="AZ87" t="s">
        <v>74</v>
      </c>
      <c r="BA87" t="s">
        <v>74</v>
      </c>
      <c r="BB87" t="s">
        <v>74</v>
      </c>
      <c r="BC87" t="s">
        <v>74</v>
      </c>
      <c r="BD87">
        <v>429</v>
      </c>
      <c r="BE87" t="s">
        <v>2000</v>
      </c>
      <c r="BF87" t="str">
        <f>HYPERLINK("http://dx.doi.org/10.3390/d14060429","http://dx.doi.org/10.3390/d14060429")</f>
        <v>http://dx.doi.org/10.3390/d14060429</v>
      </c>
      <c r="BG87" t="s">
        <v>74</v>
      </c>
      <c r="BH87" t="s">
        <v>74</v>
      </c>
      <c r="BI87">
        <v>17</v>
      </c>
      <c r="BJ87" t="s">
        <v>539</v>
      </c>
      <c r="BK87" t="s">
        <v>101</v>
      </c>
      <c r="BL87" t="s">
        <v>540</v>
      </c>
      <c r="BM87" t="s">
        <v>2001</v>
      </c>
      <c r="BN87" t="s">
        <v>74</v>
      </c>
      <c r="BO87" t="s">
        <v>295</v>
      </c>
      <c r="BP87" t="s">
        <v>74</v>
      </c>
      <c r="BQ87" t="s">
        <v>74</v>
      </c>
      <c r="BR87" t="s">
        <v>103</v>
      </c>
      <c r="BS87" t="s">
        <v>2002</v>
      </c>
      <c r="BT87" t="str">
        <f>HYPERLINK("https%3A%2F%2Fwww.webofscience.com%2Fwos%2Fwoscc%2Ffull-record%2FWOS:000816352600001","View Full Record in Web of Science")</f>
        <v>View Full Record in Web of Science</v>
      </c>
    </row>
    <row r="88" spans="1:72" x14ac:dyDescent="0.15">
      <c r="A88" t="s">
        <v>72</v>
      </c>
      <c r="B88" t="s">
        <v>2003</v>
      </c>
      <c r="C88" t="s">
        <v>74</v>
      </c>
      <c r="D88" t="s">
        <v>74</v>
      </c>
      <c r="E88" t="s">
        <v>74</v>
      </c>
      <c r="F88" t="s">
        <v>2004</v>
      </c>
      <c r="G88" t="s">
        <v>74</v>
      </c>
      <c r="H88" t="s">
        <v>74</v>
      </c>
      <c r="I88" t="s">
        <v>2005</v>
      </c>
      <c r="J88" t="s">
        <v>2006</v>
      </c>
      <c r="K88" t="s">
        <v>74</v>
      </c>
      <c r="L88" t="s">
        <v>74</v>
      </c>
      <c r="M88" t="s">
        <v>78</v>
      </c>
      <c r="N88" t="s">
        <v>79</v>
      </c>
      <c r="O88" t="s">
        <v>74</v>
      </c>
      <c r="P88" t="s">
        <v>74</v>
      </c>
      <c r="Q88" t="s">
        <v>74</v>
      </c>
      <c r="R88" t="s">
        <v>74</v>
      </c>
      <c r="S88" t="s">
        <v>74</v>
      </c>
      <c r="T88" t="s">
        <v>2007</v>
      </c>
      <c r="U88" t="s">
        <v>2008</v>
      </c>
      <c r="V88" t="s">
        <v>2009</v>
      </c>
      <c r="W88" t="s">
        <v>2010</v>
      </c>
      <c r="X88" t="s">
        <v>2011</v>
      </c>
      <c r="Y88" t="s">
        <v>2012</v>
      </c>
      <c r="Z88" t="s">
        <v>2013</v>
      </c>
      <c r="AA88" t="s">
        <v>2014</v>
      </c>
      <c r="AB88" t="s">
        <v>2015</v>
      </c>
      <c r="AC88" t="s">
        <v>2016</v>
      </c>
      <c r="AD88" t="s">
        <v>2017</v>
      </c>
      <c r="AE88" t="s">
        <v>2018</v>
      </c>
      <c r="AF88" t="s">
        <v>74</v>
      </c>
      <c r="AG88">
        <v>87</v>
      </c>
      <c r="AH88">
        <v>3</v>
      </c>
      <c r="AI88">
        <v>3</v>
      </c>
      <c r="AJ88">
        <v>3</v>
      </c>
      <c r="AK88">
        <v>11</v>
      </c>
      <c r="AL88" t="s">
        <v>1766</v>
      </c>
      <c r="AM88" t="s">
        <v>1767</v>
      </c>
      <c r="AN88" t="s">
        <v>1768</v>
      </c>
      <c r="AO88" t="s">
        <v>74</v>
      </c>
      <c r="AP88" t="s">
        <v>2019</v>
      </c>
      <c r="AQ88" t="s">
        <v>74</v>
      </c>
      <c r="AR88" t="s">
        <v>2020</v>
      </c>
      <c r="AS88" t="s">
        <v>2021</v>
      </c>
      <c r="AT88" t="s">
        <v>537</v>
      </c>
      <c r="AU88">
        <v>2022</v>
      </c>
      <c r="AV88">
        <v>13</v>
      </c>
      <c r="AW88">
        <v>6</v>
      </c>
      <c r="AX88" t="s">
        <v>74</v>
      </c>
      <c r="AY88" t="s">
        <v>74</v>
      </c>
      <c r="AZ88" t="s">
        <v>74</v>
      </c>
      <c r="BA88" t="s">
        <v>74</v>
      </c>
      <c r="BB88" t="s">
        <v>74</v>
      </c>
      <c r="BC88" t="s">
        <v>74</v>
      </c>
      <c r="BD88">
        <v>1060</v>
      </c>
      <c r="BE88" t="s">
        <v>2022</v>
      </c>
      <c r="BF88" t="str">
        <f>HYPERLINK("http://dx.doi.org/10.3390/genes13061060","http://dx.doi.org/10.3390/genes13061060")</f>
        <v>http://dx.doi.org/10.3390/genes13061060</v>
      </c>
      <c r="BG88" t="s">
        <v>74</v>
      </c>
      <c r="BH88" t="s">
        <v>74</v>
      </c>
      <c r="BI88">
        <v>16</v>
      </c>
      <c r="BJ88" t="s">
        <v>2023</v>
      </c>
      <c r="BK88" t="s">
        <v>101</v>
      </c>
      <c r="BL88" t="s">
        <v>2023</v>
      </c>
      <c r="BM88" t="s">
        <v>2024</v>
      </c>
      <c r="BN88">
        <v>35741822</v>
      </c>
      <c r="BO88" t="s">
        <v>295</v>
      </c>
      <c r="BP88" t="s">
        <v>74</v>
      </c>
      <c r="BQ88" t="s">
        <v>74</v>
      </c>
      <c r="BR88" t="s">
        <v>103</v>
      </c>
      <c r="BS88" t="s">
        <v>2025</v>
      </c>
      <c r="BT88" t="str">
        <f>HYPERLINK("https%3A%2F%2Fwww.webofscience.com%2Fwos%2Fwoscc%2Ffull-record%2FWOS:000816439100001","View Full Record in Web of Science")</f>
        <v>View Full Record in Web of Science</v>
      </c>
    </row>
    <row r="89" spans="1:72" x14ac:dyDescent="0.15">
      <c r="A89" t="s">
        <v>72</v>
      </c>
      <c r="B89" t="s">
        <v>2026</v>
      </c>
      <c r="C89" t="s">
        <v>74</v>
      </c>
      <c r="D89" t="s">
        <v>74</v>
      </c>
      <c r="E89" t="s">
        <v>74</v>
      </c>
      <c r="F89" t="s">
        <v>2027</v>
      </c>
      <c r="G89" t="s">
        <v>74</v>
      </c>
      <c r="H89" t="s">
        <v>74</v>
      </c>
      <c r="I89" t="s">
        <v>2028</v>
      </c>
      <c r="J89" t="s">
        <v>2029</v>
      </c>
      <c r="K89" t="s">
        <v>74</v>
      </c>
      <c r="L89" t="s">
        <v>74</v>
      </c>
      <c r="M89" t="s">
        <v>78</v>
      </c>
      <c r="N89" t="s">
        <v>79</v>
      </c>
      <c r="O89" t="s">
        <v>74</v>
      </c>
      <c r="P89" t="s">
        <v>74</v>
      </c>
      <c r="Q89" t="s">
        <v>74</v>
      </c>
      <c r="R89" t="s">
        <v>74</v>
      </c>
      <c r="S89" t="s">
        <v>74</v>
      </c>
      <c r="T89" t="s">
        <v>2030</v>
      </c>
      <c r="U89" t="s">
        <v>2031</v>
      </c>
      <c r="V89" t="s">
        <v>2032</v>
      </c>
      <c r="W89" t="s">
        <v>2033</v>
      </c>
      <c r="X89" t="s">
        <v>2034</v>
      </c>
      <c r="Y89" t="s">
        <v>2035</v>
      </c>
      <c r="Z89" t="s">
        <v>2036</v>
      </c>
      <c r="AA89" t="s">
        <v>2037</v>
      </c>
      <c r="AB89" t="s">
        <v>2038</v>
      </c>
      <c r="AC89" t="s">
        <v>2039</v>
      </c>
      <c r="AD89" t="s">
        <v>2040</v>
      </c>
      <c r="AE89" t="s">
        <v>2041</v>
      </c>
      <c r="AF89" t="s">
        <v>74</v>
      </c>
      <c r="AG89">
        <v>84</v>
      </c>
      <c r="AH89">
        <v>5</v>
      </c>
      <c r="AI89">
        <v>5</v>
      </c>
      <c r="AJ89">
        <v>2</v>
      </c>
      <c r="AK89">
        <v>16</v>
      </c>
      <c r="AL89" t="s">
        <v>2042</v>
      </c>
      <c r="AM89" t="s">
        <v>2043</v>
      </c>
      <c r="AN89" t="s">
        <v>2044</v>
      </c>
      <c r="AO89" t="s">
        <v>2045</v>
      </c>
      <c r="AP89" t="s">
        <v>2046</v>
      </c>
      <c r="AQ89" t="s">
        <v>74</v>
      </c>
      <c r="AR89" t="s">
        <v>2047</v>
      </c>
      <c r="AS89" t="s">
        <v>2048</v>
      </c>
      <c r="AT89" t="s">
        <v>537</v>
      </c>
      <c r="AU89">
        <v>2022</v>
      </c>
      <c r="AV89">
        <v>36</v>
      </c>
      <c r="AW89">
        <v>6</v>
      </c>
      <c r="AX89" t="s">
        <v>74</v>
      </c>
      <c r="AY89" t="s">
        <v>74</v>
      </c>
      <c r="AZ89" t="s">
        <v>74</v>
      </c>
      <c r="BA89" t="s">
        <v>74</v>
      </c>
      <c r="BB89" t="s">
        <v>74</v>
      </c>
      <c r="BC89" t="s">
        <v>74</v>
      </c>
      <c r="BD89" t="s">
        <v>2049</v>
      </c>
      <c r="BE89" t="s">
        <v>2050</v>
      </c>
      <c r="BF89" t="str">
        <f>HYPERLINK("http://dx.doi.org/10.1029/2021GB007265","http://dx.doi.org/10.1029/2021GB007265")</f>
        <v>http://dx.doi.org/10.1029/2021GB007265</v>
      </c>
      <c r="BG89" t="s">
        <v>74</v>
      </c>
      <c r="BH89" t="s">
        <v>74</v>
      </c>
      <c r="BI89">
        <v>22</v>
      </c>
      <c r="BJ89" t="s">
        <v>407</v>
      </c>
      <c r="BK89" t="s">
        <v>101</v>
      </c>
      <c r="BL89" t="s">
        <v>408</v>
      </c>
      <c r="BM89" t="s">
        <v>2051</v>
      </c>
      <c r="BN89" t="s">
        <v>74</v>
      </c>
      <c r="BO89" t="s">
        <v>1483</v>
      </c>
      <c r="BP89" t="s">
        <v>74</v>
      </c>
      <c r="BQ89" t="s">
        <v>74</v>
      </c>
      <c r="BR89" t="s">
        <v>103</v>
      </c>
      <c r="BS89" t="s">
        <v>2052</v>
      </c>
      <c r="BT89" t="str">
        <f>HYPERLINK("https%3A%2F%2Fwww.webofscience.com%2Fwos%2Fwoscc%2Ffull-record%2FWOS:000806591000001","View Full Record in Web of Science")</f>
        <v>View Full Record in Web of Science</v>
      </c>
    </row>
    <row r="90" spans="1:72" x14ac:dyDescent="0.15">
      <c r="A90" t="s">
        <v>72</v>
      </c>
      <c r="B90" t="s">
        <v>2053</v>
      </c>
      <c r="C90" t="s">
        <v>74</v>
      </c>
      <c r="D90" t="s">
        <v>74</v>
      </c>
      <c r="E90" t="s">
        <v>74</v>
      </c>
      <c r="F90" t="s">
        <v>2054</v>
      </c>
      <c r="G90" t="s">
        <v>74</v>
      </c>
      <c r="H90" t="s">
        <v>74</v>
      </c>
      <c r="I90" t="s">
        <v>2055</v>
      </c>
      <c r="J90" t="s">
        <v>2056</v>
      </c>
      <c r="K90" t="s">
        <v>74</v>
      </c>
      <c r="L90" t="s">
        <v>74</v>
      </c>
      <c r="M90" t="s">
        <v>78</v>
      </c>
      <c r="N90" t="s">
        <v>79</v>
      </c>
      <c r="O90" t="s">
        <v>74</v>
      </c>
      <c r="P90" t="s">
        <v>74</v>
      </c>
      <c r="Q90" t="s">
        <v>74</v>
      </c>
      <c r="R90" t="s">
        <v>74</v>
      </c>
      <c r="S90" t="s">
        <v>74</v>
      </c>
      <c r="T90" t="s">
        <v>2057</v>
      </c>
      <c r="U90" t="s">
        <v>2058</v>
      </c>
      <c r="V90" t="s">
        <v>2059</v>
      </c>
      <c r="W90" t="s">
        <v>2060</v>
      </c>
      <c r="X90" t="s">
        <v>2061</v>
      </c>
      <c r="Y90" t="s">
        <v>2062</v>
      </c>
      <c r="Z90" t="s">
        <v>2063</v>
      </c>
      <c r="AA90" t="s">
        <v>2064</v>
      </c>
      <c r="AB90" t="s">
        <v>2065</v>
      </c>
      <c r="AC90" t="s">
        <v>2066</v>
      </c>
      <c r="AD90" t="s">
        <v>2067</v>
      </c>
      <c r="AE90" t="s">
        <v>2068</v>
      </c>
      <c r="AF90" t="s">
        <v>74</v>
      </c>
      <c r="AG90">
        <v>62</v>
      </c>
      <c r="AH90">
        <v>3</v>
      </c>
      <c r="AI90">
        <v>3</v>
      </c>
      <c r="AJ90">
        <v>0</v>
      </c>
      <c r="AK90">
        <v>15</v>
      </c>
      <c r="AL90" t="s">
        <v>1766</v>
      </c>
      <c r="AM90" t="s">
        <v>1767</v>
      </c>
      <c r="AN90" t="s">
        <v>1768</v>
      </c>
      <c r="AO90" t="s">
        <v>74</v>
      </c>
      <c r="AP90" t="s">
        <v>2069</v>
      </c>
      <c r="AQ90" t="s">
        <v>74</v>
      </c>
      <c r="AR90" t="s">
        <v>2070</v>
      </c>
      <c r="AS90" t="s">
        <v>2071</v>
      </c>
      <c r="AT90" t="s">
        <v>537</v>
      </c>
      <c r="AU90">
        <v>2022</v>
      </c>
      <c r="AV90">
        <v>10</v>
      </c>
      <c r="AW90">
        <v>6</v>
      </c>
      <c r="AX90" t="s">
        <v>74</v>
      </c>
      <c r="AY90" t="s">
        <v>74</v>
      </c>
      <c r="AZ90" t="s">
        <v>74</v>
      </c>
      <c r="BA90" t="s">
        <v>74</v>
      </c>
      <c r="BB90" t="s">
        <v>74</v>
      </c>
      <c r="BC90" t="s">
        <v>74</v>
      </c>
      <c r="BD90">
        <v>745</v>
      </c>
      <c r="BE90" t="s">
        <v>2072</v>
      </c>
      <c r="BF90" t="str">
        <f>HYPERLINK("http://dx.doi.org/10.3390/jmse10060745","http://dx.doi.org/10.3390/jmse10060745")</f>
        <v>http://dx.doi.org/10.3390/jmse10060745</v>
      </c>
      <c r="BG90" t="s">
        <v>74</v>
      </c>
      <c r="BH90" t="s">
        <v>74</v>
      </c>
      <c r="BI90">
        <v>12</v>
      </c>
      <c r="BJ90" t="s">
        <v>2073</v>
      </c>
      <c r="BK90" t="s">
        <v>101</v>
      </c>
      <c r="BL90" t="s">
        <v>2074</v>
      </c>
      <c r="BM90" t="s">
        <v>2075</v>
      </c>
      <c r="BN90" t="s">
        <v>74</v>
      </c>
      <c r="BO90" t="s">
        <v>438</v>
      </c>
      <c r="BP90" t="s">
        <v>74</v>
      </c>
      <c r="BQ90" t="s">
        <v>74</v>
      </c>
      <c r="BR90" t="s">
        <v>103</v>
      </c>
      <c r="BS90" t="s">
        <v>2076</v>
      </c>
      <c r="BT90" t="str">
        <f>HYPERLINK("https%3A%2F%2Fwww.webofscience.com%2Fwos%2Fwoscc%2Ffull-record%2FWOS:000817332500001","View Full Record in Web of Science")</f>
        <v>View Full Record in Web of Science</v>
      </c>
    </row>
    <row r="91" spans="1:72" x14ac:dyDescent="0.15">
      <c r="A91" t="s">
        <v>72</v>
      </c>
      <c r="B91" t="s">
        <v>2077</v>
      </c>
      <c r="C91" t="s">
        <v>74</v>
      </c>
      <c r="D91" t="s">
        <v>74</v>
      </c>
      <c r="E91" t="s">
        <v>74</v>
      </c>
      <c r="F91" t="s">
        <v>2078</v>
      </c>
      <c r="G91" t="s">
        <v>74</v>
      </c>
      <c r="H91" t="s">
        <v>74</v>
      </c>
      <c r="I91" t="s">
        <v>2079</v>
      </c>
      <c r="J91" t="s">
        <v>2080</v>
      </c>
      <c r="K91" t="s">
        <v>74</v>
      </c>
      <c r="L91" t="s">
        <v>74</v>
      </c>
      <c r="M91" t="s">
        <v>78</v>
      </c>
      <c r="N91" t="s">
        <v>79</v>
      </c>
      <c r="O91" t="s">
        <v>74</v>
      </c>
      <c r="P91" t="s">
        <v>74</v>
      </c>
      <c r="Q91" t="s">
        <v>74</v>
      </c>
      <c r="R91" t="s">
        <v>74</v>
      </c>
      <c r="S91" t="s">
        <v>74</v>
      </c>
      <c r="T91" t="s">
        <v>2081</v>
      </c>
      <c r="U91" t="s">
        <v>2082</v>
      </c>
      <c r="V91" t="s">
        <v>2083</v>
      </c>
      <c r="W91" t="s">
        <v>2084</v>
      </c>
      <c r="X91" t="s">
        <v>2085</v>
      </c>
      <c r="Y91" t="s">
        <v>2086</v>
      </c>
      <c r="Z91" t="s">
        <v>2087</v>
      </c>
      <c r="AA91" t="s">
        <v>74</v>
      </c>
      <c r="AB91" t="s">
        <v>2088</v>
      </c>
      <c r="AC91" t="s">
        <v>2089</v>
      </c>
      <c r="AD91" t="s">
        <v>2090</v>
      </c>
      <c r="AE91" t="s">
        <v>2091</v>
      </c>
      <c r="AF91" t="s">
        <v>74</v>
      </c>
      <c r="AG91">
        <v>90</v>
      </c>
      <c r="AH91">
        <v>1</v>
      </c>
      <c r="AI91">
        <v>1</v>
      </c>
      <c r="AJ91">
        <v>0</v>
      </c>
      <c r="AK91">
        <v>3</v>
      </c>
      <c r="AL91" t="s">
        <v>1766</v>
      </c>
      <c r="AM91" t="s">
        <v>1767</v>
      </c>
      <c r="AN91" t="s">
        <v>1768</v>
      </c>
      <c r="AO91" t="s">
        <v>74</v>
      </c>
      <c r="AP91" t="s">
        <v>2092</v>
      </c>
      <c r="AQ91" t="s">
        <v>74</v>
      </c>
      <c r="AR91" t="s">
        <v>2080</v>
      </c>
      <c r="AS91" t="s">
        <v>2093</v>
      </c>
      <c r="AT91" t="s">
        <v>537</v>
      </c>
      <c r="AU91">
        <v>2022</v>
      </c>
      <c r="AV91">
        <v>12</v>
      </c>
      <c r="AW91">
        <v>6</v>
      </c>
      <c r="AX91" t="s">
        <v>74</v>
      </c>
      <c r="AY91" t="s">
        <v>74</v>
      </c>
      <c r="AZ91" t="s">
        <v>74</v>
      </c>
      <c r="BA91" t="s">
        <v>74</v>
      </c>
      <c r="BB91" t="s">
        <v>74</v>
      </c>
      <c r="BC91" t="s">
        <v>74</v>
      </c>
      <c r="BD91">
        <v>821</v>
      </c>
      <c r="BE91" t="s">
        <v>2094</v>
      </c>
      <c r="BF91" t="str">
        <f>HYPERLINK("http://dx.doi.org/10.3390/life12060821","http://dx.doi.org/10.3390/life12060821")</f>
        <v>http://dx.doi.org/10.3390/life12060821</v>
      </c>
      <c r="BG91" t="s">
        <v>74</v>
      </c>
      <c r="BH91" t="s">
        <v>74</v>
      </c>
      <c r="BI91">
        <v>17</v>
      </c>
      <c r="BJ91" t="s">
        <v>2095</v>
      </c>
      <c r="BK91" t="s">
        <v>101</v>
      </c>
      <c r="BL91" t="s">
        <v>2096</v>
      </c>
      <c r="BM91" t="s">
        <v>2097</v>
      </c>
      <c r="BN91">
        <v>35743852</v>
      </c>
      <c r="BO91" t="s">
        <v>295</v>
      </c>
      <c r="BP91" t="s">
        <v>74</v>
      </c>
      <c r="BQ91" t="s">
        <v>74</v>
      </c>
      <c r="BR91" t="s">
        <v>103</v>
      </c>
      <c r="BS91" t="s">
        <v>2098</v>
      </c>
      <c r="BT91" t="str">
        <f>HYPERLINK("https%3A%2F%2Fwww.webofscience.com%2Fwos%2Fwoscc%2Ffull-record%2FWOS:000816512300001","View Full Record in Web of Science")</f>
        <v>View Full Record in Web of Science</v>
      </c>
    </row>
    <row r="92" spans="1:72" x14ac:dyDescent="0.15">
      <c r="A92" t="s">
        <v>72</v>
      </c>
      <c r="B92" t="s">
        <v>2099</v>
      </c>
      <c r="C92" t="s">
        <v>74</v>
      </c>
      <c r="D92" t="s">
        <v>74</v>
      </c>
      <c r="E92" t="s">
        <v>74</v>
      </c>
      <c r="F92" t="s">
        <v>2100</v>
      </c>
      <c r="G92" t="s">
        <v>74</v>
      </c>
      <c r="H92" t="s">
        <v>74</v>
      </c>
      <c r="I92" t="s">
        <v>2101</v>
      </c>
      <c r="J92" t="s">
        <v>2102</v>
      </c>
      <c r="K92" t="s">
        <v>74</v>
      </c>
      <c r="L92" t="s">
        <v>74</v>
      </c>
      <c r="M92" t="s">
        <v>78</v>
      </c>
      <c r="N92" t="s">
        <v>79</v>
      </c>
      <c r="O92" t="s">
        <v>74</v>
      </c>
      <c r="P92" t="s">
        <v>74</v>
      </c>
      <c r="Q92" t="s">
        <v>74</v>
      </c>
      <c r="R92" t="s">
        <v>74</v>
      </c>
      <c r="S92" t="s">
        <v>74</v>
      </c>
      <c r="T92" t="s">
        <v>2103</v>
      </c>
      <c r="U92" t="s">
        <v>2104</v>
      </c>
      <c r="V92" t="s">
        <v>2105</v>
      </c>
      <c r="W92" t="s">
        <v>2106</v>
      </c>
      <c r="X92" t="s">
        <v>2107</v>
      </c>
      <c r="Y92" t="s">
        <v>2108</v>
      </c>
      <c r="Z92" t="s">
        <v>2109</v>
      </c>
      <c r="AA92" t="s">
        <v>2110</v>
      </c>
      <c r="AB92" t="s">
        <v>2111</v>
      </c>
      <c r="AC92" t="s">
        <v>2112</v>
      </c>
      <c r="AD92" t="s">
        <v>2113</v>
      </c>
      <c r="AE92" t="s">
        <v>2114</v>
      </c>
      <c r="AF92" t="s">
        <v>74</v>
      </c>
      <c r="AG92">
        <v>33</v>
      </c>
      <c r="AH92">
        <v>9</v>
      </c>
      <c r="AI92">
        <v>9</v>
      </c>
      <c r="AJ92">
        <v>10</v>
      </c>
      <c r="AK92">
        <v>53</v>
      </c>
      <c r="AL92" t="s">
        <v>1766</v>
      </c>
      <c r="AM92" t="s">
        <v>1767</v>
      </c>
      <c r="AN92" t="s">
        <v>1768</v>
      </c>
      <c r="AO92" t="s">
        <v>74</v>
      </c>
      <c r="AP92" t="s">
        <v>2115</v>
      </c>
      <c r="AQ92" t="s">
        <v>74</v>
      </c>
      <c r="AR92" t="s">
        <v>2116</v>
      </c>
      <c r="AS92" t="s">
        <v>2117</v>
      </c>
      <c r="AT92" t="s">
        <v>537</v>
      </c>
      <c r="AU92">
        <v>2022</v>
      </c>
      <c r="AV92">
        <v>22</v>
      </c>
      <c r="AW92">
        <v>12</v>
      </c>
      <c r="AX92" t="s">
        <v>74</v>
      </c>
      <c r="AY92" t="s">
        <v>74</v>
      </c>
      <c r="AZ92" t="s">
        <v>74</v>
      </c>
      <c r="BA92" t="s">
        <v>74</v>
      </c>
      <c r="BB92" t="s">
        <v>74</v>
      </c>
      <c r="BC92" t="s">
        <v>74</v>
      </c>
      <c r="BD92">
        <v>4628</v>
      </c>
      <c r="BE92" t="s">
        <v>2118</v>
      </c>
      <c r="BF92" t="str">
        <f>HYPERLINK("http://dx.doi.org/10.3390/s22124628","http://dx.doi.org/10.3390/s22124628")</f>
        <v>http://dx.doi.org/10.3390/s22124628</v>
      </c>
      <c r="BG92" t="s">
        <v>74</v>
      </c>
      <c r="BH92" t="s">
        <v>74</v>
      </c>
      <c r="BI92">
        <v>22</v>
      </c>
      <c r="BJ92" t="s">
        <v>2119</v>
      </c>
      <c r="BK92" t="s">
        <v>101</v>
      </c>
      <c r="BL92" t="s">
        <v>2120</v>
      </c>
      <c r="BM92" t="s">
        <v>2121</v>
      </c>
      <c r="BN92">
        <v>35746409</v>
      </c>
      <c r="BO92" t="s">
        <v>1533</v>
      </c>
      <c r="BP92" t="s">
        <v>74</v>
      </c>
      <c r="BQ92" t="s">
        <v>74</v>
      </c>
      <c r="BR92" t="s">
        <v>103</v>
      </c>
      <c r="BS92" t="s">
        <v>2122</v>
      </c>
      <c r="BT92" t="str">
        <f>HYPERLINK("https%3A%2F%2Fwww.webofscience.com%2Fwos%2Fwoscc%2Ffull-record%2FWOS:000816411600001","View Full Record in Web of Science")</f>
        <v>View Full Record in Web of Science</v>
      </c>
    </row>
    <row r="93" spans="1:72" x14ac:dyDescent="0.15">
      <c r="A93" t="s">
        <v>72</v>
      </c>
      <c r="B93" t="s">
        <v>2123</v>
      </c>
      <c r="C93" t="s">
        <v>74</v>
      </c>
      <c r="D93" t="s">
        <v>74</v>
      </c>
      <c r="E93" t="s">
        <v>74</v>
      </c>
      <c r="F93" t="s">
        <v>2124</v>
      </c>
      <c r="G93" t="s">
        <v>74</v>
      </c>
      <c r="H93" t="s">
        <v>74</v>
      </c>
      <c r="I93" t="s">
        <v>2125</v>
      </c>
      <c r="J93" t="s">
        <v>2126</v>
      </c>
      <c r="K93" t="s">
        <v>74</v>
      </c>
      <c r="L93" t="s">
        <v>74</v>
      </c>
      <c r="M93" t="s">
        <v>78</v>
      </c>
      <c r="N93" t="s">
        <v>79</v>
      </c>
      <c r="O93" t="s">
        <v>74</v>
      </c>
      <c r="P93" t="s">
        <v>74</v>
      </c>
      <c r="Q93" t="s">
        <v>74</v>
      </c>
      <c r="R93" t="s">
        <v>74</v>
      </c>
      <c r="S93" t="s">
        <v>74</v>
      </c>
      <c r="T93" t="s">
        <v>2127</v>
      </c>
      <c r="U93" t="s">
        <v>2128</v>
      </c>
      <c r="V93" t="s">
        <v>2129</v>
      </c>
      <c r="W93" t="s">
        <v>2130</v>
      </c>
      <c r="X93" t="s">
        <v>2131</v>
      </c>
      <c r="Y93" t="s">
        <v>2132</v>
      </c>
      <c r="Z93" t="s">
        <v>2133</v>
      </c>
      <c r="AA93" t="s">
        <v>2134</v>
      </c>
      <c r="AB93" t="s">
        <v>2135</v>
      </c>
      <c r="AC93" t="s">
        <v>2136</v>
      </c>
      <c r="AD93" t="s">
        <v>2137</v>
      </c>
      <c r="AE93" t="s">
        <v>2138</v>
      </c>
      <c r="AF93" t="s">
        <v>74</v>
      </c>
      <c r="AG93">
        <v>128</v>
      </c>
      <c r="AH93">
        <v>2</v>
      </c>
      <c r="AI93">
        <v>2</v>
      </c>
      <c r="AJ93">
        <v>0</v>
      </c>
      <c r="AK93">
        <v>5</v>
      </c>
      <c r="AL93" t="s">
        <v>2042</v>
      </c>
      <c r="AM93" t="s">
        <v>2043</v>
      </c>
      <c r="AN93" t="s">
        <v>2044</v>
      </c>
      <c r="AO93" t="s">
        <v>2139</v>
      </c>
      <c r="AP93" t="s">
        <v>2140</v>
      </c>
      <c r="AQ93" t="s">
        <v>74</v>
      </c>
      <c r="AR93" t="s">
        <v>2126</v>
      </c>
      <c r="AS93" t="s">
        <v>2141</v>
      </c>
      <c r="AT93" t="s">
        <v>537</v>
      </c>
      <c r="AU93">
        <v>2022</v>
      </c>
      <c r="AV93">
        <v>41</v>
      </c>
      <c r="AW93">
        <v>6</v>
      </c>
      <c r="AX93" t="s">
        <v>74</v>
      </c>
      <c r="AY93" t="s">
        <v>74</v>
      </c>
      <c r="AZ93" t="s">
        <v>74</v>
      </c>
      <c r="BA93" t="s">
        <v>74</v>
      </c>
      <c r="BB93" t="s">
        <v>74</v>
      </c>
      <c r="BC93" t="s">
        <v>74</v>
      </c>
      <c r="BD93" t="s">
        <v>2142</v>
      </c>
      <c r="BE93" t="s">
        <v>2143</v>
      </c>
      <c r="BF93" t="str">
        <f>HYPERLINK("http://dx.doi.org/10.1029/2021TC007124","http://dx.doi.org/10.1029/2021TC007124")</f>
        <v>http://dx.doi.org/10.1029/2021TC007124</v>
      </c>
      <c r="BG93" t="s">
        <v>74</v>
      </c>
      <c r="BH93" t="s">
        <v>74</v>
      </c>
      <c r="BI93">
        <v>25</v>
      </c>
      <c r="BJ93" t="s">
        <v>2144</v>
      </c>
      <c r="BK93" t="s">
        <v>101</v>
      </c>
      <c r="BL93" t="s">
        <v>2144</v>
      </c>
      <c r="BM93" t="s">
        <v>2145</v>
      </c>
      <c r="BN93" t="s">
        <v>74</v>
      </c>
      <c r="BO93" t="s">
        <v>74</v>
      </c>
      <c r="BP93" t="s">
        <v>74</v>
      </c>
      <c r="BQ93" t="s">
        <v>74</v>
      </c>
      <c r="BR93" t="s">
        <v>103</v>
      </c>
      <c r="BS93" t="s">
        <v>2146</v>
      </c>
      <c r="BT93" t="str">
        <f>HYPERLINK("https%3A%2F%2Fwww.webofscience.com%2Fwos%2Fwoscc%2Ffull-record%2FWOS:000817175000001","View Full Record in Web of Science")</f>
        <v>View Full Record in Web of Science</v>
      </c>
    </row>
    <row r="94" spans="1:72" x14ac:dyDescent="0.15">
      <c r="A94" t="s">
        <v>72</v>
      </c>
      <c r="B94" t="s">
        <v>2147</v>
      </c>
      <c r="C94" t="s">
        <v>74</v>
      </c>
      <c r="D94" t="s">
        <v>74</v>
      </c>
      <c r="E94" t="s">
        <v>74</v>
      </c>
      <c r="F94" t="s">
        <v>2148</v>
      </c>
      <c r="G94" t="s">
        <v>74</v>
      </c>
      <c r="H94" t="s">
        <v>74</v>
      </c>
      <c r="I94" t="s">
        <v>2149</v>
      </c>
      <c r="J94" t="s">
        <v>2150</v>
      </c>
      <c r="K94" t="s">
        <v>74</v>
      </c>
      <c r="L94" t="s">
        <v>74</v>
      </c>
      <c r="M94" t="s">
        <v>78</v>
      </c>
      <c r="N94" t="s">
        <v>79</v>
      </c>
      <c r="O94" t="s">
        <v>74</v>
      </c>
      <c r="P94" t="s">
        <v>74</v>
      </c>
      <c r="Q94" t="s">
        <v>74</v>
      </c>
      <c r="R94" t="s">
        <v>74</v>
      </c>
      <c r="S94" t="s">
        <v>74</v>
      </c>
      <c r="T94" t="s">
        <v>2151</v>
      </c>
      <c r="U94" t="s">
        <v>2152</v>
      </c>
      <c r="V94" t="s">
        <v>2153</v>
      </c>
      <c r="W94" t="s">
        <v>2154</v>
      </c>
      <c r="X94" t="s">
        <v>2155</v>
      </c>
      <c r="Y94" t="s">
        <v>2156</v>
      </c>
      <c r="Z94" t="s">
        <v>2157</v>
      </c>
      <c r="AA94" t="s">
        <v>74</v>
      </c>
      <c r="AB94" t="s">
        <v>74</v>
      </c>
      <c r="AC94" t="s">
        <v>2158</v>
      </c>
      <c r="AD94" t="s">
        <v>2159</v>
      </c>
      <c r="AE94" t="s">
        <v>2160</v>
      </c>
      <c r="AF94" t="s">
        <v>74</v>
      </c>
      <c r="AG94">
        <v>84</v>
      </c>
      <c r="AH94">
        <v>3</v>
      </c>
      <c r="AI94">
        <v>3</v>
      </c>
      <c r="AJ94">
        <v>4</v>
      </c>
      <c r="AK94">
        <v>20</v>
      </c>
      <c r="AL94" t="s">
        <v>1766</v>
      </c>
      <c r="AM94" t="s">
        <v>1767</v>
      </c>
      <c r="AN94" t="s">
        <v>1768</v>
      </c>
      <c r="AO94" t="s">
        <v>74</v>
      </c>
      <c r="AP94" t="s">
        <v>2161</v>
      </c>
      <c r="AQ94" t="s">
        <v>74</v>
      </c>
      <c r="AR94" t="s">
        <v>2150</v>
      </c>
      <c r="AS94" t="s">
        <v>2162</v>
      </c>
      <c r="AT94" t="s">
        <v>537</v>
      </c>
      <c r="AU94">
        <v>2022</v>
      </c>
      <c r="AV94">
        <v>10</v>
      </c>
      <c r="AW94">
        <v>6</v>
      </c>
      <c r="AX94" t="s">
        <v>74</v>
      </c>
      <c r="AY94" t="s">
        <v>74</v>
      </c>
      <c r="AZ94" t="s">
        <v>74</v>
      </c>
      <c r="BA94" t="s">
        <v>74</v>
      </c>
      <c r="BB94" t="s">
        <v>74</v>
      </c>
      <c r="BC94" t="s">
        <v>74</v>
      </c>
      <c r="BD94">
        <v>302</v>
      </c>
      <c r="BE94" t="s">
        <v>2163</v>
      </c>
      <c r="BF94" t="str">
        <f>HYPERLINK("http://dx.doi.org/10.3390/toxics10060302","http://dx.doi.org/10.3390/toxics10060302")</f>
        <v>http://dx.doi.org/10.3390/toxics10060302</v>
      </c>
      <c r="BG94" t="s">
        <v>74</v>
      </c>
      <c r="BH94" t="s">
        <v>74</v>
      </c>
      <c r="BI94">
        <v>13</v>
      </c>
      <c r="BJ94" t="s">
        <v>2164</v>
      </c>
      <c r="BK94" t="s">
        <v>101</v>
      </c>
      <c r="BL94" t="s">
        <v>2165</v>
      </c>
      <c r="BM94" t="s">
        <v>2166</v>
      </c>
      <c r="BN94">
        <v>35736910</v>
      </c>
      <c r="BO94" t="s">
        <v>2167</v>
      </c>
      <c r="BP94" t="s">
        <v>74</v>
      </c>
      <c r="BQ94" t="s">
        <v>74</v>
      </c>
      <c r="BR94" t="s">
        <v>103</v>
      </c>
      <c r="BS94" t="s">
        <v>2168</v>
      </c>
      <c r="BT94" t="str">
        <f>HYPERLINK("https%3A%2F%2Fwww.webofscience.com%2Fwos%2Fwoscc%2Ffull-record%2FWOS:000816403800001","View Full Record in Web of Science")</f>
        <v>View Full Record in Web of Science</v>
      </c>
    </row>
    <row r="95" spans="1:72" x14ac:dyDescent="0.15">
      <c r="A95" t="s">
        <v>72</v>
      </c>
      <c r="B95" t="s">
        <v>2169</v>
      </c>
      <c r="C95" t="s">
        <v>74</v>
      </c>
      <c r="D95" t="s">
        <v>74</v>
      </c>
      <c r="E95" t="s">
        <v>74</v>
      </c>
      <c r="F95" t="s">
        <v>2170</v>
      </c>
      <c r="G95" t="s">
        <v>74</v>
      </c>
      <c r="H95" t="s">
        <v>74</v>
      </c>
      <c r="I95" t="s">
        <v>2171</v>
      </c>
      <c r="J95" t="s">
        <v>2172</v>
      </c>
      <c r="K95" t="s">
        <v>74</v>
      </c>
      <c r="L95" t="s">
        <v>74</v>
      </c>
      <c r="M95" t="s">
        <v>78</v>
      </c>
      <c r="N95" t="s">
        <v>79</v>
      </c>
      <c r="O95" t="s">
        <v>74</v>
      </c>
      <c r="P95" t="s">
        <v>74</v>
      </c>
      <c r="Q95" t="s">
        <v>74</v>
      </c>
      <c r="R95" t="s">
        <v>74</v>
      </c>
      <c r="S95" t="s">
        <v>74</v>
      </c>
      <c r="T95" t="s">
        <v>2173</v>
      </c>
      <c r="U95" t="s">
        <v>2174</v>
      </c>
      <c r="V95" t="s">
        <v>2175</v>
      </c>
      <c r="W95" t="s">
        <v>2176</v>
      </c>
      <c r="X95" t="s">
        <v>2177</v>
      </c>
      <c r="Y95" t="s">
        <v>2178</v>
      </c>
      <c r="Z95" t="s">
        <v>2179</v>
      </c>
      <c r="AA95" t="s">
        <v>2180</v>
      </c>
      <c r="AB95" t="s">
        <v>2181</v>
      </c>
      <c r="AC95" t="s">
        <v>2182</v>
      </c>
      <c r="AD95" t="s">
        <v>2182</v>
      </c>
      <c r="AE95" t="s">
        <v>2183</v>
      </c>
      <c r="AF95" t="s">
        <v>74</v>
      </c>
      <c r="AG95">
        <v>65</v>
      </c>
      <c r="AH95">
        <v>7</v>
      </c>
      <c r="AI95">
        <v>7</v>
      </c>
      <c r="AJ95">
        <v>5</v>
      </c>
      <c r="AK95">
        <v>23</v>
      </c>
      <c r="AL95" t="s">
        <v>530</v>
      </c>
      <c r="AM95" t="s">
        <v>1121</v>
      </c>
      <c r="AN95" t="s">
        <v>1122</v>
      </c>
      <c r="AO95" t="s">
        <v>2184</v>
      </c>
      <c r="AP95" t="s">
        <v>2185</v>
      </c>
      <c r="AQ95" t="s">
        <v>74</v>
      </c>
      <c r="AR95" t="s">
        <v>2172</v>
      </c>
      <c r="AS95" t="s">
        <v>2186</v>
      </c>
      <c r="AT95" t="s">
        <v>537</v>
      </c>
      <c r="AU95">
        <v>2022</v>
      </c>
      <c r="AV95">
        <v>172</v>
      </c>
      <c r="AW95" t="s">
        <v>2187</v>
      </c>
      <c r="AX95" t="s">
        <v>74</v>
      </c>
      <c r="AY95" t="s">
        <v>74</v>
      </c>
      <c r="AZ95" t="s">
        <v>74</v>
      </c>
      <c r="BA95" t="s">
        <v>74</v>
      </c>
      <c r="BB95" t="s">
        <v>74</v>
      </c>
      <c r="BC95" t="s">
        <v>74</v>
      </c>
      <c r="BD95">
        <v>38</v>
      </c>
      <c r="BE95" t="s">
        <v>2188</v>
      </c>
      <c r="BF95" t="str">
        <f>HYPERLINK("http://dx.doi.org/10.1007/s10584-022-03391-2","http://dx.doi.org/10.1007/s10584-022-03391-2")</f>
        <v>http://dx.doi.org/10.1007/s10584-022-03391-2</v>
      </c>
      <c r="BG95" t="s">
        <v>74</v>
      </c>
      <c r="BH95" t="s">
        <v>74</v>
      </c>
      <c r="BI95">
        <v>23</v>
      </c>
      <c r="BJ95" t="s">
        <v>1797</v>
      </c>
      <c r="BK95" t="s">
        <v>101</v>
      </c>
      <c r="BL95" t="s">
        <v>957</v>
      </c>
      <c r="BM95" t="s">
        <v>2189</v>
      </c>
      <c r="BN95" t="s">
        <v>74</v>
      </c>
      <c r="BO95" t="s">
        <v>643</v>
      </c>
      <c r="BP95" t="s">
        <v>74</v>
      </c>
      <c r="BQ95" t="s">
        <v>74</v>
      </c>
      <c r="BR95" t="s">
        <v>103</v>
      </c>
      <c r="BS95" t="s">
        <v>2190</v>
      </c>
      <c r="BT95" t="str">
        <f>HYPERLINK("https%3A%2F%2Fwww.webofscience.com%2Fwos%2Fwoscc%2Ffull-record%2FWOS:000815061300001","View Full Record in Web of Science")</f>
        <v>View Full Record in Web of Science</v>
      </c>
    </row>
    <row r="96" spans="1:72" x14ac:dyDescent="0.15">
      <c r="A96" t="s">
        <v>72</v>
      </c>
      <c r="B96" t="s">
        <v>2191</v>
      </c>
      <c r="C96" t="s">
        <v>74</v>
      </c>
      <c r="D96" t="s">
        <v>74</v>
      </c>
      <c r="E96" t="s">
        <v>74</v>
      </c>
      <c r="F96" t="s">
        <v>2192</v>
      </c>
      <c r="G96" t="s">
        <v>74</v>
      </c>
      <c r="H96" t="s">
        <v>74</v>
      </c>
      <c r="I96" t="s">
        <v>2193</v>
      </c>
      <c r="J96" t="s">
        <v>1848</v>
      </c>
      <c r="K96" t="s">
        <v>74</v>
      </c>
      <c r="L96" t="s">
        <v>74</v>
      </c>
      <c r="M96" t="s">
        <v>78</v>
      </c>
      <c r="N96" t="s">
        <v>79</v>
      </c>
      <c r="O96" t="s">
        <v>74</v>
      </c>
      <c r="P96" t="s">
        <v>74</v>
      </c>
      <c r="Q96" t="s">
        <v>74</v>
      </c>
      <c r="R96" t="s">
        <v>74</v>
      </c>
      <c r="S96" t="s">
        <v>74</v>
      </c>
      <c r="T96" t="s">
        <v>2194</v>
      </c>
      <c r="U96" t="s">
        <v>2195</v>
      </c>
      <c r="V96" t="s">
        <v>2196</v>
      </c>
      <c r="W96" t="s">
        <v>2197</v>
      </c>
      <c r="X96" t="s">
        <v>2198</v>
      </c>
      <c r="Y96" t="s">
        <v>2199</v>
      </c>
      <c r="Z96" t="s">
        <v>2200</v>
      </c>
      <c r="AA96" t="s">
        <v>2201</v>
      </c>
      <c r="AB96" t="s">
        <v>2202</v>
      </c>
      <c r="AC96" t="s">
        <v>2203</v>
      </c>
      <c r="AD96" t="s">
        <v>2204</v>
      </c>
      <c r="AE96" t="s">
        <v>2205</v>
      </c>
      <c r="AF96" t="s">
        <v>74</v>
      </c>
      <c r="AG96">
        <v>63</v>
      </c>
      <c r="AH96">
        <v>4</v>
      </c>
      <c r="AI96">
        <v>4</v>
      </c>
      <c r="AJ96">
        <v>0</v>
      </c>
      <c r="AK96">
        <v>4</v>
      </c>
      <c r="AL96" t="s">
        <v>1766</v>
      </c>
      <c r="AM96" t="s">
        <v>1767</v>
      </c>
      <c r="AN96" t="s">
        <v>1768</v>
      </c>
      <c r="AO96" t="s">
        <v>74</v>
      </c>
      <c r="AP96" t="s">
        <v>1859</v>
      </c>
      <c r="AQ96" t="s">
        <v>74</v>
      </c>
      <c r="AR96" t="s">
        <v>1848</v>
      </c>
      <c r="AS96" t="s">
        <v>1860</v>
      </c>
      <c r="AT96" t="s">
        <v>537</v>
      </c>
      <c r="AU96">
        <v>2022</v>
      </c>
      <c r="AV96">
        <v>14</v>
      </c>
      <c r="AW96">
        <v>6</v>
      </c>
      <c r="AX96" t="s">
        <v>74</v>
      </c>
      <c r="AY96" t="s">
        <v>74</v>
      </c>
      <c r="AZ96" t="s">
        <v>74</v>
      </c>
      <c r="BA96" t="s">
        <v>74</v>
      </c>
      <c r="BB96" t="s">
        <v>74</v>
      </c>
      <c r="BC96" t="s">
        <v>74</v>
      </c>
      <c r="BD96">
        <v>433</v>
      </c>
      <c r="BE96" t="s">
        <v>2206</v>
      </c>
      <c r="BF96" t="str">
        <f>HYPERLINK("http://dx.doi.org/10.3390/d14060433","http://dx.doi.org/10.3390/d14060433")</f>
        <v>http://dx.doi.org/10.3390/d14060433</v>
      </c>
      <c r="BG96" t="s">
        <v>74</v>
      </c>
      <c r="BH96" t="s">
        <v>74</v>
      </c>
      <c r="BI96">
        <v>19</v>
      </c>
      <c r="BJ96" t="s">
        <v>539</v>
      </c>
      <c r="BK96" t="s">
        <v>101</v>
      </c>
      <c r="BL96" t="s">
        <v>540</v>
      </c>
      <c r="BM96" t="s">
        <v>2207</v>
      </c>
      <c r="BN96" t="s">
        <v>74</v>
      </c>
      <c r="BO96" t="s">
        <v>438</v>
      </c>
      <c r="BP96" t="s">
        <v>74</v>
      </c>
      <c r="BQ96" t="s">
        <v>74</v>
      </c>
      <c r="BR96" t="s">
        <v>103</v>
      </c>
      <c r="BS96" t="s">
        <v>2208</v>
      </c>
      <c r="BT96" t="str">
        <f>HYPERLINK("https%3A%2F%2Fwww.webofscience.com%2Fwos%2Fwoscc%2Ffull-record%2FWOS:000815972900001","View Full Record in Web of Science")</f>
        <v>View Full Record in Web of Science</v>
      </c>
    </row>
    <row r="97" spans="1:72" x14ac:dyDescent="0.15">
      <c r="A97" t="s">
        <v>72</v>
      </c>
      <c r="B97" t="s">
        <v>2209</v>
      </c>
      <c r="C97" t="s">
        <v>74</v>
      </c>
      <c r="D97" t="s">
        <v>74</v>
      </c>
      <c r="E97" t="s">
        <v>74</v>
      </c>
      <c r="F97" t="s">
        <v>2210</v>
      </c>
      <c r="G97" t="s">
        <v>74</v>
      </c>
      <c r="H97" t="s">
        <v>74</v>
      </c>
      <c r="I97" t="s">
        <v>2211</v>
      </c>
      <c r="J97" t="s">
        <v>2212</v>
      </c>
      <c r="K97" t="s">
        <v>74</v>
      </c>
      <c r="L97" t="s">
        <v>74</v>
      </c>
      <c r="M97" t="s">
        <v>78</v>
      </c>
      <c r="N97" t="s">
        <v>79</v>
      </c>
      <c r="O97" t="s">
        <v>74</v>
      </c>
      <c r="P97" t="s">
        <v>74</v>
      </c>
      <c r="Q97" t="s">
        <v>74</v>
      </c>
      <c r="R97" t="s">
        <v>74</v>
      </c>
      <c r="S97" t="s">
        <v>74</v>
      </c>
      <c r="T97" t="s">
        <v>2213</v>
      </c>
      <c r="U97" t="s">
        <v>2214</v>
      </c>
      <c r="V97" t="s">
        <v>2215</v>
      </c>
      <c r="W97" t="s">
        <v>2216</v>
      </c>
      <c r="X97" t="s">
        <v>2217</v>
      </c>
      <c r="Y97" t="s">
        <v>2218</v>
      </c>
      <c r="Z97" t="s">
        <v>2219</v>
      </c>
      <c r="AA97" t="s">
        <v>74</v>
      </c>
      <c r="AB97" t="s">
        <v>2220</v>
      </c>
      <c r="AC97" t="s">
        <v>2221</v>
      </c>
      <c r="AD97" t="s">
        <v>2222</v>
      </c>
      <c r="AE97" t="s">
        <v>2223</v>
      </c>
      <c r="AF97" t="s">
        <v>74</v>
      </c>
      <c r="AG97">
        <v>40</v>
      </c>
      <c r="AH97">
        <v>0</v>
      </c>
      <c r="AI97">
        <v>0</v>
      </c>
      <c r="AJ97">
        <v>2</v>
      </c>
      <c r="AK97">
        <v>5</v>
      </c>
      <c r="AL97" t="s">
        <v>530</v>
      </c>
      <c r="AM97" t="s">
        <v>531</v>
      </c>
      <c r="AN97" t="s">
        <v>532</v>
      </c>
      <c r="AO97" t="s">
        <v>2224</v>
      </c>
      <c r="AP97" t="s">
        <v>2225</v>
      </c>
      <c r="AQ97" t="s">
        <v>74</v>
      </c>
      <c r="AR97" t="s">
        <v>2226</v>
      </c>
      <c r="AS97" t="s">
        <v>2227</v>
      </c>
      <c r="AT97" t="s">
        <v>537</v>
      </c>
      <c r="AU97">
        <v>2022</v>
      </c>
      <c r="AV97">
        <v>96</v>
      </c>
      <c r="AW97">
        <v>6</v>
      </c>
      <c r="AX97" t="s">
        <v>74</v>
      </c>
      <c r="AY97" t="s">
        <v>74</v>
      </c>
      <c r="AZ97" t="s">
        <v>74</v>
      </c>
      <c r="BA97" t="s">
        <v>74</v>
      </c>
      <c r="BB97" t="s">
        <v>74</v>
      </c>
      <c r="BC97" t="s">
        <v>74</v>
      </c>
      <c r="BD97">
        <v>45</v>
      </c>
      <c r="BE97" t="s">
        <v>2228</v>
      </c>
      <c r="BF97" t="str">
        <f>HYPERLINK("http://dx.doi.org/10.1007/s00190-022-01631-y","http://dx.doi.org/10.1007/s00190-022-01631-y")</f>
        <v>http://dx.doi.org/10.1007/s00190-022-01631-y</v>
      </c>
      <c r="BG97" t="s">
        <v>74</v>
      </c>
      <c r="BH97" t="s">
        <v>74</v>
      </c>
      <c r="BI97">
        <v>8</v>
      </c>
      <c r="BJ97" t="s">
        <v>2229</v>
      </c>
      <c r="BK97" t="s">
        <v>101</v>
      </c>
      <c r="BL97" t="s">
        <v>2229</v>
      </c>
      <c r="BM97" t="s">
        <v>2230</v>
      </c>
      <c r="BN97" t="s">
        <v>74</v>
      </c>
      <c r="BO97" t="s">
        <v>267</v>
      </c>
      <c r="BP97" t="s">
        <v>74</v>
      </c>
      <c r="BQ97" t="s">
        <v>74</v>
      </c>
      <c r="BR97" t="s">
        <v>103</v>
      </c>
      <c r="BS97" t="s">
        <v>2231</v>
      </c>
      <c r="BT97" t="str">
        <f>HYPERLINK("https%3A%2F%2Fwww.webofscience.com%2Fwos%2Fwoscc%2Ffull-record%2FWOS:000815087200001","View Full Record in Web of Science")</f>
        <v>View Full Record in Web of Science</v>
      </c>
    </row>
    <row r="98" spans="1:72" x14ac:dyDescent="0.15">
      <c r="A98" t="s">
        <v>72</v>
      </c>
      <c r="B98" t="s">
        <v>2232</v>
      </c>
      <c r="C98" t="s">
        <v>74</v>
      </c>
      <c r="D98" t="s">
        <v>74</v>
      </c>
      <c r="E98" t="s">
        <v>74</v>
      </c>
      <c r="F98" t="s">
        <v>2233</v>
      </c>
      <c r="G98" t="s">
        <v>74</v>
      </c>
      <c r="H98" t="s">
        <v>74</v>
      </c>
      <c r="I98" t="s">
        <v>2234</v>
      </c>
      <c r="J98" t="s">
        <v>2235</v>
      </c>
      <c r="K98" t="s">
        <v>74</v>
      </c>
      <c r="L98" t="s">
        <v>74</v>
      </c>
      <c r="M98" t="s">
        <v>78</v>
      </c>
      <c r="N98" t="s">
        <v>79</v>
      </c>
      <c r="O98" t="s">
        <v>74</v>
      </c>
      <c r="P98" t="s">
        <v>74</v>
      </c>
      <c r="Q98" t="s">
        <v>74</v>
      </c>
      <c r="R98" t="s">
        <v>74</v>
      </c>
      <c r="S98" t="s">
        <v>74</v>
      </c>
      <c r="T98" t="s">
        <v>2236</v>
      </c>
      <c r="U98" t="s">
        <v>2237</v>
      </c>
      <c r="V98" t="s">
        <v>2238</v>
      </c>
      <c r="W98" t="s">
        <v>2239</v>
      </c>
      <c r="X98" t="s">
        <v>2240</v>
      </c>
      <c r="Y98" t="s">
        <v>2241</v>
      </c>
      <c r="Z98" t="s">
        <v>2242</v>
      </c>
      <c r="AA98" t="s">
        <v>2243</v>
      </c>
      <c r="AB98" t="s">
        <v>2244</v>
      </c>
      <c r="AC98" t="s">
        <v>2245</v>
      </c>
      <c r="AD98" t="s">
        <v>2246</v>
      </c>
      <c r="AE98" t="s">
        <v>2247</v>
      </c>
      <c r="AF98" t="s">
        <v>74</v>
      </c>
      <c r="AG98">
        <v>72</v>
      </c>
      <c r="AH98">
        <v>5</v>
      </c>
      <c r="AI98">
        <v>5</v>
      </c>
      <c r="AJ98">
        <v>0</v>
      </c>
      <c r="AK98">
        <v>3</v>
      </c>
      <c r="AL98" t="s">
        <v>2042</v>
      </c>
      <c r="AM98" t="s">
        <v>2043</v>
      </c>
      <c r="AN98" t="s">
        <v>2044</v>
      </c>
      <c r="AO98" t="s">
        <v>2248</v>
      </c>
      <c r="AP98" t="s">
        <v>2249</v>
      </c>
      <c r="AQ98" t="s">
        <v>74</v>
      </c>
      <c r="AR98" t="s">
        <v>2250</v>
      </c>
      <c r="AS98" t="s">
        <v>2251</v>
      </c>
      <c r="AT98" t="s">
        <v>537</v>
      </c>
      <c r="AU98">
        <v>2022</v>
      </c>
      <c r="AV98">
        <v>127</v>
      </c>
      <c r="AW98">
        <v>6</v>
      </c>
      <c r="AX98" t="s">
        <v>74</v>
      </c>
      <c r="AY98" t="s">
        <v>74</v>
      </c>
      <c r="AZ98" t="s">
        <v>74</v>
      </c>
      <c r="BA98" t="s">
        <v>74</v>
      </c>
      <c r="BB98" t="s">
        <v>74</v>
      </c>
      <c r="BC98" t="s">
        <v>74</v>
      </c>
      <c r="BD98" t="s">
        <v>2252</v>
      </c>
      <c r="BE98" t="s">
        <v>2253</v>
      </c>
      <c r="BF98" t="str">
        <f>HYPERLINK("http://dx.doi.org/10.1029/2022JF006673","http://dx.doi.org/10.1029/2022JF006673")</f>
        <v>http://dx.doi.org/10.1029/2022JF006673</v>
      </c>
      <c r="BG98" t="s">
        <v>74</v>
      </c>
      <c r="BH98" t="s">
        <v>74</v>
      </c>
      <c r="BI98">
        <v>24</v>
      </c>
      <c r="BJ98" t="s">
        <v>265</v>
      </c>
      <c r="BK98" t="s">
        <v>101</v>
      </c>
      <c r="BL98" t="s">
        <v>100</v>
      </c>
      <c r="BM98" t="s">
        <v>2254</v>
      </c>
      <c r="BN98" t="s">
        <v>74</v>
      </c>
      <c r="BO98" t="s">
        <v>883</v>
      </c>
      <c r="BP98" t="s">
        <v>74</v>
      </c>
      <c r="BQ98" t="s">
        <v>74</v>
      </c>
      <c r="BR98" t="s">
        <v>103</v>
      </c>
      <c r="BS98" t="s">
        <v>2255</v>
      </c>
      <c r="BT98" t="str">
        <f>HYPERLINK("https%3A%2F%2Fwww.webofscience.com%2Fwos%2Fwoscc%2Ffull-record%2FWOS:000814420800001","View Full Record in Web of Science")</f>
        <v>View Full Record in Web of Science</v>
      </c>
    </row>
    <row r="99" spans="1:72" x14ac:dyDescent="0.15">
      <c r="A99" t="s">
        <v>72</v>
      </c>
      <c r="B99" t="s">
        <v>2256</v>
      </c>
      <c r="C99" t="s">
        <v>74</v>
      </c>
      <c r="D99" t="s">
        <v>74</v>
      </c>
      <c r="E99" t="s">
        <v>74</v>
      </c>
      <c r="F99" t="s">
        <v>2257</v>
      </c>
      <c r="G99" t="s">
        <v>74</v>
      </c>
      <c r="H99" t="s">
        <v>74</v>
      </c>
      <c r="I99" t="s">
        <v>2258</v>
      </c>
      <c r="J99" t="s">
        <v>2259</v>
      </c>
      <c r="K99" t="s">
        <v>74</v>
      </c>
      <c r="L99" t="s">
        <v>74</v>
      </c>
      <c r="M99" t="s">
        <v>78</v>
      </c>
      <c r="N99" t="s">
        <v>79</v>
      </c>
      <c r="O99" t="s">
        <v>74</v>
      </c>
      <c r="P99" t="s">
        <v>74</v>
      </c>
      <c r="Q99" t="s">
        <v>74</v>
      </c>
      <c r="R99" t="s">
        <v>74</v>
      </c>
      <c r="S99" t="s">
        <v>74</v>
      </c>
      <c r="T99" t="s">
        <v>2260</v>
      </c>
      <c r="U99" t="s">
        <v>2261</v>
      </c>
      <c r="V99" t="s">
        <v>2262</v>
      </c>
      <c r="W99" t="s">
        <v>2263</v>
      </c>
      <c r="X99" t="s">
        <v>2264</v>
      </c>
      <c r="Y99" t="s">
        <v>2265</v>
      </c>
      <c r="Z99" t="s">
        <v>2266</v>
      </c>
      <c r="AA99" t="s">
        <v>74</v>
      </c>
      <c r="AB99" t="s">
        <v>74</v>
      </c>
      <c r="AC99" t="s">
        <v>2267</v>
      </c>
      <c r="AD99" t="s">
        <v>2268</v>
      </c>
      <c r="AE99" t="s">
        <v>2269</v>
      </c>
      <c r="AF99" t="s">
        <v>74</v>
      </c>
      <c r="AG99">
        <v>53</v>
      </c>
      <c r="AH99">
        <v>2</v>
      </c>
      <c r="AI99">
        <v>2</v>
      </c>
      <c r="AJ99">
        <v>1</v>
      </c>
      <c r="AK99">
        <v>1</v>
      </c>
      <c r="AL99" t="s">
        <v>1372</v>
      </c>
      <c r="AM99" t="s">
        <v>531</v>
      </c>
      <c r="AN99" t="s">
        <v>1373</v>
      </c>
      <c r="AO99" t="s">
        <v>2270</v>
      </c>
      <c r="AP99" t="s">
        <v>2271</v>
      </c>
      <c r="AQ99" t="s">
        <v>74</v>
      </c>
      <c r="AR99" t="s">
        <v>2272</v>
      </c>
      <c r="AS99" t="s">
        <v>2273</v>
      </c>
      <c r="AT99" t="s">
        <v>537</v>
      </c>
      <c r="AU99">
        <v>2022</v>
      </c>
      <c r="AV99">
        <v>38</v>
      </c>
      <c r="AW99">
        <v>3</v>
      </c>
      <c r="AX99" t="s">
        <v>74</v>
      </c>
      <c r="AY99" t="s">
        <v>74</v>
      </c>
      <c r="AZ99" t="s">
        <v>74</v>
      </c>
      <c r="BA99" t="s">
        <v>74</v>
      </c>
      <c r="BB99">
        <v>121</v>
      </c>
      <c r="BC99">
        <v>131</v>
      </c>
      <c r="BD99" t="s">
        <v>74</v>
      </c>
      <c r="BE99" t="s">
        <v>2274</v>
      </c>
      <c r="BF99" t="str">
        <f>HYPERLINK("http://dx.doi.org/10.3103/S0884591322030023","http://dx.doi.org/10.3103/S0884591322030023")</f>
        <v>http://dx.doi.org/10.3103/S0884591322030023</v>
      </c>
      <c r="BG99" t="s">
        <v>74</v>
      </c>
      <c r="BH99" t="s">
        <v>74</v>
      </c>
      <c r="BI99">
        <v>11</v>
      </c>
      <c r="BJ99" t="s">
        <v>2275</v>
      </c>
      <c r="BK99" t="s">
        <v>101</v>
      </c>
      <c r="BL99" t="s">
        <v>2275</v>
      </c>
      <c r="BM99" t="s">
        <v>2276</v>
      </c>
      <c r="BN99" t="s">
        <v>74</v>
      </c>
      <c r="BO99" t="s">
        <v>986</v>
      </c>
      <c r="BP99" t="s">
        <v>74</v>
      </c>
      <c r="BQ99" t="s">
        <v>74</v>
      </c>
      <c r="BR99" t="s">
        <v>103</v>
      </c>
      <c r="BS99" t="s">
        <v>2277</v>
      </c>
      <c r="BT99" t="str">
        <f>HYPERLINK("https%3A%2F%2Fwww.webofscience.com%2Fwos%2Fwoscc%2Ffull-record%2FWOS:000815495500001","View Full Record in Web of Science")</f>
        <v>View Full Record in Web of Science</v>
      </c>
    </row>
    <row r="100" spans="1:72" x14ac:dyDescent="0.15">
      <c r="A100" t="s">
        <v>72</v>
      </c>
      <c r="B100" t="s">
        <v>2278</v>
      </c>
      <c r="C100" t="s">
        <v>74</v>
      </c>
      <c r="D100" t="s">
        <v>74</v>
      </c>
      <c r="E100" t="s">
        <v>74</v>
      </c>
      <c r="F100" t="s">
        <v>2279</v>
      </c>
      <c r="G100" t="s">
        <v>74</v>
      </c>
      <c r="H100" t="s">
        <v>74</v>
      </c>
      <c r="I100" t="s">
        <v>2280</v>
      </c>
      <c r="J100" t="s">
        <v>2080</v>
      </c>
      <c r="K100" t="s">
        <v>74</v>
      </c>
      <c r="L100" t="s">
        <v>74</v>
      </c>
      <c r="M100" t="s">
        <v>78</v>
      </c>
      <c r="N100" t="s">
        <v>161</v>
      </c>
      <c r="O100" t="s">
        <v>74</v>
      </c>
      <c r="P100" t="s">
        <v>74</v>
      </c>
      <c r="Q100" t="s">
        <v>74</v>
      </c>
      <c r="R100" t="s">
        <v>74</v>
      </c>
      <c r="S100" t="s">
        <v>74</v>
      </c>
      <c r="T100" t="s">
        <v>2281</v>
      </c>
      <c r="U100" t="s">
        <v>2282</v>
      </c>
      <c r="V100" t="s">
        <v>2283</v>
      </c>
      <c r="W100" t="s">
        <v>2284</v>
      </c>
      <c r="X100" t="s">
        <v>2285</v>
      </c>
      <c r="Y100" t="s">
        <v>2286</v>
      </c>
      <c r="Z100" t="s">
        <v>2287</v>
      </c>
      <c r="AA100" t="s">
        <v>74</v>
      </c>
      <c r="AB100" t="s">
        <v>2288</v>
      </c>
      <c r="AC100" t="s">
        <v>2289</v>
      </c>
      <c r="AD100" t="s">
        <v>2290</v>
      </c>
      <c r="AE100" t="s">
        <v>2291</v>
      </c>
      <c r="AF100" t="s">
        <v>74</v>
      </c>
      <c r="AG100">
        <v>157</v>
      </c>
      <c r="AH100">
        <v>11</v>
      </c>
      <c r="AI100">
        <v>13</v>
      </c>
      <c r="AJ100">
        <v>12</v>
      </c>
      <c r="AK100">
        <v>58</v>
      </c>
      <c r="AL100" t="s">
        <v>1766</v>
      </c>
      <c r="AM100" t="s">
        <v>1767</v>
      </c>
      <c r="AN100" t="s">
        <v>1768</v>
      </c>
      <c r="AO100" t="s">
        <v>74</v>
      </c>
      <c r="AP100" t="s">
        <v>2092</v>
      </c>
      <c r="AQ100" t="s">
        <v>74</v>
      </c>
      <c r="AR100" t="s">
        <v>2080</v>
      </c>
      <c r="AS100" t="s">
        <v>2093</v>
      </c>
      <c r="AT100" t="s">
        <v>537</v>
      </c>
      <c r="AU100">
        <v>2022</v>
      </c>
      <c r="AV100">
        <v>12</v>
      </c>
      <c r="AW100">
        <v>6</v>
      </c>
      <c r="AX100" t="s">
        <v>74</v>
      </c>
      <c r="AY100" t="s">
        <v>74</v>
      </c>
      <c r="AZ100" t="s">
        <v>74</v>
      </c>
      <c r="BA100" t="s">
        <v>74</v>
      </c>
      <c r="BB100" t="s">
        <v>74</v>
      </c>
      <c r="BC100" t="s">
        <v>74</v>
      </c>
      <c r="BD100">
        <v>916</v>
      </c>
      <c r="BE100" t="s">
        <v>2292</v>
      </c>
      <c r="BF100" t="str">
        <f>HYPERLINK("http://dx.doi.org/10.3390/life12060916","http://dx.doi.org/10.3390/life12060916")</f>
        <v>http://dx.doi.org/10.3390/life12060916</v>
      </c>
      <c r="BG100" t="s">
        <v>74</v>
      </c>
      <c r="BH100" t="s">
        <v>74</v>
      </c>
      <c r="BI100">
        <v>31</v>
      </c>
      <c r="BJ100" t="s">
        <v>2095</v>
      </c>
      <c r="BK100" t="s">
        <v>101</v>
      </c>
      <c r="BL100" t="s">
        <v>2096</v>
      </c>
      <c r="BM100" t="s">
        <v>2293</v>
      </c>
      <c r="BN100">
        <v>35743947</v>
      </c>
      <c r="BO100" t="s">
        <v>1533</v>
      </c>
      <c r="BP100" t="s">
        <v>74</v>
      </c>
      <c r="BQ100" t="s">
        <v>74</v>
      </c>
      <c r="BR100" t="s">
        <v>103</v>
      </c>
      <c r="BS100" t="s">
        <v>2294</v>
      </c>
      <c r="BT100" t="str">
        <f>HYPERLINK("https%3A%2F%2Fwww.webofscience.com%2Fwos%2Fwoscc%2Ffull-record%2FWOS:000815881000001","View Full Record in Web of Science")</f>
        <v>View Full Record in Web of Science</v>
      </c>
    </row>
    <row r="101" spans="1:72" x14ac:dyDescent="0.15">
      <c r="A101" t="s">
        <v>72</v>
      </c>
      <c r="B101" t="s">
        <v>2295</v>
      </c>
      <c r="C101" t="s">
        <v>74</v>
      </c>
      <c r="D101" t="s">
        <v>74</v>
      </c>
      <c r="E101" t="s">
        <v>74</v>
      </c>
      <c r="F101" t="s">
        <v>2296</v>
      </c>
      <c r="G101" t="s">
        <v>74</v>
      </c>
      <c r="H101" t="s">
        <v>74</v>
      </c>
      <c r="I101" t="s">
        <v>2297</v>
      </c>
      <c r="J101" t="s">
        <v>1884</v>
      </c>
      <c r="K101" t="s">
        <v>74</v>
      </c>
      <c r="L101" t="s">
        <v>74</v>
      </c>
      <c r="M101" t="s">
        <v>78</v>
      </c>
      <c r="N101" t="s">
        <v>79</v>
      </c>
      <c r="O101" t="s">
        <v>74</v>
      </c>
      <c r="P101" t="s">
        <v>74</v>
      </c>
      <c r="Q101" t="s">
        <v>74</v>
      </c>
      <c r="R101" t="s">
        <v>74</v>
      </c>
      <c r="S101" t="s">
        <v>74</v>
      </c>
      <c r="T101" t="s">
        <v>2298</v>
      </c>
      <c r="U101" t="s">
        <v>2299</v>
      </c>
      <c r="V101" t="s">
        <v>2300</v>
      </c>
      <c r="W101" t="s">
        <v>2301</v>
      </c>
      <c r="X101" t="s">
        <v>2302</v>
      </c>
      <c r="Y101" t="s">
        <v>2303</v>
      </c>
      <c r="Z101" t="s">
        <v>2304</v>
      </c>
      <c r="AA101" t="s">
        <v>2305</v>
      </c>
      <c r="AB101" t="s">
        <v>2306</v>
      </c>
      <c r="AC101" t="s">
        <v>2307</v>
      </c>
      <c r="AD101" t="s">
        <v>2308</v>
      </c>
      <c r="AE101" t="s">
        <v>2309</v>
      </c>
      <c r="AF101" t="s">
        <v>74</v>
      </c>
      <c r="AG101">
        <v>55</v>
      </c>
      <c r="AH101">
        <v>0</v>
      </c>
      <c r="AI101">
        <v>0</v>
      </c>
      <c r="AJ101">
        <v>0</v>
      </c>
      <c r="AK101">
        <v>2</v>
      </c>
      <c r="AL101" t="s">
        <v>1766</v>
      </c>
      <c r="AM101" t="s">
        <v>1767</v>
      </c>
      <c r="AN101" t="s">
        <v>1768</v>
      </c>
      <c r="AO101" t="s">
        <v>74</v>
      </c>
      <c r="AP101" t="s">
        <v>1897</v>
      </c>
      <c r="AQ101" t="s">
        <v>74</v>
      </c>
      <c r="AR101" t="s">
        <v>1884</v>
      </c>
      <c r="AS101" t="s">
        <v>1898</v>
      </c>
      <c r="AT101" t="s">
        <v>537</v>
      </c>
      <c r="AU101">
        <v>2022</v>
      </c>
      <c r="AV101">
        <v>10</v>
      </c>
      <c r="AW101">
        <v>6</v>
      </c>
      <c r="AX101" t="s">
        <v>74</v>
      </c>
      <c r="AY101" t="s">
        <v>74</v>
      </c>
      <c r="AZ101" t="s">
        <v>74</v>
      </c>
      <c r="BA101" t="s">
        <v>74</v>
      </c>
      <c r="BB101" t="s">
        <v>74</v>
      </c>
      <c r="BC101" t="s">
        <v>74</v>
      </c>
      <c r="BD101">
        <v>1089</v>
      </c>
      <c r="BE101" t="s">
        <v>2310</v>
      </c>
      <c r="BF101" t="str">
        <f>HYPERLINK("http://dx.doi.org/10.3390/microorganisms10061089","http://dx.doi.org/10.3390/microorganisms10061089")</f>
        <v>http://dx.doi.org/10.3390/microorganisms10061089</v>
      </c>
      <c r="BG101" t="s">
        <v>74</v>
      </c>
      <c r="BH101" t="s">
        <v>74</v>
      </c>
      <c r="BI101">
        <v>11</v>
      </c>
      <c r="BJ101" t="s">
        <v>293</v>
      </c>
      <c r="BK101" t="s">
        <v>101</v>
      </c>
      <c r="BL101" t="s">
        <v>293</v>
      </c>
      <c r="BM101" t="s">
        <v>2311</v>
      </c>
      <c r="BN101">
        <v>35744607</v>
      </c>
      <c r="BO101" t="s">
        <v>295</v>
      </c>
      <c r="BP101" t="s">
        <v>74</v>
      </c>
      <c r="BQ101" t="s">
        <v>74</v>
      </c>
      <c r="BR101" t="s">
        <v>103</v>
      </c>
      <c r="BS101" t="s">
        <v>2312</v>
      </c>
      <c r="BT101" t="str">
        <f>HYPERLINK("https%3A%2F%2Fwww.webofscience.com%2Fwos%2Fwoscc%2Ffull-record%2FWOS:000815926800001","View Full Record in Web of Science")</f>
        <v>View Full Record in Web of Science</v>
      </c>
    </row>
    <row r="102" spans="1:72" x14ac:dyDescent="0.15">
      <c r="A102" t="s">
        <v>72</v>
      </c>
      <c r="B102" t="s">
        <v>2313</v>
      </c>
      <c r="C102" t="s">
        <v>74</v>
      </c>
      <c r="D102" t="s">
        <v>74</v>
      </c>
      <c r="E102" t="s">
        <v>74</v>
      </c>
      <c r="F102" t="s">
        <v>2314</v>
      </c>
      <c r="G102" t="s">
        <v>74</v>
      </c>
      <c r="H102" t="s">
        <v>74</v>
      </c>
      <c r="I102" t="s">
        <v>2315</v>
      </c>
      <c r="J102" t="s">
        <v>2316</v>
      </c>
      <c r="K102" t="s">
        <v>74</v>
      </c>
      <c r="L102" t="s">
        <v>74</v>
      </c>
      <c r="M102" t="s">
        <v>78</v>
      </c>
      <c r="N102" t="s">
        <v>79</v>
      </c>
      <c r="O102" t="s">
        <v>74</v>
      </c>
      <c r="P102" t="s">
        <v>74</v>
      </c>
      <c r="Q102" t="s">
        <v>74</v>
      </c>
      <c r="R102" t="s">
        <v>74</v>
      </c>
      <c r="S102" t="s">
        <v>74</v>
      </c>
      <c r="T102" t="s">
        <v>2317</v>
      </c>
      <c r="U102" t="s">
        <v>2318</v>
      </c>
      <c r="V102" t="s">
        <v>2319</v>
      </c>
      <c r="W102" t="s">
        <v>2320</v>
      </c>
      <c r="X102" t="s">
        <v>2321</v>
      </c>
      <c r="Y102" t="s">
        <v>2322</v>
      </c>
      <c r="Z102" t="s">
        <v>2323</v>
      </c>
      <c r="AA102" t="s">
        <v>2324</v>
      </c>
      <c r="AB102" t="s">
        <v>2325</v>
      </c>
      <c r="AC102" t="s">
        <v>2326</v>
      </c>
      <c r="AD102" t="s">
        <v>2327</v>
      </c>
      <c r="AE102" t="s">
        <v>2328</v>
      </c>
      <c r="AF102" t="s">
        <v>74</v>
      </c>
      <c r="AG102">
        <v>51</v>
      </c>
      <c r="AH102">
        <v>0</v>
      </c>
      <c r="AI102">
        <v>0</v>
      </c>
      <c r="AJ102">
        <v>0</v>
      </c>
      <c r="AK102">
        <v>4</v>
      </c>
      <c r="AL102" t="s">
        <v>1413</v>
      </c>
      <c r="AM102" t="s">
        <v>1414</v>
      </c>
      <c r="AN102" t="s">
        <v>1415</v>
      </c>
      <c r="AO102" t="s">
        <v>2329</v>
      </c>
      <c r="AP102" t="s">
        <v>2330</v>
      </c>
      <c r="AQ102" t="s">
        <v>74</v>
      </c>
      <c r="AR102" t="s">
        <v>2331</v>
      </c>
      <c r="AS102" t="s">
        <v>2332</v>
      </c>
      <c r="AT102" t="s">
        <v>537</v>
      </c>
      <c r="AU102">
        <v>2022</v>
      </c>
      <c r="AV102">
        <v>37</v>
      </c>
      <c r="AW102">
        <v>6</v>
      </c>
      <c r="AX102" t="s">
        <v>74</v>
      </c>
      <c r="AY102" t="s">
        <v>74</v>
      </c>
      <c r="AZ102" t="s">
        <v>74</v>
      </c>
      <c r="BA102" t="s">
        <v>74</v>
      </c>
      <c r="BB102">
        <v>833</v>
      </c>
      <c r="BC102">
        <v>852</v>
      </c>
      <c r="BD102" t="s">
        <v>74</v>
      </c>
      <c r="BE102" t="s">
        <v>2333</v>
      </c>
      <c r="BF102" t="str">
        <f>HYPERLINK("http://dx.doi.org/10.1175/WAF-D-21-0088.1","http://dx.doi.org/10.1175/WAF-D-21-0088.1")</f>
        <v>http://dx.doi.org/10.1175/WAF-D-21-0088.1</v>
      </c>
      <c r="BG102" t="s">
        <v>74</v>
      </c>
      <c r="BH102" t="s">
        <v>74</v>
      </c>
      <c r="BI102">
        <v>20</v>
      </c>
      <c r="BJ102" t="s">
        <v>510</v>
      </c>
      <c r="BK102" t="s">
        <v>101</v>
      </c>
      <c r="BL102" t="s">
        <v>510</v>
      </c>
      <c r="BM102" t="s">
        <v>2334</v>
      </c>
      <c r="BN102" t="s">
        <v>74</v>
      </c>
      <c r="BO102" t="s">
        <v>1483</v>
      </c>
      <c r="BP102" t="s">
        <v>74</v>
      </c>
      <c r="BQ102" t="s">
        <v>74</v>
      </c>
      <c r="BR102" t="s">
        <v>103</v>
      </c>
      <c r="BS102" t="s">
        <v>2335</v>
      </c>
      <c r="BT102" t="str">
        <f>HYPERLINK("https%3A%2F%2Fwww.webofscience.com%2Fwos%2Fwoscc%2Ffull-record%2FWOS:000815013100003","View Full Record in Web of Science")</f>
        <v>View Full Record in Web of Science</v>
      </c>
    </row>
    <row r="103" spans="1:72" x14ac:dyDescent="0.15">
      <c r="A103" t="s">
        <v>72</v>
      </c>
      <c r="B103" t="s">
        <v>2336</v>
      </c>
      <c r="C103" t="s">
        <v>74</v>
      </c>
      <c r="D103" t="s">
        <v>74</v>
      </c>
      <c r="E103" t="s">
        <v>74</v>
      </c>
      <c r="F103" t="s">
        <v>2337</v>
      </c>
      <c r="G103" t="s">
        <v>74</v>
      </c>
      <c r="H103" t="s">
        <v>74</v>
      </c>
      <c r="I103" t="s">
        <v>2338</v>
      </c>
      <c r="J103" t="s">
        <v>2029</v>
      </c>
      <c r="K103" t="s">
        <v>74</v>
      </c>
      <c r="L103" t="s">
        <v>74</v>
      </c>
      <c r="M103" t="s">
        <v>78</v>
      </c>
      <c r="N103" t="s">
        <v>79</v>
      </c>
      <c r="O103" t="s">
        <v>74</v>
      </c>
      <c r="P103" t="s">
        <v>74</v>
      </c>
      <c r="Q103" t="s">
        <v>74</v>
      </c>
      <c r="R103" t="s">
        <v>74</v>
      </c>
      <c r="S103" t="s">
        <v>74</v>
      </c>
      <c r="T103" t="s">
        <v>2339</v>
      </c>
      <c r="U103" t="s">
        <v>2340</v>
      </c>
      <c r="V103" t="s">
        <v>2341</v>
      </c>
      <c r="W103" t="s">
        <v>2342</v>
      </c>
      <c r="X103" t="s">
        <v>2343</v>
      </c>
      <c r="Y103" t="s">
        <v>2344</v>
      </c>
      <c r="Z103" t="s">
        <v>2345</v>
      </c>
      <c r="AA103" t="s">
        <v>2346</v>
      </c>
      <c r="AB103" t="s">
        <v>2347</v>
      </c>
      <c r="AC103" t="s">
        <v>2348</v>
      </c>
      <c r="AD103" t="s">
        <v>2349</v>
      </c>
      <c r="AE103" t="s">
        <v>2350</v>
      </c>
      <c r="AF103" t="s">
        <v>74</v>
      </c>
      <c r="AG103">
        <v>100</v>
      </c>
      <c r="AH103">
        <v>4</v>
      </c>
      <c r="AI103">
        <v>4</v>
      </c>
      <c r="AJ103">
        <v>6</v>
      </c>
      <c r="AK103">
        <v>28</v>
      </c>
      <c r="AL103" t="s">
        <v>2042</v>
      </c>
      <c r="AM103" t="s">
        <v>2043</v>
      </c>
      <c r="AN103" t="s">
        <v>2044</v>
      </c>
      <c r="AO103" t="s">
        <v>2045</v>
      </c>
      <c r="AP103" t="s">
        <v>2046</v>
      </c>
      <c r="AQ103" t="s">
        <v>74</v>
      </c>
      <c r="AR103" t="s">
        <v>2047</v>
      </c>
      <c r="AS103" t="s">
        <v>2048</v>
      </c>
      <c r="AT103" t="s">
        <v>537</v>
      </c>
      <c r="AU103">
        <v>2022</v>
      </c>
      <c r="AV103">
        <v>36</v>
      </c>
      <c r="AW103">
        <v>6</v>
      </c>
      <c r="AX103" t="s">
        <v>74</v>
      </c>
      <c r="AY103" t="s">
        <v>74</v>
      </c>
      <c r="AZ103" t="s">
        <v>74</v>
      </c>
      <c r="BA103" t="s">
        <v>74</v>
      </c>
      <c r="BB103" t="s">
        <v>74</v>
      </c>
      <c r="BC103" t="s">
        <v>74</v>
      </c>
      <c r="BD103" t="s">
        <v>2351</v>
      </c>
      <c r="BE103" t="s">
        <v>2352</v>
      </c>
      <c r="BF103" t="str">
        <f>HYPERLINK("http://dx.doi.org/10.1029/2021GB007184","http://dx.doi.org/10.1029/2021GB007184")</f>
        <v>http://dx.doi.org/10.1029/2021GB007184</v>
      </c>
      <c r="BG103" t="s">
        <v>74</v>
      </c>
      <c r="BH103" t="s">
        <v>74</v>
      </c>
      <c r="BI103">
        <v>17</v>
      </c>
      <c r="BJ103" t="s">
        <v>407</v>
      </c>
      <c r="BK103" t="s">
        <v>101</v>
      </c>
      <c r="BL103" t="s">
        <v>408</v>
      </c>
      <c r="BM103" t="s">
        <v>2353</v>
      </c>
      <c r="BN103" t="s">
        <v>74</v>
      </c>
      <c r="BO103" t="s">
        <v>2354</v>
      </c>
      <c r="BP103" t="s">
        <v>74</v>
      </c>
      <c r="BQ103" t="s">
        <v>74</v>
      </c>
      <c r="BR103" t="s">
        <v>103</v>
      </c>
      <c r="BS103" t="s">
        <v>2355</v>
      </c>
      <c r="BT103" t="str">
        <f>HYPERLINK("https%3A%2F%2Fwww.webofscience.com%2Fwos%2Fwoscc%2Ffull-record%2FWOS:000814579600001","View Full Record in Web of Science")</f>
        <v>View Full Record in Web of Science</v>
      </c>
    </row>
    <row r="104" spans="1:72" x14ac:dyDescent="0.15">
      <c r="A104" t="s">
        <v>72</v>
      </c>
      <c r="B104" t="s">
        <v>2356</v>
      </c>
      <c r="C104" t="s">
        <v>74</v>
      </c>
      <c r="D104" t="s">
        <v>74</v>
      </c>
      <c r="E104" t="s">
        <v>74</v>
      </c>
      <c r="F104" t="s">
        <v>2357</v>
      </c>
      <c r="G104" t="s">
        <v>74</v>
      </c>
      <c r="H104" t="s">
        <v>74</v>
      </c>
      <c r="I104" t="s">
        <v>2358</v>
      </c>
      <c r="J104" t="s">
        <v>2359</v>
      </c>
      <c r="K104" t="s">
        <v>74</v>
      </c>
      <c r="L104" t="s">
        <v>74</v>
      </c>
      <c r="M104" t="s">
        <v>78</v>
      </c>
      <c r="N104" t="s">
        <v>79</v>
      </c>
      <c r="O104" t="s">
        <v>74</v>
      </c>
      <c r="P104" t="s">
        <v>74</v>
      </c>
      <c r="Q104" t="s">
        <v>74</v>
      </c>
      <c r="R104" t="s">
        <v>74</v>
      </c>
      <c r="S104" t="s">
        <v>74</v>
      </c>
      <c r="T104" t="s">
        <v>2360</v>
      </c>
      <c r="U104" t="s">
        <v>2361</v>
      </c>
      <c r="V104" t="s">
        <v>2362</v>
      </c>
      <c r="W104" t="s">
        <v>2363</v>
      </c>
      <c r="X104" t="s">
        <v>2364</v>
      </c>
      <c r="Y104" t="s">
        <v>2365</v>
      </c>
      <c r="Z104" t="s">
        <v>2366</v>
      </c>
      <c r="AA104" t="s">
        <v>74</v>
      </c>
      <c r="AB104" t="s">
        <v>2367</v>
      </c>
      <c r="AC104" t="s">
        <v>2368</v>
      </c>
      <c r="AD104" t="s">
        <v>2369</v>
      </c>
      <c r="AE104" t="s">
        <v>2370</v>
      </c>
      <c r="AF104" t="s">
        <v>74</v>
      </c>
      <c r="AG104">
        <v>109</v>
      </c>
      <c r="AH104">
        <v>5</v>
      </c>
      <c r="AI104">
        <v>5</v>
      </c>
      <c r="AJ104">
        <v>0</v>
      </c>
      <c r="AK104">
        <v>8</v>
      </c>
      <c r="AL104" t="s">
        <v>2042</v>
      </c>
      <c r="AM104" t="s">
        <v>2043</v>
      </c>
      <c r="AN104" t="s">
        <v>2044</v>
      </c>
      <c r="AO104" t="s">
        <v>74</v>
      </c>
      <c r="AP104" t="s">
        <v>2371</v>
      </c>
      <c r="AQ104" t="s">
        <v>74</v>
      </c>
      <c r="AR104" t="s">
        <v>2372</v>
      </c>
      <c r="AS104" t="s">
        <v>2373</v>
      </c>
      <c r="AT104" t="s">
        <v>537</v>
      </c>
      <c r="AU104">
        <v>2022</v>
      </c>
      <c r="AV104">
        <v>14</v>
      </c>
      <c r="AW104">
        <v>6</v>
      </c>
      <c r="AX104" t="s">
        <v>74</v>
      </c>
      <c r="AY104" t="s">
        <v>74</v>
      </c>
      <c r="AZ104" t="s">
        <v>74</v>
      </c>
      <c r="BA104" t="s">
        <v>74</v>
      </c>
      <c r="BB104" t="s">
        <v>74</v>
      </c>
      <c r="BC104" t="s">
        <v>74</v>
      </c>
      <c r="BD104" t="s">
        <v>2374</v>
      </c>
      <c r="BE104" t="s">
        <v>2375</v>
      </c>
      <c r="BF104" t="str">
        <f>HYPERLINK("http://dx.doi.org/10.1029/2021MS002891","http://dx.doi.org/10.1029/2021MS002891")</f>
        <v>http://dx.doi.org/10.1029/2021MS002891</v>
      </c>
      <c r="BG104" t="s">
        <v>74</v>
      </c>
      <c r="BH104" t="s">
        <v>74</v>
      </c>
      <c r="BI104">
        <v>28</v>
      </c>
      <c r="BJ104" t="s">
        <v>510</v>
      </c>
      <c r="BK104" t="s">
        <v>101</v>
      </c>
      <c r="BL104" t="s">
        <v>510</v>
      </c>
      <c r="BM104" t="s">
        <v>2376</v>
      </c>
      <c r="BN104" t="s">
        <v>74</v>
      </c>
      <c r="BO104" t="s">
        <v>438</v>
      </c>
      <c r="BP104" t="s">
        <v>74</v>
      </c>
      <c r="BQ104" t="s">
        <v>74</v>
      </c>
      <c r="BR104" t="s">
        <v>103</v>
      </c>
      <c r="BS104" t="s">
        <v>2377</v>
      </c>
      <c r="BT104" t="str">
        <f>HYPERLINK("https%3A%2F%2Fwww.webofscience.com%2Fwos%2Fwoscc%2Ffull-record%2FWOS:000813510400001","View Full Record in Web of Science")</f>
        <v>View Full Record in Web of Science</v>
      </c>
    </row>
    <row r="105" spans="1:72" x14ac:dyDescent="0.15">
      <c r="A105" t="s">
        <v>72</v>
      </c>
      <c r="B105" t="s">
        <v>2378</v>
      </c>
      <c r="C105" t="s">
        <v>74</v>
      </c>
      <c r="D105" t="s">
        <v>74</v>
      </c>
      <c r="E105" t="s">
        <v>74</v>
      </c>
      <c r="F105" t="s">
        <v>2379</v>
      </c>
      <c r="G105" t="s">
        <v>74</v>
      </c>
      <c r="H105" t="s">
        <v>74</v>
      </c>
      <c r="I105" t="s">
        <v>2380</v>
      </c>
      <c r="J105" t="s">
        <v>2381</v>
      </c>
      <c r="K105" t="s">
        <v>74</v>
      </c>
      <c r="L105" t="s">
        <v>74</v>
      </c>
      <c r="M105" t="s">
        <v>78</v>
      </c>
      <c r="N105" t="s">
        <v>79</v>
      </c>
      <c r="O105" t="s">
        <v>74</v>
      </c>
      <c r="P105" t="s">
        <v>74</v>
      </c>
      <c r="Q105" t="s">
        <v>74</v>
      </c>
      <c r="R105" t="s">
        <v>74</v>
      </c>
      <c r="S105" t="s">
        <v>74</v>
      </c>
      <c r="T105" t="s">
        <v>2382</v>
      </c>
      <c r="U105" t="s">
        <v>2383</v>
      </c>
      <c r="V105" t="s">
        <v>2384</v>
      </c>
      <c r="W105" t="s">
        <v>2385</v>
      </c>
      <c r="X105" t="s">
        <v>2386</v>
      </c>
      <c r="Y105" t="s">
        <v>2387</v>
      </c>
      <c r="Z105" t="s">
        <v>2388</v>
      </c>
      <c r="AA105" t="s">
        <v>2389</v>
      </c>
      <c r="AB105" t="s">
        <v>2390</v>
      </c>
      <c r="AC105" t="s">
        <v>2391</v>
      </c>
      <c r="AD105" t="s">
        <v>2392</v>
      </c>
      <c r="AE105" t="s">
        <v>2393</v>
      </c>
      <c r="AF105" t="s">
        <v>74</v>
      </c>
      <c r="AG105">
        <v>59</v>
      </c>
      <c r="AH105">
        <v>5</v>
      </c>
      <c r="AI105">
        <v>5</v>
      </c>
      <c r="AJ105">
        <v>0</v>
      </c>
      <c r="AK105">
        <v>2</v>
      </c>
      <c r="AL105" t="s">
        <v>2042</v>
      </c>
      <c r="AM105" t="s">
        <v>2043</v>
      </c>
      <c r="AN105" t="s">
        <v>2044</v>
      </c>
      <c r="AO105" t="s">
        <v>2394</v>
      </c>
      <c r="AP105" t="s">
        <v>2395</v>
      </c>
      <c r="AQ105" t="s">
        <v>74</v>
      </c>
      <c r="AR105" t="s">
        <v>2396</v>
      </c>
      <c r="AS105" t="s">
        <v>2397</v>
      </c>
      <c r="AT105" t="s">
        <v>537</v>
      </c>
      <c r="AU105">
        <v>2022</v>
      </c>
      <c r="AV105">
        <v>127</v>
      </c>
      <c r="AW105">
        <v>6</v>
      </c>
      <c r="AX105" t="s">
        <v>74</v>
      </c>
      <c r="AY105" t="s">
        <v>74</v>
      </c>
      <c r="AZ105" t="s">
        <v>74</v>
      </c>
      <c r="BA105" t="s">
        <v>74</v>
      </c>
      <c r="BB105" t="s">
        <v>74</v>
      </c>
      <c r="BC105" t="s">
        <v>74</v>
      </c>
      <c r="BD105" t="s">
        <v>2398</v>
      </c>
      <c r="BE105" t="s">
        <v>2399</v>
      </c>
      <c r="BF105" t="str">
        <f>HYPERLINK("http://dx.doi.org/10.1029/2021JA030062","http://dx.doi.org/10.1029/2021JA030062")</f>
        <v>http://dx.doi.org/10.1029/2021JA030062</v>
      </c>
      <c r="BG105" t="s">
        <v>74</v>
      </c>
      <c r="BH105" t="s">
        <v>74</v>
      </c>
      <c r="BI105">
        <v>23</v>
      </c>
      <c r="BJ105" t="s">
        <v>2275</v>
      </c>
      <c r="BK105" t="s">
        <v>101</v>
      </c>
      <c r="BL105" t="s">
        <v>2275</v>
      </c>
      <c r="BM105" t="s">
        <v>2400</v>
      </c>
      <c r="BN105" t="s">
        <v>74</v>
      </c>
      <c r="BO105" t="s">
        <v>883</v>
      </c>
      <c r="BP105" t="s">
        <v>74</v>
      </c>
      <c r="BQ105" t="s">
        <v>74</v>
      </c>
      <c r="BR105" t="s">
        <v>103</v>
      </c>
      <c r="BS105" t="s">
        <v>2401</v>
      </c>
      <c r="BT105" t="str">
        <f>HYPERLINK("https%3A%2F%2Fwww.webofscience.com%2Fwos%2Fwoscc%2Ffull-record%2FWOS:000813578700001","View Full Record in Web of Science")</f>
        <v>View Full Record in Web of Science</v>
      </c>
    </row>
    <row r="106" spans="1:72" x14ac:dyDescent="0.15">
      <c r="A106" t="s">
        <v>72</v>
      </c>
      <c r="B106" t="s">
        <v>2402</v>
      </c>
      <c r="C106" t="s">
        <v>74</v>
      </c>
      <c r="D106" t="s">
        <v>74</v>
      </c>
      <c r="E106" t="s">
        <v>74</v>
      </c>
      <c r="F106" t="s">
        <v>2403</v>
      </c>
      <c r="G106" t="s">
        <v>74</v>
      </c>
      <c r="H106" t="s">
        <v>74</v>
      </c>
      <c r="I106" t="s">
        <v>2404</v>
      </c>
      <c r="J106" t="s">
        <v>1086</v>
      </c>
      <c r="K106" t="s">
        <v>74</v>
      </c>
      <c r="L106" t="s">
        <v>74</v>
      </c>
      <c r="M106" t="s">
        <v>78</v>
      </c>
      <c r="N106" t="s">
        <v>79</v>
      </c>
      <c r="O106" t="s">
        <v>74</v>
      </c>
      <c r="P106" t="s">
        <v>74</v>
      </c>
      <c r="Q106" t="s">
        <v>74</v>
      </c>
      <c r="R106" t="s">
        <v>74</v>
      </c>
      <c r="S106" t="s">
        <v>74</v>
      </c>
      <c r="T106" t="s">
        <v>2405</v>
      </c>
      <c r="U106" t="s">
        <v>2406</v>
      </c>
      <c r="V106" t="s">
        <v>2407</v>
      </c>
      <c r="W106" t="s">
        <v>2408</v>
      </c>
      <c r="X106" t="s">
        <v>2409</v>
      </c>
      <c r="Y106" t="s">
        <v>2410</v>
      </c>
      <c r="Z106" t="s">
        <v>2411</v>
      </c>
      <c r="AA106" t="s">
        <v>2412</v>
      </c>
      <c r="AB106" t="s">
        <v>2413</v>
      </c>
      <c r="AC106" t="s">
        <v>2414</v>
      </c>
      <c r="AD106" t="s">
        <v>2415</v>
      </c>
      <c r="AE106" t="s">
        <v>2416</v>
      </c>
      <c r="AF106" t="s">
        <v>74</v>
      </c>
      <c r="AG106">
        <v>103</v>
      </c>
      <c r="AH106">
        <v>9</v>
      </c>
      <c r="AI106">
        <v>9</v>
      </c>
      <c r="AJ106">
        <v>6</v>
      </c>
      <c r="AK106">
        <v>30</v>
      </c>
      <c r="AL106" t="s">
        <v>257</v>
      </c>
      <c r="AM106" t="s">
        <v>258</v>
      </c>
      <c r="AN106" t="s">
        <v>259</v>
      </c>
      <c r="AO106" t="s">
        <v>1098</v>
      </c>
      <c r="AP106" t="s">
        <v>1099</v>
      </c>
      <c r="AQ106" t="s">
        <v>74</v>
      </c>
      <c r="AR106" t="s">
        <v>1100</v>
      </c>
      <c r="AS106" t="s">
        <v>1101</v>
      </c>
      <c r="AT106" t="s">
        <v>1146</v>
      </c>
      <c r="AU106">
        <v>2022</v>
      </c>
      <c r="AV106">
        <v>839</v>
      </c>
      <c r="AW106" t="s">
        <v>74</v>
      </c>
      <c r="AX106" t="s">
        <v>74</v>
      </c>
      <c r="AY106" t="s">
        <v>74</v>
      </c>
      <c r="AZ106" t="s">
        <v>74</v>
      </c>
      <c r="BA106" t="s">
        <v>74</v>
      </c>
      <c r="BB106" t="s">
        <v>74</v>
      </c>
      <c r="BC106" t="s">
        <v>74</v>
      </c>
      <c r="BD106">
        <v>156230</v>
      </c>
      <c r="BE106" t="s">
        <v>2417</v>
      </c>
      <c r="BF106" t="str">
        <f>HYPERLINK("http://dx.doi.org/10.1016/j.scitotenv.2022.156230","http://dx.doi.org/10.1016/j.scitotenv.2022.156230")</f>
        <v>http://dx.doi.org/10.1016/j.scitotenv.2022.156230</v>
      </c>
      <c r="BG106" t="s">
        <v>74</v>
      </c>
      <c r="BH106" t="s">
        <v>99</v>
      </c>
      <c r="BI106">
        <v>14</v>
      </c>
      <c r="BJ106" t="s">
        <v>1104</v>
      </c>
      <c r="BK106" t="s">
        <v>101</v>
      </c>
      <c r="BL106" t="s">
        <v>840</v>
      </c>
      <c r="BM106" t="s">
        <v>2418</v>
      </c>
      <c r="BN106">
        <v>35643144</v>
      </c>
      <c r="BO106" t="s">
        <v>643</v>
      </c>
      <c r="BP106" t="s">
        <v>74</v>
      </c>
      <c r="BQ106" t="s">
        <v>74</v>
      </c>
      <c r="BR106" t="s">
        <v>103</v>
      </c>
      <c r="BS106" t="s">
        <v>2419</v>
      </c>
      <c r="BT106" t="str">
        <f>HYPERLINK("https%3A%2F%2Fwww.webofscience.com%2Fwos%2Fwoscc%2Ffull-record%2FWOS:000811732300010","View Full Record in Web of Science")</f>
        <v>View Full Record in Web of Science</v>
      </c>
    </row>
    <row r="107" spans="1:72" x14ac:dyDescent="0.15">
      <c r="A107" t="s">
        <v>72</v>
      </c>
      <c r="B107" t="s">
        <v>2420</v>
      </c>
      <c r="C107" t="s">
        <v>74</v>
      </c>
      <c r="D107" t="s">
        <v>74</v>
      </c>
      <c r="E107" t="s">
        <v>74</v>
      </c>
      <c r="F107" t="s">
        <v>2421</v>
      </c>
      <c r="G107" t="s">
        <v>74</v>
      </c>
      <c r="H107" t="s">
        <v>74</v>
      </c>
      <c r="I107" t="s">
        <v>2422</v>
      </c>
      <c r="J107" t="s">
        <v>2029</v>
      </c>
      <c r="K107" t="s">
        <v>74</v>
      </c>
      <c r="L107" t="s">
        <v>74</v>
      </c>
      <c r="M107" t="s">
        <v>78</v>
      </c>
      <c r="N107" t="s">
        <v>79</v>
      </c>
      <c r="O107" t="s">
        <v>74</v>
      </c>
      <c r="P107" t="s">
        <v>74</v>
      </c>
      <c r="Q107" t="s">
        <v>74</v>
      </c>
      <c r="R107" t="s">
        <v>74</v>
      </c>
      <c r="S107" t="s">
        <v>74</v>
      </c>
      <c r="T107" t="s">
        <v>2423</v>
      </c>
      <c r="U107" t="s">
        <v>2424</v>
      </c>
      <c r="V107" t="s">
        <v>2425</v>
      </c>
      <c r="W107" t="s">
        <v>2426</v>
      </c>
      <c r="X107" t="s">
        <v>2427</v>
      </c>
      <c r="Y107" t="s">
        <v>2428</v>
      </c>
      <c r="Z107" t="s">
        <v>2429</v>
      </c>
      <c r="AA107" t="s">
        <v>2430</v>
      </c>
      <c r="AB107" t="s">
        <v>2431</v>
      </c>
      <c r="AC107" t="s">
        <v>2432</v>
      </c>
      <c r="AD107" t="s">
        <v>2433</v>
      </c>
      <c r="AE107" t="s">
        <v>2434</v>
      </c>
      <c r="AF107" t="s">
        <v>74</v>
      </c>
      <c r="AG107">
        <v>99</v>
      </c>
      <c r="AH107">
        <v>8</v>
      </c>
      <c r="AI107">
        <v>8</v>
      </c>
      <c r="AJ107">
        <v>9</v>
      </c>
      <c r="AK107">
        <v>50</v>
      </c>
      <c r="AL107" t="s">
        <v>2042</v>
      </c>
      <c r="AM107" t="s">
        <v>2043</v>
      </c>
      <c r="AN107" t="s">
        <v>2044</v>
      </c>
      <c r="AO107" t="s">
        <v>2045</v>
      </c>
      <c r="AP107" t="s">
        <v>2046</v>
      </c>
      <c r="AQ107" t="s">
        <v>74</v>
      </c>
      <c r="AR107" t="s">
        <v>2047</v>
      </c>
      <c r="AS107" t="s">
        <v>2048</v>
      </c>
      <c r="AT107" t="s">
        <v>537</v>
      </c>
      <c r="AU107">
        <v>2022</v>
      </c>
      <c r="AV107">
        <v>36</v>
      </c>
      <c r="AW107">
        <v>6</v>
      </c>
      <c r="AX107" t="s">
        <v>74</v>
      </c>
      <c r="AY107" t="s">
        <v>74</v>
      </c>
      <c r="AZ107" t="s">
        <v>74</v>
      </c>
      <c r="BA107" t="s">
        <v>74</v>
      </c>
      <c r="BB107" t="s">
        <v>74</v>
      </c>
      <c r="BC107" t="s">
        <v>74</v>
      </c>
      <c r="BD107" t="s">
        <v>2435</v>
      </c>
      <c r="BE107" t="s">
        <v>2436</v>
      </c>
      <c r="BF107" t="str">
        <f>HYPERLINK("http://dx.doi.org/10.1029/2021GB007261","http://dx.doi.org/10.1029/2021GB007261")</f>
        <v>http://dx.doi.org/10.1029/2021GB007261</v>
      </c>
      <c r="BG107" t="s">
        <v>74</v>
      </c>
      <c r="BH107" t="s">
        <v>74</v>
      </c>
      <c r="BI107">
        <v>21</v>
      </c>
      <c r="BJ107" t="s">
        <v>407</v>
      </c>
      <c r="BK107" t="s">
        <v>101</v>
      </c>
      <c r="BL107" t="s">
        <v>408</v>
      </c>
      <c r="BM107" t="s">
        <v>2437</v>
      </c>
      <c r="BN107" t="s">
        <v>74</v>
      </c>
      <c r="BO107" t="s">
        <v>2438</v>
      </c>
      <c r="BP107" t="s">
        <v>74</v>
      </c>
      <c r="BQ107" t="s">
        <v>74</v>
      </c>
      <c r="BR107" t="s">
        <v>103</v>
      </c>
      <c r="BS107" t="s">
        <v>2439</v>
      </c>
      <c r="BT107" t="str">
        <f>HYPERLINK("https%3A%2F%2Fwww.webofscience.com%2Fwos%2Fwoscc%2Ffull-record%2FWOS:000811517800001","View Full Record in Web of Science")</f>
        <v>View Full Record in Web of Science</v>
      </c>
    </row>
    <row r="108" spans="1:72" x14ac:dyDescent="0.15">
      <c r="A108" t="s">
        <v>72</v>
      </c>
      <c r="B108" t="s">
        <v>2440</v>
      </c>
      <c r="C108" t="s">
        <v>74</v>
      </c>
      <c r="D108" t="s">
        <v>74</v>
      </c>
      <c r="E108" t="s">
        <v>74</v>
      </c>
      <c r="F108" t="s">
        <v>2441</v>
      </c>
      <c r="G108" t="s">
        <v>74</v>
      </c>
      <c r="H108" t="s">
        <v>74</v>
      </c>
      <c r="I108" t="s">
        <v>2442</v>
      </c>
      <c r="J108" t="s">
        <v>2443</v>
      </c>
      <c r="K108" t="s">
        <v>74</v>
      </c>
      <c r="L108" t="s">
        <v>74</v>
      </c>
      <c r="M108" t="s">
        <v>78</v>
      </c>
      <c r="N108" t="s">
        <v>79</v>
      </c>
      <c r="O108" t="s">
        <v>74</v>
      </c>
      <c r="P108" t="s">
        <v>74</v>
      </c>
      <c r="Q108" t="s">
        <v>74</v>
      </c>
      <c r="R108" t="s">
        <v>74</v>
      </c>
      <c r="S108" t="s">
        <v>74</v>
      </c>
      <c r="T108" t="s">
        <v>2444</v>
      </c>
      <c r="U108" t="s">
        <v>2445</v>
      </c>
      <c r="V108" t="s">
        <v>2446</v>
      </c>
      <c r="W108" t="s">
        <v>2447</v>
      </c>
      <c r="X108" t="s">
        <v>2448</v>
      </c>
      <c r="Y108" t="s">
        <v>2449</v>
      </c>
      <c r="Z108" t="s">
        <v>2450</v>
      </c>
      <c r="AA108" t="s">
        <v>2451</v>
      </c>
      <c r="AB108" t="s">
        <v>2452</v>
      </c>
      <c r="AC108" t="s">
        <v>2453</v>
      </c>
      <c r="AD108" t="s">
        <v>2454</v>
      </c>
      <c r="AE108" t="s">
        <v>2455</v>
      </c>
      <c r="AF108" t="s">
        <v>74</v>
      </c>
      <c r="AG108">
        <v>40</v>
      </c>
      <c r="AH108">
        <v>5</v>
      </c>
      <c r="AI108">
        <v>6</v>
      </c>
      <c r="AJ108">
        <v>2</v>
      </c>
      <c r="AK108">
        <v>5</v>
      </c>
      <c r="AL108" t="s">
        <v>2042</v>
      </c>
      <c r="AM108" t="s">
        <v>2043</v>
      </c>
      <c r="AN108" t="s">
        <v>2044</v>
      </c>
      <c r="AO108" t="s">
        <v>2456</v>
      </c>
      <c r="AP108" t="s">
        <v>2457</v>
      </c>
      <c r="AQ108" t="s">
        <v>74</v>
      </c>
      <c r="AR108" t="s">
        <v>2458</v>
      </c>
      <c r="AS108" t="s">
        <v>2459</v>
      </c>
      <c r="AT108" t="s">
        <v>537</v>
      </c>
      <c r="AU108">
        <v>2022</v>
      </c>
      <c r="AV108">
        <v>127</v>
      </c>
      <c r="AW108">
        <v>6</v>
      </c>
      <c r="AX108" t="s">
        <v>74</v>
      </c>
      <c r="AY108" t="s">
        <v>74</v>
      </c>
      <c r="AZ108" t="s">
        <v>74</v>
      </c>
      <c r="BA108" t="s">
        <v>74</v>
      </c>
      <c r="BB108" t="s">
        <v>74</v>
      </c>
      <c r="BC108" t="s">
        <v>74</v>
      </c>
      <c r="BD108" t="s">
        <v>2460</v>
      </c>
      <c r="BE108" t="s">
        <v>2461</v>
      </c>
      <c r="BF108" t="str">
        <f>HYPERLINK("http://dx.doi.org/10.1029/2021JC018096","http://dx.doi.org/10.1029/2021JC018096")</f>
        <v>http://dx.doi.org/10.1029/2021JC018096</v>
      </c>
      <c r="BG108" t="s">
        <v>74</v>
      </c>
      <c r="BH108" t="s">
        <v>74</v>
      </c>
      <c r="BI108">
        <v>16</v>
      </c>
      <c r="BJ108" t="s">
        <v>208</v>
      </c>
      <c r="BK108" t="s">
        <v>101</v>
      </c>
      <c r="BL108" t="s">
        <v>208</v>
      </c>
      <c r="BM108" t="s">
        <v>2462</v>
      </c>
      <c r="BN108" t="s">
        <v>74</v>
      </c>
      <c r="BO108" t="s">
        <v>590</v>
      </c>
      <c r="BP108" t="s">
        <v>74</v>
      </c>
      <c r="BQ108" t="s">
        <v>74</v>
      </c>
      <c r="BR108" t="s">
        <v>103</v>
      </c>
      <c r="BS108" t="s">
        <v>2463</v>
      </c>
      <c r="BT108" t="str">
        <f>HYPERLINK("https%3A%2F%2Fwww.webofscience.com%2Fwos%2Fwoscc%2Ffull-record%2FWOS:000811899000001","View Full Record in Web of Science")</f>
        <v>View Full Record in Web of Science</v>
      </c>
    </row>
    <row r="109" spans="1:72" x14ac:dyDescent="0.15">
      <c r="A109" t="s">
        <v>72</v>
      </c>
      <c r="B109" t="s">
        <v>2464</v>
      </c>
      <c r="C109" t="s">
        <v>74</v>
      </c>
      <c r="D109" t="s">
        <v>74</v>
      </c>
      <c r="E109" t="s">
        <v>74</v>
      </c>
      <c r="F109" t="s">
        <v>2465</v>
      </c>
      <c r="G109" t="s">
        <v>74</v>
      </c>
      <c r="H109" t="s">
        <v>74</v>
      </c>
      <c r="I109" t="s">
        <v>2466</v>
      </c>
      <c r="J109" t="s">
        <v>2029</v>
      </c>
      <c r="K109" t="s">
        <v>74</v>
      </c>
      <c r="L109" t="s">
        <v>74</v>
      </c>
      <c r="M109" t="s">
        <v>78</v>
      </c>
      <c r="N109" t="s">
        <v>79</v>
      </c>
      <c r="O109" t="s">
        <v>74</v>
      </c>
      <c r="P109" t="s">
        <v>74</v>
      </c>
      <c r="Q109" t="s">
        <v>74</v>
      </c>
      <c r="R109" t="s">
        <v>74</v>
      </c>
      <c r="S109" t="s">
        <v>74</v>
      </c>
      <c r="T109" t="s">
        <v>2467</v>
      </c>
      <c r="U109" t="s">
        <v>2468</v>
      </c>
      <c r="V109" t="s">
        <v>2469</v>
      </c>
      <c r="W109" t="s">
        <v>2470</v>
      </c>
      <c r="X109" t="s">
        <v>2471</v>
      </c>
      <c r="Y109" t="s">
        <v>2472</v>
      </c>
      <c r="Z109" t="s">
        <v>2473</v>
      </c>
      <c r="AA109" t="s">
        <v>2474</v>
      </c>
      <c r="AB109" t="s">
        <v>2475</v>
      </c>
      <c r="AC109" t="s">
        <v>2476</v>
      </c>
      <c r="AD109" t="s">
        <v>2477</v>
      </c>
      <c r="AE109" t="s">
        <v>2478</v>
      </c>
      <c r="AF109" t="s">
        <v>74</v>
      </c>
      <c r="AG109">
        <v>55</v>
      </c>
      <c r="AH109">
        <v>4</v>
      </c>
      <c r="AI109">
        <v>4</v>
      </c>
      <c r="AJ109">
        <v>4</v>
      </c>
      <c r="AK109">
        <v>21</v>
      </c>
      <c r="AL109" t="s">
        <v>2042</v>
      </c>
      <c r="AM109" t="s">
        <v>2043</v>
      </c>
      <c r="AN109" t="s">
        <v>2044</v>
      </c>
      <c r="AO109" t="s">
        <v>2045</v>
      </c>
      <c r="AP109" t="s">
        <v>2046</v>
      </c>
      <c r="AQ109" t="s">
        <v>74</v>
      </c>
      <c r="AR109" t="s">
        <v>2047</v>
      </c>
      <c r="AS109" t="s">
        <v>2048</v>
      </c>
      <c r="AT109" t="s">
        <v>537</v>
      </c>
      <c r="AU109">
        <v>2022</v>
      </c>
      <c r="AV109">
        <v>36</v>
      </c>
      <c r="AW109">
        <v>6</v>
      </c>
      <c r="AX109" t="s">
        <v>74</v>
      </c>
      <c r="AY109" t="s">
        <v>74</v>
      </c>
      <c r="AZ109" t="s">
        <v>74</v>
      </c>
      <c r="BA109" t="s">
        <v>74</v>
      </c>
      <c r="BB109" t="s">
        <v>74</v>
      </c>
      <c r="BC109" t="s">
        <v>74</v>
      </c>
      <c r="BD109" t="s">
        <v>2479</v>
      </c>
      <c r="BE109" t="s">
        <v>2480</v>
      </c>
      <c r="BF109" t="str">
        <f>HYPERLINK("http://dx.doi.org/10.1029/2021GB007018","http://dx.doi.org/10.1029/2021GB007018")</f>
        <v>http://dx.doi.org/10.1029/2021GB007018</v>
      </c>
      <c r="BG109" t="s">
        <v>74</v>
      </c>
      <c r="BH109" t="s">
        <v>74</v>
      </c>
      <c r="BI109">
        <v>15</v>
      </c>
      <c r="BJ109" t="s">
        <v>407</v>
      </c>
      <c r="BK109" t="s">
        <v>101</v>
      </c>
      <c r="BL109" t="s">
        <v>408</v>
      </c>
      <c r="BM109" t="s">
        <v>2481</v>
      </c>
      <c r="BN109" t="s">
        <v>74</v>
      </c>
      <c r="BO109" t="s">
        <v>590</v>
      </c>
      <c r="BP109" t="s">
        <v>74</v>
      </c>
      <c r="BQ109" t="s">
        <v>74</v>
      </c>
      <c r="BR109" t="s">
        <v>103</v>
      </c>
      <c r="BS109" t="s">
        <v>2482</v>
      </c>
      <c r="BT109" t="str">
        <f>HYPERLINK("https%3A%2F%2Fwww.webofscience.com%2Fwos%2Fwoscc%2Ffull-record%2FWOS:000810118500001","View Full Record in Web of Science")</f>
        <v>View Full Record in Web of Science</v>
      </c>
    </row>
    <row r="110" spans="1:72" x14ac:dyDescent="0.15">
      <c r="A110" t="s">
        <v>72</v>
      </c>
      <c r="B110" t="s">
        <v>2483</v>
      </c>
      <c r="C110" t="s">
        <v>74</v>
      </c>
      <c r="D110" t="s">
        <v>74</v>
      </c>
      <c r="E110" t="s">
        <v>74</v>
      </c>
      <c r="F110" t="s">
        <v>2484</v>
      </c>
      <c r="G110" t="s">
        <v>74</v>
      </c>
      <c r="H110" t="s">
        <v>74</v>
      </c>
      <c r="I110" t="s">
        <v>2485</v>
      </c>
      <c r="J110" t="s">
        <v>2359</v>
      </c>
      <c r="K110" t="s">
        <v>74</v>
      </c>
      <c r="L110" t="s">
        <v>74</v>
      </c>
      <c r="M110" t="s">
        <v>78</v>
      </c>
      <c r="N110" t="s">
        <v>79</v>
      </c>
      <c r="O110" t="s">
        <v>74</v>
      </c>
      <c r="P110" t="s">
        <v>74</v>
      </c>
      <c r="Q110" t="s">
        <v>74</v>
      </c>
      <c r="R110" t="s">
        <v>74</v>
      </c>
      <c r="S110" t="s">
        <v>74</v>
      </c>
      <c r="T110" t="s">
        <v>2486</v>
      </c>
      <c r="U110" t="s">
        <v>2487</v>
      </c>
      <c r="V110" t="s">
        <v>2488</v>
      </c>
      <c r="W110" t="s">
        <v>2489</v>
      </c>
      <c r="X110" t="s">
        <v>2490</v>
      </c>
      <c r="Y110" t="s">
        <v>2491</v>
      </c>
      <c r="Z110" t="s">
        <v>2492</v>
      </c>
      <c r="AA110" t="s">
        <v>2493</v>
      </c>
      <c r="AB110" t="s">
        <v>2494</v>
      </c>
      <c r="AC110" t="s">
        <v>2495</v>
      </c>
      <c r="AD110" t="s">
        <v>2496</v>
      </c>
      <c r="AE110" t="s">
        <v>2497</v>
      </c>
      <c r="AF110" t="s">
        <v>74</v>
      </c>
      <c r="AG110">
        <v>45</v>
      </c>
      <c r="AH110">
        <v>0</v>
      </c>
      <c r="AI110">
        <v>0</v>
      </c>
      <c r="AJ110">
        <v>0</v>
      </c>
      <c r="AK110">
        <v>3</v>
      </c>
      <c r="AL110" t="s">
        <v>2042</v>
      </c>
      <c r="AM110" t="s">
        <v>2043</v>
      </c>
      <c r="AN110" t="s">
        <v>2044</v>
      </c>
      <c r="AO110" t="s">
        <v>74</v>
      </c>
      <c r="AP110" t="s">
        <v>2371</v>
      </c>
      <c r="AQ110" t="s">
        <v>74</v>
      </c>
      <c r="AR110" t="s">
        <v>2372</v>
      </c>
      <c r="AS110" t="s">
        <v>2373</v>
      </c>
      <c r="AT110" t="s">
        <v>537</v>
      </c>
      <c r="AU110">
        <v>2022</v>
      </c>
      <c r="AV110">
        <v>14</v>
      </c>
      <c r="AW110">
        <v>6</v>
      </c>
      <c r="AX110" t="s">
        <v>74</v>
      </c>
      <c r="AY110" t="s">
        <v>74</v>
      </c>
      <c r="AZ110" t="s">
        <v>74</v>
      </c>
      <c r="BA110" t="s">
        <v>74</v>
      </c>
      <c r="BB110" t="s">
        <v>74</v>
      </c>
      <c r="BC110" t="s">
        <v>74</v>
      </c>
      <c r="BD110" t="s">
        <v>2498</v>
      </c>
      <c r="BE110" t="s">
        <v>2499</v>
      </c>
      <c r="BF110" t="str">
        <f>HYPERLINK("http://dx.doi.org/10.1029/2021MS002757","http://dx.doi.org/10.1029/2021MS002757")</f>
        <v>http://dx.doi.org/10.1029/2021MS002757</v>
      </c>
      <c r="BG110" t="s">
        <v>74</v>
      </c>
      <c r="BH110" t="s">
        <v>74</v>
      </c>
      <c r="BI110">
        <v>18</v>
      </c>
      <c r="BJ110" t="s">
        <v>510</v>
      </c>
      <c r="BK110" t="s">
        <v>101</v>
      </c>
      <c r="BL110" t="s">
        <v>510</v>
      </c>
      <c r="BM110" t="s">
        <v>2500</v>
      </c>
      <c r="BN110" t="s">
        <v>74</v>
      </c>
      <c r="BO110" t="s">
        <v>438</v>
      </c>
      <c r="BP110" t="s">
        <v>74</v>
      </c>
      <c r="BQ110" t="s">
        <v>74</v>
      </c>
      <c r="BR110" t="s">
        <v>103</v>
      </c>
      <c r="BS110" t="s">
        <v>2501</v>
      </c>
      <c r="BT110" t="str">
        <f>HYPERLINK("https%3A%2F%2Fwww.webofscience.com%2Fwos%2Fwoscc%2Ffull-record%2FWOS:000810032400001","View Full Record in Web of Science")</f>
        <v>View Full Record in Web of Science</v>
      </c>
    </row>
    <row r="111" spans="1:72" x14ac:dyDescent="0.15">
      <c r="A111" t="s">
        <v>72</v>
      </c>
      <c r="B111" t="s">
        <v>2502</v>
      </c>
      <c r="C111" t="s">
        <v>74</v>
      </c>
      <c r="D111" t="s">
        <v>74</v>
      </c>
      <c r="E111" t="s">
        <v>74</v>
      </c>
      <c r="F111" t="s">
        <v>2503</v>
      </c>
      <c r="G111" t="s">
        <v>74</v>
      </c>
      <c r="H111" t="s">
        <v>74</v>
      </c>
      <c r="I111" t="s">
        <v>2504</v>
      </c>
      <c r="J111" t="s">
        <v>2505</v>
      </c>
      <c r="K111" t="s">
        <v>74</v>
      </c>
      <c r="L111" t="s">
        <v>74</v>
      </c>
      <c r="M111" t="s">
        <v>78</v>
      </c>
      <c r="N111" t="s">
        <v>79</v>
      </c>
      <c r="O111" t="s">
        <v>74</v>
      </c>
      <c r="P111" t="s">
        <v>74</v>
      </c>
      <c r="Q111" t="s">
        <v>74</v>
      </c>
      <c r="R111" t="s">
        <v>74</v>
      </c>
      <c r="S111" t="s">
        <v>74</v>
      </c>
      <c r="T111" t="s">
        <v>74</v>
      </c>
      <c r="U111" t="s">
        <v>2506</v>
      </c>
      <c r="V111" t="s">
        <v>2507</v>
      </c>
      <c r="W111" t="s">
        <v>2508</v>
      </c>
      <c r="X111" t="s">
        <v>2509</v>
      </c>
      <c r="Y111" t="s">
        <v>2510</v>
      </c>
      <c r="Z111" t="s">
        <v>2511</v>
      </c>
      <c r="AA111" t="s">
        <v>74</v>
      </c>
      <c r="AB111" t="s">
        <v>2512</v>
      </c>
      <c r="AC111" t="s">
        <v>2513</v>
      </c>
      <c r="AD111" t="s">
        <v>2513</v>
      </c>
      <c r="AE111" t="s">
        <v>2514</v>
      </c>
      <c r="AF111" t="s">
        <v>74</v>
      </c>
      <c r="AG111">
        <v>19</v>
      </c>
      <c r="AH111">
        <v>0</v>
      </c>
      <c r="AI111">
        <v>0</v>
      </c>
      <c r="AJ111">
        <v>0</v>
      </c>
      <c r="AK111">
        <v>5</v>
      </c>
      <c r="AL111" t="s">
        <v>2515</v>
      </c>
      <c r="AM111" t="s">
        <v>2516</v>
      </c>
      <c r="AN111" t="s">
        <v>2517</v>
      </c>
      <c r="AO111" t="s">
        <v>2518</v>
      </c>
      <c r="AP111" t="s">
        <v>2519</v>
      </c>
      <c r="AQ111" t="s">
        <v>74</v>
      </c>
      <c r="AR111" t="s">
        <v>2520</v>
      </c>
      <c r="AS111" t="s">
        <v>2521</v>
      </c>
      <c r="AT111" t="s">
        <v>537</v>
      </c>
      <c r="AU111">
        <v>2022</v>
      </c>
      <c r="AV111">
        <v>98</v>
      </c>
      <c r="AW111">
        <v>6</v>
      </c>
      <c r="AX111" t="s">
        <v>74</v>
      </c>
      <c r="AY111" t="s">
        <v>74</v>
      </c>
      <c r="AZ111" t="s">
        <v>74</v>
      </c>
      <c r="BA111" t="s">
        <v>74</v>
      </c>
      <c r="BB111">
        <v>760</v>
      </c>
      <c r="BC111">
        <v>764</v>
      </c>
      <c r="BD111" t="s">
        <v>74</v>
      </c>
      <c r="BE111" t="s">
        <v>2522</v>
      </c>
      <c r="BF111" t="str">
        <f>HYPERLINK("http://dx.doi.org/10.1007/s12594-022-2065-3","http://dx.doi.org/10.1007/s12594-022-2065-3")</f>
        <v>http://dx.doi.org/10.1007/s12594-022-2065-3</v>
      </c>
      <c r="BG111" t="s">
        <v>74</v>
      </c>
      <c r="BH111" t="s">
        <v>74</v>
      </c>
      <c r="BI111">
        <v>5</v>
      </c>
      <c r="BJ111" t="s">
        <v>265</v>
      </c>
      <c r="BK111" t="s">
        <v>101</v>
      </c>
      <c r="BL111" t="s">
        <v>100</v>
      </c>
      <c r="BM111" t="s">
        <v>2523</v>
      </c>
      <c r="BN111" t="s">
        <v>74</v>
      </c>
      <c r="BO111" t="s">
        <v>74</v>
      </c>
      <c r="BP111" t="s">
        <v>74</v>
      </c>
      <c r="BQ111" t="s">
        <v>74</v>
      </c>
      <c r="BR111" t="s">
        <v>103</v>
      </c>
      <c r="BS111" t="s">
        <v>2524</v>
      </c>
      <c r="BT111" t="str">
        <f>HYPERLINK("https%3A%2F%2Fwww.webofscience.com%2Fwos%2Fwoscc%2Ffull-record%2FWOS:000809358200006","View Full Record in Web of Science")</f>
        <v>View Full Record in Web of Science</v>
      </c>
    </row>
    <row r="112" spans="1:72" x14ac:dyDescent="0.15">
      <c r="A112" t="s">
        <v>72</v>
      </c>
      <c r="B112" t="s">
        <v>2525</v>
      </c>
      <c r="C112" t="s">
        <v>74</v>
      </c>
      <c r="D112" t="s">
        <v>74</v>
      </c>
      <c r="E112" t="s">
        <v>74</v>
      </c>
      <c r="F112" t="s">
        <v>2526</v>
      </c>
      <c r="G112" t="s">
        <v>74</v>
      </c>
      <c r="H112" t="s">
        <v>74</v>
      </c>
      <c r="I112" t="s">
        <v>2527</v>
      </c>
      <c r="J112" t="s">
        <v>1923</v>
      </c>
      <c r="K112" t="s">
        <v>74</v>
      </c>
      <c r="L112" t="s">
        <v>74</v>
      </c>
      <c r="M112" t="s">
        <v>78</v>
      </c>
      <c r="N112" t="s">
        <v>79</v>
      </c>
      <c r="O112" t="s">
        <v>74</v>
      </c>
      <c r="P112" t="s">
        <v>74</v>
      </c>
      <c r="Q112" t="s">
        <v>74</v>
      </c>
      <c r="R112" t="s">
        <v>74</v>
      </c>
      <c r="S112" t="s">
        <v>74</v>
      </c>
      <c r="T112" t="s">
        <v>2528</v>
      </c>
      <c r="U112" t="s">
        <v>2529</v>
      </c>
      <c r="V112" t="s">
        <v>2530</v>
      </c>
      <c r="W112" t="s">
        <v>2531</v>
      </c>
      <c r="X112" t="s">
        <v>2532</v>
      </c>
      <c r="Y112" t="s">
        <v>2533</v>
      </c>
      <c r="Z112" t="s">
        <v>2534</v>
      </c>
      <c r="AA112" t="s">
        <v>2535</v>
      </c>
      <c r="AB112" t="s">
        <v>2536</v>
      </c>
      <c r="AC112" t="s">
        <v>2537</v>
      </c>
      <c r="AD112" t="s">
        <v>2538</v>
      </c>
      <c r="AE112" t="s">
        <v>2539</v>
      </c>
      <c r="AF112" t="s">
        <v>74</v>
      </c>
      <c r="AG112">
        <v>74</v>
      </c>
      <c r="AH112">
        <v>8</v>
      </c>
      <c r="AI112">
        <v>8</v>
      </c>
      <c r="AJ112">
        <v>18</v>
      </c>
      <c r="AK112">
        <v>88</v>
      </c>
      <c r="AL112" t="s">
        <v>1766</v>
      </c>
      <c r="AM112" t="s">
        <v>1767</v>
      </c>
      <c r="AN112" t="s">
        <v>1768</v>
      </c>
      <c r="AO112" t="s">
        <v>74</v>
      </c>
      <c r="AP112" t="s">
        <v>1935</v>
      </c>
      <c r="AQ112" t="s">
        <v>74</v>
      </c>
      <c r="AR112" t="s">
        <v>1936</v>
      </c>
      <c r="AS112" t="s">
        <v>1937</v>
      </c>
      <c r="AT112" t="s">
        <v>537</v>
      </c>
      <c r="AU112">
        <v>2022</v>
      </c>
      <c r="AV112">
        <v>14</v>
      </c>
      <c r="AW112">
        <v>11</v>
      </c>
      <c r="AX112" t="s">
        <v>74</v>
      </c>
      <c r="AY112" t="s">
        <v>74</v>
      </c>
      <c r="AZ112" t="s">
        <v>74</v>
      </c>
      <c r="BA112" t="s">
        <v>74</v>
      </c>
      <c r="BB112" t="s">
        <v>74</v>
      </c>
      <c r="BC112" t="s">
        <v>74</v>
      </c>
      <c r="BD112">
        <v>2683</v>
      </c>
      <c r="BE112" t="s">
        <v>2540</v>
      </c>
      <c r="BF112" t="str">
        <f>HYPERLINK("http://dx.doi.org/10.3390/rs14112683","http://dx.doi.org/10.3390/rs14112683")</f>
        <v>http://dx.doi.org/10.3390/rs14112683</v>
      </c>
      <c r="BG112" t="s">
        <v>74</v>
      </c>
      <c r="BH112" t="s">
        <v>74</v>
      </c>
      <c r="BI112">
        <v>19</v>
      </c>
      <c r="BJ112" t="s">
        <v>1939</v>
      </c>
      <c r="BK112" t="s">
        <v>101</v>
      </c>
      <c r="BL112" t="s">
        <v>1940</v>
      </c>
      <c r="BM112" t="s">
        <v>2541</v>
      </c>
      <c r="BN112" t="s">
        <v>74</v>
      </c>
      <c r="BO112" t="s">
        <v>438</v>
      </c>
      <c r="BP112" t="s">
        <v>74</v>
      </c>
      <c r="BQ112" t="s">
        <v>74</v>
      </c>
      <c r="BR112" t="s">
        <v>103</v>
      </c>
      <c r="BS112" t="s">
        <v>2542</v>
      </c>
      <c r="BT112" t="str">
        <f>HYPERLINK("https%3A%2F%2Fwww.webofscience.com%2Fwos%2Fwoscc%2Ffull-record%2FWOS:000808808600001","View Full Record in Web of Science")</f>
        <v>View Full Record in Web of Science</v>
      </c>
    </row>
    <row r="113" spans="1:72" x14ac:dyDescent="0.15">
      <c r="A113" t="s">
        <v>72</v>
      </c>
      <c r="B113" t="s">
        <v>2543</v>
      </c>
      <c r="C113" t="s">
        <v>74</v>
      </c>
      <c r="D113" t="s">
        <v>74</v>
      </c>
      <c r="E113" t="s">
        <v>74</v>
      </c>
      <c r="F113" t="s">
        <v>2544</v>
      </c>
      <c r="G113" t="s">
        <v>74</v>
      </c>
      <c r="H113" t="s">
        <v>74</v>
      </c>
      <c r="I113" t="s">
        <v>2545</v>
      </c>
      <c r="J113" t="s">
        <v>1923</v>
      </c>
      <c r="K113" t="s">
        <v>74</v>
      </c>
      <c r="L113" t="s">
        <v>74</v>
      </c>
      <c r="M113" t="s">
        <v>78</v>
      </c>
      <c r="N113" t="s">
        <v>79</v>
      </c>
      <c r="O113" t="s">
        <v>74</v>
      </c>
      <c r="P113" t="s">
        <v>74</v>
      </c>
      <c r="Q113" t="s">
        <v>74</v>
      </c>
      <c r="R113" t="s">
        <v>74</v>
      </c>
      <c r="S113" t="s">
        <v>74</v>
      </c>
      <c r="T113" t="s">
        <v>2546</v>
      </c>
      <c r="U113" t="s">
        <v>2547</v>
      </c>
      <c r="V113" t="s">
        <v>2548</v>
      </c>
      <c r="W113" t="s">
        <v>2549</v>
      </c>
      <c r="X113" t="s">
        <v>2550</v>
      </c>
      <c r="Y113" t="s">
        <v>2551</v>
      </c>
      <c r="Z113" t="s">
        <v>2552</v>
      </c>
      <c r="AA113" t="s">
        <v>2553</v>
      </c>
      <c r="AB113" t="s">
        <v>2554</v>
      </c>
      <c r="AC113" t="s">
        <v>2555</v>
      </c>
      <c r="AD113" t="s">
        <v>2556</v>
      </c>
      <c r="AE113" t="s">
        <v>2557</v>
      </c>
      <c r="AF113" t="s">
        <v>74</v>
      </c>
      <c r="AG113">
        <v>56</v>
      </c>
      <c r="AH113">
        <v>3</v>
      </c>
      <c r="AI113">
        <v>3</v>
      </c>
      <c r="AJ113">
        <v>1</v>
      </c>
      <c r="AK113">
        <v>24</v>
      </c>
      <c r="AL113" t="s">
        <v>1766</v>
      </c>
      <c r="AM113" t="s">
        <v>1767</v>
      </c>
      <c r="AN113" t="s">
        <v>1768</v>
      </c>
      <c r="AO113" t="s">
        <v>74</v>
      </c>
      <c r="AP113" t="s">
        <v>1935</v>
      </c>
      <c r="AQ113" t="s">
        <v>74</v>
      </c>
      <c r="AR113" t="s">
        <v>1936</v>
      </c>
      <c r="AS113" t="s">
        <v>1937</v>
      </c>
      <c r="AT113" t="s">
        <v>537</v>
      </c>
      <c r="AU113">
        <v>2022</v>
      </c>
      <c r="AV113">
        <v>14</v>
      </c>
      <c r="AW113">
        <v>11</v>
      </c>
      <c r="AX113" t="s">
        <v>74</v>
      </c>
      <c r="AY113" t="s">
        <v>74</v>
      </c>
      <c r="AZ113" t="s">
        <v>74</v>
      </c>
      <c r="BA113" t="s">
        <v>74</v>
      </c>
      <c r="BB113" t="s">
        <v>74</v>
      </c>
      <c r="BC113" t="s">
        <v>74</v>
      </c>
      <c r="BD113">
        <v>2589</v>
      </c>
      <c r="BE113" t="s">
        <v>2558</v>
      </c>
      <c r="BF113" t="str">
        <f>HYPERLINK("http://dx.doi.org/10.3390/rs14112589","http://dx.doi.org/10.3390/rs14112589")</f>
        <v>http://dx.doi.org/10.3390/rs14112589</v>
      </c>
      <c r="BG113" t="s">
        <v>74</v>
      </c>
      <c r="BH113" t="s">
        <v>74</v>
      </c>
      <c r="BI113">
        <v>18</v>
      </c>
      <c r="BJ113" t="s">
        <v>1939</v>
      </c>
      <c r="BK113" t="s">
        <v>101</v>
      </c>
      <c r="BL113" t="s">
        <v>1940</v>
      </c>
      <c r="BM113" t="s">
        <v>2559</v>
      </c>
      <c r="BN113" t="s">
        <v>74</v>
      </c>
      <c r="BO113" t="s">
        <v>2560</v>
      </c>
      <c r="BP113" t="s">
        <v>74</v>
      </c>
      <c r="BQ113" t="s">
        <v>74</v>
      </c>
      <c r="BR113" t="s">
        <v>103</v>
      </c>
      <c r="BS113" t="s">
        <v>2561</v>
      </c>
      <c r="BT113" t="str">
        <f>HYPERLINK("https%3A%2F%2Fwww.webofscience.com%2Fwos%2Fwoscc%2Ffull-record%2FWOS:000808777400001","View Full Record in Web of Science")</f>
        <v>View Full Record in Web of Science</v>
      </c>
    </row>
    <row r="114" spans="1:72" x14ac:dyDescent="0.15">
      <c r="A114" t="s">
        <v>72</v>
      </c>
      <c r="B114" t="s">
        <v>2562</v>
      </c>
      <c r="C114" t="s">
        <v>74</v>
      </c>
      <c r="D114" t="s">
        <v>74</v>
      </c>
      <c r="E114" t="s">
        <v>74</v>
      </c>
      <c r="F114" t="s">
        <v>2563</v>
      </c>
      <c r="G114" t="s">
        <v>74</v>
      </c>
      <c r="H114" t="s">
        <v>74</v>
      </c>
      <c r="I114" t="s">
        <v>2564</v>
      </c>
      <c r="J114" t="s">
        <v>2565</v>
      </c>
      <c r="K114" t="s">
        <v>74</v>
      </c>
      <c r="L114" t="s">
        <v>74</v>
      </c>
      <c r="M114" t="s">
        <v>78</v>
      </c>
      <c r="N114" t="s">
        <v>79</v>
      </c>
      <c r="O114" t="s">
        <v>74</v>
      </c>
      <c r="P114" t="s">
        <v>74</v>
      </c>
      <c r="Q114" t="s">
        <v>74</v>
      </c>
      <c r="R114" t="s">
        <v>74</v>
      </c>
      <c r="S114" t="s">
        <v>74</v>
      </c>
      <c r="T114" t="s">
        <v>74</v>
      </c>
      <c r="U114" t="s">
        <v>74</v>
      </c>
      <c r="V114" t="s">
        <v>2566</v>
      </c>
      <c r="W114" t="s">
        <v>2567</v>
      </c>
      <c r="X114" t="s">
        <v>74</v>
      </c>
      <c r="Y114" t="s">
        <v>2568</v>
      </c>
      <c r="Z114" t="s">
        <v>2569</v>
      </c>
      <c r="AA114" t="s">
        <v>2570</v>
      </c>
      <c r="AB114" t="s">
        <v>2571</v>
      </c>
      <c r="AC114" t="s">
        <v>74</v>
      </c>
      <c r="AD114" t="s">
        <v>74</v>
      </c>
      <c r="AE114" t="s">
        <v>74</v>
      </c>
      <c r="AF114" t="s">
        <v>74</v>
      </c>
      <c r="AG114">
        <v>24</v>
      </c>
      <c r="AH114">
        <v>7</v>
      </c>
      <c r="AI114">
        <v>7</v>
      </c>
      <c r="AJ114">
        <v>0</v>
      </c>
      <c r="AK114">
        <v>4</v>
      </c>
      <c r="AL114" t="s">
        <v>2572</v>
      </c>
      <c r="AM114" t="s">
        <v>2573</v>
      </c>
      <c r="AN114" t="s">
        <v>2574</v>
      </c>
      <c r="AO114" t="s">
        <v>2575</v>
      </c>
      <c r="AP114" t="s">
        <v>2576</v>
      </c>
      <c r="AQ114" t="s">
        <v>74</v>
      </c>
      <c r="AR114" t="s">
        <v>2577</v>
      </c>
      <c r="AS114" t="s">
        <v>2578</v>
      </c>
      <c r="AT114" t="s">
        <v>2579</v>
      </c>
      <c r="AU114">
        <v>2022</v>
      </c>
      <c r="AV114">
        <v>932</v>
      </c>
      <c r="AW114">
        <v>1</v>
      </c>
      <c r="AX114" t="s">
        <v>74</v>
      </c>
      <c r="AY114" t="s">
        <v>74</v>
      </c>
      <c r="AZ114" t="s">
        <v>74</v>
      </c>
      <c r="BA114" t="s">
        <v>74</v>
      </c>
      <c r="BB114" t="s">
        <v>74</v>
      </c>
      <c r="BC114" t="s">
        <v>74</v>
      </c>
      <c r="BD114">
        <v>2</v>
      </c>
      <c r="BE114" t="s">
        <v>2580</v>
      </c>
      <c r="BF114" t="str">
        <f>HYPERLINK("http://dx.doi.org/10.3847/1538-4357/ac6c89","http://dx.doi.org/10.3847/1538-4357/ac6c89")</f>
        <v>http://dx.doi.org/10.3847/1538-4357/ac6c89</v>
      </c>
      <c r="BG114" t="s">
        <v>74</v>
      </c>
      <c r="BH114" t="s">
        <v>74</v>
      </c>
      <c r="BI114">
        <v>8</v>
      </c>
      <c r="BJ114" t="s">
        <v>2275</v>
      </c>
      <c r="BK114" t="s">
        <v>101</v>
      </c>
      <c r="BL114" t="s">
        <v>2275</v>
      </c>
      <c r="BM114" t="s">
        <v>2581</v>
      </c>
      <c r="BN114" t="s">
        <v>74</v>
      </c>
      <c r="BO114" t="s">
        <v>438</v>
      </c>
      <c r="BP114" t="s">
        <v>74</v>
      </c>
      <c r="BQ114" t="s">
        <v>74</v>
      </c>
      <c r="BR114" t="s">
        <v>103</v>
      </c>
      <c r="BS114" t="s">
        <v>2582</v>
      </c>
      <c r="BT114" t="str">
        <f>HYPERLINK("https%3A%2F%2Fwww.webofscience.com%2Fwos%2Fwoscc%2Ffull-record%2FWOS:000807761900001","View Full Record in Web of Science")</f>
        <v>View Full Record in Web of Science</v>
      </c>
    </row>
    <row r="115" spans="1:72" x14ac:dyDescent="0.15">
      <c r="A115" t="s">
        <v>72</v>
      </c>
      <c r="B115" t="s">
        <v>2583</v>
      </c>
      <c r="C115" t="s">
        <v>74</v>
      </c>
      <c r="D115" t="s">
        <v>74</v>
      </c>
      <c r="E115" t="s">
        <v>74</v>
      </c>
      <c r="F115" t="s">
        <v>2584</v>
      </c>
      <c r="G115" t="s">
        <v>74</v>
      </c>
      <c r="H115" t="s">
        <v>74</v>
      </c>
      <c r="I115" t="s">
        <v>2585</v>
      </c>
      <c r="J115" t="s">
        <v>2586</v>
      </c>
      <c r="K115" t="s">
        <v>74</v>
      </c>
      <c r="L115" t="s">
        <v>74</v>
      </c>
      <c r="M115" t="s">
        <v>78</v>
      </c>
      <c r="N115" t="s">
        <v>79</v>
      </c>
      <c r="O115" t="s">
        <v>74</v>
      </c>
      <c r="P115" t="s">
        <v>74</v>
      </c>
      <c r="Q115" t="s">
        <v>74</v>
      </c>
      <c r="R115" t="s">
        <v>74</v>
      </c>
      <c r="S115" t="s">
        <v>74</v>
      </c>
      <c r="T115" t="s">
        <v>2587</v>
      </c>
      <c r="U115" t="s">
        <v>2588</v>
      </c>
      <c r="V115" t="s">
        <v>2589</v>
      </c>
      <c r="W115" t="s">
        <v>2590</v>
      </c>
      <c r="X115" t="s">
        <v>2591</v>
      </c>
      <c r="Y115" t="s">
        <v>2592</v>
      </c>
      <c r="Z115" t="s">
        <v>2593</v>
      </c>
      <c r="AA115" t="s">
        <v>2594</v>
      </c>
      <c r="AB115" t="s">
        <v>2595</v>
      </c>
      <c r="AC115" t="s">
        <v>2596</v>
      </c>
      <c r="AD115" t="s">
        <v>2597</v>
      </c>
      <c r="AE115" t="s">
        <v>2598</v>
      </c>
      <c r="AF115" t="s">
        <v>74</v>
      </c>
      <c r="AG115">
        <v>180</v>
      </c>
      <c r="AH115">
        <v>4</v>
      </c>
      <c r="AI115">
        <v>4</v>
      </c>
      <c r="AJ115">
        <v>1</v>
      </c>
      <c r="AK115">
        <v>4</v>
      </c>
      <c r="AL115" t="s">
        <v>1689</v>
      </c>
      <c r="AM115" t="s">
        <v>531</v>
      </c>
      <c r="AN115" t="s">
        <v>1690</v>
      </c>
      <c r="AO115" t="s">
        <v>2599</v>
      </c>
      <c r="AP115" t="s">
        <v>2600</v>
      </c>
      <c r="AQ115" t="s">
        <v>74</v>
      </c>
      <c r="AR115" t="s">
        <v>2601</v>
      </c>
      <c r="AS115" t="s">
        <v>2602</v>
      </c>
      <c r="AT115" t="s">
        <v>537</v>
      </c>
      <c r="AU115">
        <v>2022</v>
      </c>
      <c r="AV115">
        <v>60</v>
      </c>
      <c r="AW115">
        <v>6</v>
      </c>
      <c r="AX115" t="s">
        <v>74</v>
      </c>
      <c r="AY115" t="s">
        <v>74</v>
      </c>
      <c r="AZ115" t="s">
        <v>74</v>
      </c>
      <c r="BA115" t="s">
        <v>74</v>
      </c>
      <c r="BB115">
        <v>509</v>
      </c>
      <c r="BC115">
        <v>529</v>
      </c>
      <c r="BD115" t="s">
        <v>74</v>
      </c>
      <c r="BE115" t="s">
        <v>2603</v>
      </c>
      <c r="BF115" t="str">
        <f>HYPERLINK("http://dx.doi.org/10.1134/S001670292206009X","http://dx.doi.org/10.1134/S001670292206009X")</f>
        <v>http://dx.doi.org/10.1134/S001670292206009X</v>
      </c>
      <c r="BG115" t="s">
        <v>74</v>
      </c>
      <c r="BH115" t="s">
        <v>74</v>
      </c>
      <c r="BI115">
        <v>21</v>
      </c>
      <c r="BJ115" t="s">
        <v>2144</v>
      </c>
      <c r="BK115" t="s">
        <v>101</v>
      </c>
      <c r="BL115" t="s">
        <v>2144</v>
      </c>
      <c r="BM115" t="s">
        <v>2604</v>
      </c>
      <c r="BN115" t="s">
        <v>74</v>
      </c>
      <c r="BO115" t="s">
        <v>74</v>
      </c>
      <c r="BP115" t="s">
        <v>74</v>
      </c>
      <c r="BQ115" t="s">
        <v>74</v>
      </c>
      <c r="BR115" t="s">
        <v>103</v>
      </c>
      <c r="BS115" t="s">
        <v>2605</v>
      </c>
      <c r="BT115" t="str">
        <f>HYPERLINK("https%3A%2F%2Fwww.webofscience.com%2Fwos%2Fwoscc%2Ffull-record%2FWOS:000806770900001","View Full Record in Web of Science")</f>
        <v>View Full Record in Web of Science</v>
      </c>
    </row>
    <row r="116" spans="1:72" x14ac:dyDescent="0.15">
      <c r="A116" t="s">
        <v>72</v>
      </c>
      <c r="B116" t="s">
        <v>2606</v>
      </c>
      <c r="C116" t="s">
        <v>74</v>
      </c>
      <c r="D116" t="s">
        <v>74</v>
      </c>
      <c r="E116" t="s">
        <v>74</v>
      </c>
      <c r="F116" t="s">
        <v>2607</v>
      </c>
      <c r="G116" t="s">
        <v>74</v>
      </c>
      <c r="H116" t="s">
        <v>74</v>
      </c>
      <c r="I116" t="s">
        <v>2608</v>
      </c>
      <c r="J116" t="s">
        <v>2609</v>
      </c>
      <c r="K116" t="s">
        <v>74</v>
      </c>
      <c r="L116" t="s">
        <v>74</v>
      </c>
      <c r="M116" t="s">
        <v>78</v>
      </c>
      <c r="N116" t="s">
        <v>79</v>
      </c>
      <c r="O116" t="s">
        <v>74</v>
      </c>
      <c r="P116" t="s">
        <v>74</v>
      </c>
      <c r="Q116" t="s">
        <v>74</v>
      </c>
      <c r="R116" t="s">
        <v>74</v>
      </c>
      <c r="S116" t="s">
        <v>74</v>
      </c>
      <c r="T116" t="s">
        <v>2610</v>
      </c>
      <c r="U116" t="s">
        <v>2611</v>
      </c>
      <c r="V116" t="s">
        <v>2612</v>
      </c>
      <c r="W116" t="s">
        <v>2613</v>
      </c>
      <c r="X116" t="s">
        <v>2614</v>
      </c>
      <c r="Y116" t="s">
        <v>2615</v>
      </c>
      <c r="Z116" t="s">
        <v>2616</v>
      </c>
      <c r="AA116" t="s">
        <v>2617</v>
      </c>
      <c r="AB116" t="s">
        <v>2618</v>
      </c>
      <c r="AC116" t="s">
        <v>2619</v>
      </c>
      <c r="AD116" t="s">
        <v>2620</v>
      </c>
      <c r="AE116" t="s">
        <v>2621</v>
      </c>
      <c r="AF116" t="s">
        <v>74</v>
      </c>
      <c r="AG116">
        <v>88</v>
      </c>
      <c r="AH116">
        <v>4</v>
      </c>
      <c r="AI116">
        <v>4</v>
      </c>
      <c r="AJ116">
        <v>4</v>
      </c>
      <c r="AK116">
        <v>25</v>
      </c>
      <c r="AL116" t="s">
        <v>1766</v>
      </c>
      <c r="AM116" t="s">
        <v>1767</v>
      </c>
      <c r="AN116" t="s">
        <v>1768</v>
      </c>
      <c r="AO116" t="s">
        <v>74</v>
      </c>
      <c r="AP116" t="s">
        <v>2622</v>
      </c>
      <c r="AQ116" t="s">
        <v>74</v>
      </c>
      <c r="AR116" t="s">
        <v>2609</v>
      </c>
      <c r="AS116" t="s">
        <v>2623</v>
      </c>
      <c r="AT116" t="s">
        <v>537</v>
      </c>
      <c r="AU116">
        <v>2022</v>
      </c>
      <c r="AV116">
        <v>11</v>
      </c>
      <c r="AW116">
        <v>11</v>
      </c>
      <c r="AX116" t="s">
        <v>74</v>
      </c>
      <c r="AY116" t="s">
        <v>74</v>
      </c>
      <c r="AZ116" t="s">
        <v>74</v>
      </c>
      <c r="BA116" t="s">
        <v>74</v>
      </c>
      <c r="BB116" t="s">
        <v>74</v>
      </c>
      <c r="BC116" t="s">
        <v>74</v>
      </c>
      <c r="BD116">
        <v>1520</v>
      </c>
      <c r="BE116" t="s">
        <v>2624</v>
      </c>
      <c r="BF116" t="str">
        <f>HYPERLINK("http://dx.doi.org/10.3390/plants11111520","http://dx.doi.org/10.3390/plants11111520")</f>
        <v>http://dx.doi.org/10.3390/plants11111520</v>
      </c>
      <c r="BG116" t="s">
        <v>74</v>
      </c>
      <c r="BH116" t="s">
        <v>74</v>
      </c>
      <c r="BI116">
        <v>21</v>
      </c>
      <c r="BJ116" t="s">
        <v>1649</v>
      </c>
      <c r="BK116" t="s">
        <v>101</v>
      </c>
      <c r="BL116" t="s">
        <v>1649</v>
      </c>
      <c r="BM116" t="s">
        <v>2625</v>
      </c>
      <c r="BN116">
        <v>35684292</v>
      </c>
      <c r="BO116" t="s">
        <v>1533</v>
      </c>
      <c r="BP116" t="s">
        <v>74</v>
      </c>
      <c r="BQ116" t="s">
        <v>74</v>
      </c>
      <c r="BR116" t="s">
        <v>103</v>
      </c>
      <c r="BS116" t="s">
        <v>2626</v>
      </c>
      <c r="BT116" t="str">
        <f>HYPERLINK("https%3A%2F%2Fwww.webofscience.com%2Fwos%2Fwoscc%2Ffull-record%2FWOS:000808799500001","View Full Record in Web of Science")</f>
        <v>View Full Record in Web of Science</v>
      </c>
    </row>
    <row r="117" spans="1:72" x14ac:dyDescent="0.15">
      <c r="A117" t="s">
        <v>72</v>
      </c>
      <c r="B117" t="s">
        <v>2627</v>
      </c>
      <c r="C117" t="s">
        <v>74</v>
      </c>
      <c r="D117" t="s">
        <v>74</v>
      </c>
      <c r="E117" t="s">
        <v>74</v>
      </c>
      <c r="F117" t="s">
        <v>2628</v>
      </c>
      <c r="G117" t="s">
        <v>74</v>
      </c>
      <c r="H117" t="s">
        <v>74</v>
      </c>
      <c r="I117" t="s">
        <v>2629</v>
      </c>
      <c r="J117" t="s">
        <v>2630</v>
      </c>
      <c r="K117" t="s">
        <v>74</v>
      </c>
      <c r="L117" t="s">
        <v>74</v>
      </c>
      <c r="M117" t="s">
        <v>78</v>
      </c>
      <c r="N117" t="s">
        <v>79</v>
      </c>
      <c r="O117" t="s">
        <v>74</v>
      </c>
      <c r="P117" t="s">
        <v>74</v>
      </c>
      <c r="Q117" t="s">
        <v>74</v>
      </c>
      <c r="R117" t="s">
        <v>74</v>
      </c>
      <c r="S117" t="s">
        <v>74</v>
      </c>
      <c r="T117" t="s">
        <v>2631</v>
      </c>
      <c r="U117" t="s">
        <v>2632</v>
      </c>
      <c r="V117" t="s">
        <v>2633</v>
      </c>
      <c r="W117" t="s">
        <v>2634</v>
      </c>
      <c r="X117" t="s">
        <v>2635</v>
      </c>
      <c r="Y117" t="s">
        <v>2636</v>
      </c>
      <c r="Z117" t="s">
        <v>2637</v>
      </c>
      <c r="AA117" t="s">
        <v>2638</v>
      </c>
      <c r="AB117" t="s">
        <v>2639</v>
      </c>
      <c r="AC117" t="s">
        <v>2640</v>
      </c>
      <c r="AD117" t="s">
        <v>2641</v>
      </c>
      <c r="AE117" t="s">
        <v>2642</v>
      </c>
      <c r="AF117" t="s">
        <v>74</v>
      </c>
      <c r="AG117">
        <v>153</v>
      </c>
      <c r="AH117">
        <v>15</v>
      </c>
      <c r="AI117">
        <v>15</v>
      </c>
      <c r="AJ117">
        <v>4</v>
      </c>
      <c r="AK117">
        <v>17</v>
      </c>
      <c r="AL117" t="s">
        <v>91</v>
      </c>
      <c r="AM117" t="s">
        <v>92</v>
      </c>
      <c r="AN117" t="s">
        <v>93</v>
      </c>
      <c r="AO117" t="s">
        <v>2643</v>
      </c>
      <c r="AP117" t="s">
        <v>74</v>
      </c>
      <c r="AQ117" t="s">
        <v>74</v>
      </c>
      <c r="AR117" t="s">
        <v>2630</v>
      </c>
      <c r="AS117" t="s">
        <v>2644</v>
      </c>
      <c r="AT117" t="s">
        <v>537</v>
      </c>
      <c r="AU117">
        <v>2022</v>
      </c>
      <c r="AV117">
        <v>13</v>
      </c>
      <c r="AW117">
        <v>6</v>
      </c>
      <c r="AX117" t="s">
        <v>74</v>
      </c>
      <c r="AY117" t="s">
        <v>74</v>
      </c>
      <c r="AZ117" t="s">
        <v>74</v>
      </c>
      <c r="BA117" t="s">
        <v>74</v>
      </c>
      <c r="BB117" t="s">
        <v>74</v>
      </c>
      <c r="BC117" t="s">
        <v>74</v>
      </c>
      <c r="BD117" t="s">
        <v>2645</v>
      </c>
      <c r="BE117" t="s">
        <v>2646</v>
      </c>
      <c r="BF117" t="str">
        <f>HYPERLINK("http://dx.doi.org/10.1002/ecs2.4083","http://dx.doi.org/10.1002/ecs2.4083")</f>
        <v>http://dx.doi.org/10.1002/ecs2.4083</v>
      </c>
      <c r="BG117" t="s">
        <v>74</v>
      </c>
      <c r="BH117" t="s">
        <v>74</v>
      </c>
      <c r="BI117">
        <v>24</v>
      </c>
      <c r="BJ117" t="s">
        <v>2647</v>
      </c>
      <c r="BK117" t="s">
        <v>101</v>
      </c>
      <c r="BL117" t="s">
        <v>840</v>
      </c>
      <c r="BM117" t="s">
        <v>2648</v>
      </c>
      <c r="BN117" t="s">
        <v>74</v>
      </c>
      <c r="BO117" t="s">
        <v>2649</v>
      </c>
      <c r="BP117" t="s">
        <v>74</v>
      </c>
      <c r="BQ117" t="s">
        <v>74</v>
      </c>
      <c r="BR117" t="s">
        <v>103</v>
      </c>
      <c r="BS117" t="s">
        <v>2650</v>
      </c>
      <c r="BT117" t="str">
        <f>HYPERLINK("https%3A%2F%2Fwww.webofscience.com%2Fwos%2Fwoscc%2Ffull-record%2FWOS:000806629200001","View Full Record in Web of Science")</f>
        <v>View Full Record in Web of Science</v>
      </c>
    </row>
    <row r="118" spans="1:72" x14ac:dyDescent="0.15">
      <c r="A118" t="s">
        <v>72</v>
      </c>
      <c r="B118" t="s">
        <v>2651</v>
      </c>
      <c r="C118" t="s">
        <v>74</v>
      </c>
      <c r="D118" t="s">
        <v>74</v>
      </c>
      <c r="E118" t="s">
        <v>74</v>
      </c>
      <c r="F118" t="s">
        <v>2652</v>
      </c>
      <c r="G118" t="s">
        <v>74</v>
      </c>
      <c r="H118" t="s">
        <v>74</v>
      </c>
      <c r="I118" t="s">
        <v>2653</v>
      </c>
      <c r="J118" t="s">
        <v>2654</v>
      </c>
      <c r="K118" t="s">
        <v>74</v>
      </c>
      <c r="L118" t="s">
        <v>74</v>
      </c>
      <c r="M118" t="s">
        <v>78</v>
      </c>
      <c r="N118" t="s">
        <v>190</v>
      </c>
      <c r="O118" t="s">
        <v>74</v>
      </c>
      <c r="P118" t="s">
        <v>74</v>
      </c>
      <c r="Q118" t="s">
        <v>74</v>
      </c>
      <c r="R118" t="s">
        <v>74</v>
      </c>
      <c r="S118" t="s">
        <v>74</v>
      </c>
      <c r="T118" t="s">
        <v>74</v>
      </c>
      <c r="U118" t="s">
        <v>74</v>
      </c>
      <c r="V118" t="s">
        <v>74</v>
      </c>
      <c r="W118" t="s">
        <v>2655</v>
      </c>
      <c r="X118" t="s">
        <v>2656</v>
      </c>
      <c r="Y118" t="s">
        <v>2657</v>
      </c>
      <c r="Z118" t="s">
        <v>74</v>
      </c>
      <c r="AA118" t="s">
        <v>2658</v>
      </c>
      <c r="AB118" t="s">
        <v>2659</v>
      </c>
      <c r="AC118" t="s">
        <v>74</v>
      </c>
      <c r="AD118" t="s">
        <v>74</v>
      </c>
      <c r="AE118" t="s">
        <v>74</v>
      </c>
      <c r="AF118" t="s">
        <v>74</v>
      </c>
      <c r="AG118">
        <v>0</v>
      </c>
      <c r="AH118">
        <v>0</v>
      </c>
      <c r="AI118">
        <v>0</v>
      </c>
      <c r="AJ118">
        <v>1</v>
      </c>
      <c r="AK118">
        <v>3</v>
      </c>
      <c r="AL118" t="s">
        <v>91</v>
      </c>
      <c r="AM118" t="s">
        <v>92</v>
      </c>
      <c r="AN118" t="s">
        <v>93</v>
      </c>
      <c r="AO118" t="s">
        <v>2660</v>
      </c>
      <c r="AP118" t="s">
        <v>2661</v>
      </c>
      <c r="AQ118" t="s">
        <v>74</v>
      </c>
      <c r="AR118" t="s">
        <v>2662</v>
      </c>
      <c r="AS118" t="s">
        <v>2663</v>
      </c>
      <c r="AT118" t="s">
        <v>537</v>
      </c>
      <c r="AU118">
        <v>2022</v>
      </c>
      <c r="AV118">
        <v>20</v>
      </c>
      <c r="AW118">
        <v>5</v>
      </c>
      <c r="AX118" t="s">
        <v>74</v>
      </c>
      <c r="AY118" t="s">
        <v>74</v>
      </c>
      <c r="AZ118" t="s">
        <v>74</v>
      </c>
      <c r="BA118" t="s">
        <v>74</v>
      </c>
      <c r="BB118">
        <v>291</v>
      </c>
      <c r="BC118">
        <v>291</v>
      </c>
      <c r="BD118" t="s">
        <v>74</v>
      </c>
      <c r="BE118" t="s">
        <v>2664</v>
      </c>
      <c r="BF118" t="str">
        <f>HYPERLINK("http://dx.doi.org/10.1002/fee.2517","http://dx.doi.org/10.1002/fee.2517")</f>
        <v>http://dx.doi.org/10.1002/fee.2517</v>
      </c>
      <c r="BG118" t="s">
        <v>74</v>
      </c>
      <c r="BH118" t="s">
        <v>74</v>
      </c>
      <c r="BI118">
        <v>1</v>
      </c>
      <c r="BJ118" t="s">
        <v>2665</v>
      </c>
      <c r="BK118" t="s">
        <v>101</v>
      </c>
      <c r="BL118" t="s">
        <v>840</v>
      </c>
      <c r="BM118" t="s">
        <v>2666</v>
      </c>
      <c r="BN118" t="s">
        <v>74</v>
      </c>
      <c r="BO118" t="s">
        <v>74</v>
      </c>
      <c r="BP118" t="s">
        <v>74</v>
      </c>
      <c r="BQ118" t="s">
        <v>74</v>
      </c>
      <c r="BR118" t="s">
        <v>103</v>
      </c>
      <c r="BS118" t="s">
        <v>2667</v>
      </c>
      <c r="BT118" t="str">
        <f>HYPERLINK("https%3A%2F%2Fwww.webofscience.com%2Fwos%2Fwoscc%2Ffull-record%2FWOS:000804144000013","View Full Record in Web of Science")</f>
        <v>View Full Record in Web of Science</v>
      </c>
    </row>
    <row r="119" spans="1:72" x14ac:dyDescent="0.15">
      <c r="A119" t="s">
        <v>72</v>
      </c>
      <c r="B119" t="s">
        <v>2668</v>
      </c>
      <c r="C119" t="s">
        <v>74</v>
      </c>
      <c r="D119" t="s">
        <v>74</v>
      </c>
      <c r="E119" t="s">
        <v>74</v>
      </c>
      <c r="F119" t="s">
        <v>2669</v>
      </c>
      <c r="G119" t="s">
        <v>74</v>
      </c>
      <c r="H119" t="s">
        <v>74</v>
      </c>
      <c r="I119" t="s">
        <v>2670</v>
      </c>
      <c r="J119" t="s">
        <v>2671</v>
      </c>
      <c r="K119" t="s">
        <v>74</v>
      </c>
      <c r="L119" t="s">
        <v>74</v>
      </c>
      <c r="M119" t="s">
        <v>78</v>
      </c>
      <c r="N119" t="s">
        <v>79</v>
      </c>
      <c r="O119" t="s">
        <v>74</v>
      </c>
      <c r="P119" t="s">
        <v>74</v>
      </c>
      <c r="Q119" t="s">
        <v>74</v>
      </c>
      <c r="R119" t="s">
        <v>74</v>
      </c>
      <c r="S119" t="s">
        <v>74</v>
      </c>
      <c r="T119" t="s">
        <v>2672</v>
      </c>
      <c r="U119" t="s">
        <v>2673</v>
      </c>
      <c r="V119" t="s">
        <v>2674</v>
      </c>
      <c r="W119" t="s">
        <v>2675</v>
      </c>
      <c r="X119" t="s">
        <v>2676</v>
      </c>
      <c r="Y119" t="s">
        <v>2677</v>
      </c>
      <c r="Z119" t="s">
        <v>2678</v>
      </c>
      <c r="AA119" t="s">
        <v>2679</v>
      </c>
      <c r="AB119" t="s">
        <v>2680</v>
      </c>
      <c r="AC119" t="s">
        <v>2681</v>
      </c>
      <c r="AD119" t="s">
        <v>2682</v>
      </c>
      <c r="AE119" t="s">
        <v>2683</v>
      </c>
      <c r="AF119" t="s">
        <v>74</v>
      </c>
      <c r="AG119">
        <v>106</v>
      </c>
      <c r="AH119">
        <v>1</v>
      </c>
      <c r="AI119">
        <v>1</v>
      </c>
      <c r="AJ119">
        <v>2</v>
      </c>
      <c r="AK119">
        <v>15</v>
      </c>
      <c r="AL119" t="s">
        <v>2042</v>
      </c>
      <c r="AM119" t="s">
        <v>2043</v>
      </c>
      <c r="AN119" t="s">
        <v>2044</v>
      </c>
      <c r="AO119" t="s">
        <v>2684</v>
      </c>
      <c r="AP119" t="s">
        <v>2685</v>
      </c>
      <c r="AQ119" t="s">
        <v>74</v>
      </c>
      <c r="AR119" t="s">
        <v>2686</v>
      </c>
      <c r="AS119" t="s">
        <v>2687</v>
      </c>
      <c r="AT119" t="s">
        <v>537</v>
      </c>
      <c r="AU119">
        <v>2022</v>
      </c>
      <c r="AV119">
        <v>127</v>
      </c>
      <c r="AW119">
        <v>6</v>
      </c>
      <c r="AX119" t="s">
        <v>74</v>
      </c>
      <c r="AY119" t="s">
        <v>74</v>
      </c>
      <c r="AZ119" t="s">
        <v>74</v>
      </c>
      <c r="BA119" t="s">
        <v>74</v>
      </c>
      <c r="BB119" t="s">
        <v>74</v>
      </c>
      <c r="BC119" t="s">
        <v>74</v>
      </c>
      <c r="BD119" t="s">
        <v>2688</v>
      </c>
      <c r="BE119" t="s">
        <v>2689</v>
      </c>
      <c r="BF119" t="str">
        <f>HYPERLINK("http://dx.doi.org/10.1029/2021JE007082","http://dx.doi.org/10.1029/2021JE007082")</f>
        <v>http://dx.doi.org/10.1029/2021JE007082</v>
      </c>
      <c r="BG119" t="s">
        <v>74</v>
      </c>
      <c r="BH119" t="s">
        <v>74</v>
      </c>
      <c r="BI119">
        <v>26</v>
      </c>
      <c r="BJ119" t="s">
        <v>2144</v>
      </c>
      <c r="BK119" t="s">
        <v>101</v>
      </c>
      <c r="BL119" t="s">
        <v>2144</v>
      </c>
      <c r="BM119" t="s">
        <v>2690</v>
      </c>
      <c r="BN119" t="s">
        <v>74</v>
      </c>
      <c r="BO119" t="s">
        <v>2354</v>
      </c>
      <c r="BP119" t="s">
        <v>74</v>
      </c>
      <c r="BQ119" t="s">
        <v>74</v>
      </c>
      <c r="BR119" t="s">
        <v>103</v>
      </c>
      <c r="BS119" t="s">
        <v>2691</v>
      </c>
      <c r="BT119" t="str">
        <f>HYPERLINK("https%3A%2F%2Fwww.webofscience.com%2Fwos%2Fwoscc%2Ffull-record%2FWOS:000806596000001","View Full Record in Web of Science")</f>
        <v>View Full Record in Web of Science</v>
      </c>
    </row>
    <row r="120" spans="1:72" x14ac:dyDescent="0.15">
      <c r="A120" t="s">
        <v>72</v>
      </c>
      <c r="B120" t="s">
        <v>2692</v>
      </c>
      <c r="C120" t="s">
        <v>74</v>
      </c>
      <c r="D120" t="s">
        <v>74</v>
      </c>
      <c r="E120" t="s">
        <v>74</v>
      </c>
      <c r="F120" t="s">
        <v>2693</v>
      </c>
      <c r="G120" t="s">
        <v>74</v>
      </c>
      <c r="H120" t="s">
        <v>74</v>
      </c>
      <c r="I120" t="s">
        <v>2694</v>
      </c>
      <c r="J120" t="s">
        <v>2671</v>
      </c>
      <c r="K120" t="s">
        <v>74</v>
      </c>
      <c r="L120" t="s">
        <v>74</v>
      </c>
      <c r="M120" t="s">
        <v>78</v>
      </c>
      <c r="N120" t="s">
        <v>79</v>
      </c>
      <c r="O120" t="s">
        <v>74</v>
      </c>
      <c r="P120" t="s">
        <v>74</v>
      </c>
      <c r="Q120" t="s">
        <v>74</v>
      </c>
      <c r="R120" t="s">
        <v>74</v>
      </c>
      <c r="S120" t="s">
        <v>74</v>
      </c>
      <c r="T120" t="s">
        <v>2695</v>
      </c>
      <c r="U120" t="s">
        <v>2696</v>
      </c>
      <c r="V120" t="s">
        <v>2697</v>
      </c>
      <c r="W120" t="s">
        <v>2698</v>
      </c>
      <c r="X120" t="s">
        <v>2699</v>
      </c>
      <c r="Y120" t="s">
        <v>2700</v>
      </c>
      <c r="Z120" t="s">
        <v>2678</v>
      </c>
      <c r="AA120" t="s">
        <v>2701</v>
      </c>
      <c r="AB120" t="s">
        <v>2702</v>
      </c>
      <c r="AC120" t="s">
        <v>2703</v>
      </c>
      <c r="AD120" t="s">
        <v>2704</v>
      </c>
      <c r="AE120" t="s">
        <v>2705</v>
      </c>
      <c r="AF120" t="s">
        <v>74</v>
      </c>
      <c r="AG120">
        <v>79</v>
      </c>
      <c r="AH120">
        <v>1</v>
      </c>
      <c r="AI120">
        <v>1</v>
      </c>
      <c r="AJ120">
        <v>2</v>
      </c>
      <c r="AK120">
        <v>7</v>
      </c>
      <c r="AL120" t="s">
        <v>2042</v>
      </c>
      <c r="AM120" t="s">
        <v>2043</v>
      </c>
      <c r="AN120" t="s">
        <v>2044</v>
      </c>
      <c r="AO120" t="s">
        <v>2684</v>
      </c>
      <c r="AP120" t="s">
        <v>2685</v>
      </c>
      <c r="AQ120" t="s">
        <v>74</v>
      </c>
      <c r="AR120" t="s">
        <v>2686</v>
      </c>
      <c r="AS120" t="s">
        <v>2687</v>
      </c>
      <c r="AT120" t="s">
        <v>537</v>
      </c>
      <c r="AU120">
        <v>2022</v>
      </c>
      <c r="AV120">
        <v>127</v>
      </c>
      <c r="AW120">
        <v>6</v>
      </c>
      <c r="AX120" t="s">
        <v>74</v>
      </c>
      <c r="AY120" t="s">
        <v>74</v>
      </c>
      <c r="AZ120" t="s">
        <v>74</v>
      </c>
      <c r="BA120" t="s">
        <v>74</v>
      </c>
      <c r="BB120" t="s">
        <v>74</v>
      </c>
      <c r="BC120" t="s">
        <v>74</v>
      </c>
      <c r="BD120" t="s">
        <v>2706</v>
      </c>
      <c r="BE120" t="s">
        <v>2707</v>
      </c>
      <c r="BF120" t="str">
        <f>HYPERLINK("http://dx.doi.org/10.1029/2021JE007080","http://dx.doi.org/10.1029/2021JE007080")</f>
        <v>http://dx.doi.org/10.1029/2021JE007080</v>
      </c>
      <c r="BG120" t="s">
        <v>74</v>
      </c>
      <c r="BH120" t="s">
        <v>74</v>
      </c>
      <c r="BI120">
        <v>27</v>
      </c>
      <c r="BJ120" t="s">
        <v>2144</v>
      </c>
      <c r="BK120" t="s">
        <v>101</v>
      </c>
      <c r="BL120" t="s">
        <v>2144</v>
      </c>
      <c r="BM120" t="s">
        <v>2708</v>
      </c>
      <c r="BN120" t="s">
        <v>74</v>
      </c>
      <c r="BO120" t="s">
        <v>2709</v>
      </c>
      <c r="BP120" t="s">
        <v>74</v>
      </c>
      <c r="BQ120" t="s">
        <v>74</v>
      </c>
      <c r="BR120" t="s">
        <v>103</v>
      </c>
      <c r="BS120" t="s">
        <v>2710</v>
      </c>
      <c r="BT120" t="str">
        <f>HYPERLINK("https%3A%2F%2Fwww.webofscience.com%2Fwos%2Fwoscc%2Ffull-record%2FWOS:000806597000001","View Full Record in Web of Science")</f>
        <v>View Full Record in Web of Science</v>
      </c>
    </row>
    <row r="121" spans="1:72" x14ac:dyDescent="0.15">
      <c r="A121" t="s">
        <v>72</v>
      </c>
      <c r="B121" t="s">
        <v>2711</v>
      </c>
      <c r="C121" t="s">
        <v>74</v>
      </c>
      <c r="D121" t="s">
        <v>74</v>
      </c>
      <c r="E121" t="s">
        <v>74</v>
      </c>
      <c r="F121" t="s">
        <v>2712</v>
      </c>
      <c r="G121" t="s">
        <v>74</v>
      </c>
      <c r="H121" t="s">
        <v>74</v>
      </c>
      <c r="I121" t="s">
        <v>2713</v>
      </c>
      <c r="J121" t="s">
        <v>2714</v>
      </c>
      <c r="K121" t="s">
        <v>74</v>
      </c>
      <c r="L121" t="s">
        <v>74</v>
      </c>
      <c r="M121" t="s">
        <v>78</v>
      </c>
      <c r="N121" t="s">
        <v>79</v>
      </c>
      <c r="O121" t="s">
        <v>74</v>
      </c>
      <c r="P121" t="s">
        <v>74</v>
      </c>
      <c r="Q121" t="s">
        <v>74</v>
      </c>
      <c r="R121" t="s">
        <v>74</v>
      </c>
      <c r="S121" t="s">
        <v>74</v>
      </c>
      <c r="T121" t="s">
        <v>2715</v>
      </c>
      <c r="U121" t="s">
        <v>2716</v>
      </c>
      <c r="V121" t="s">
        <v>2717</v>
      </c>
      <c r="W121" t="s">
        <v>2718</v>
      </c>
      <c r="X121" t="s">
        <v>2719</v>
      </c>
      <c r="Y121" t="s">
        <v>2720</v>
      </c>
      <c r="Z121" t="s">
        <v>2721</v>
      </c>
      <c r="AA121" t="s">
        <v>2722</v>
      </c>
      <c r="AB121" t="s">
        <v>74</v>
      </c>
      <c r="AC121" t="s">
        <v>2723</v>
      </c>
      <c r="AD121" t="s">
        <v>2724</v>
      </c>
      <c r="AE121" t="s">
        <v>2725</v>
      </c>
      <c r="AF121" t="s">
        <v>74</v>
      </c>
      <c r="AG121">
        <v>46</v>
      </c>
      <c r="AH121">
        <v>2</v>
      </c>
      <c r="AI121">
        <v>2</v>
      </c>
      <c r="AJ121">
        <v>6</v>
      </c>
      <c r="AK121">
        <v>28</v>
      </c>
      <c r="AL121" t="s">
        <v>2572</v>
      </c>
      <c r="AM121" t="s">
        <v>2573</v>
      </c>
      <c r="AN121" t="s">
        <v>2574</v>
      </c>
      <c r="AO121" t="s">
        <v>2726</v>
      </c>
      <c r="AP121" t="s">
        <v>74</v>
      </c>
      <c r="AQ121" t="s">
        <v>74</v>
      </c>
      <c r="AR121" t="s">
        <v>2727</v>
      </c>
      <c r="AS121" t="s">
        <v>2728</v>
      </c>
      <c r="AT121" t="s">
        <v>2579</v>
      </c>
      <c r="AU121">
        <v>2022</v>
      </c>
      <c r="AV121">
        <v>17</v>
      </c>
      <c r="AW121">
        <v>6</v>
      </c>
      <c r="AX121" t="s">
        <v>74</v>
      </c>
      <c r="AY121" t="s">
        <v>74</v>
      </c>
      <c r="AZ121" t="s">
        <v>74</v>
      </c>
      <c r="BA121" t="s">
        <v>74</v>
      </c>
      <c r="BB121" t="s">
        <v>74</v>
      </c>
      <c r="BC121" t="s">
        <v>74</v>
      </c>
      <c r="BD121">
        <v>64040</v>
      </c>
      <c r="BE121" t="s">
        <v>2729</v>
      </c>
      <c r="BF121" t="str">
        <f>HYPERLINK("http://dx.doi.org/10.1088/1748-9326/ac73ab","http://dx.doi.org/10.1088/1748-9326/ac73ab")</f>
        <v>http://dx.doi.org/10.1088/1748-9326/ac73ab</v>
      </c>
      <c r="BG121" t="s">
        <v>74</v>
      </c>
      <c r="BH121" t="s">
        <v>74</v>
      </c>
      <c r="BI121">
        <v>10</v>
      </c>
      <c r="BJ121" t="s">
        <v>1797</v>
      </c>
      <c r="BK121" t="s">
        <v>101</v>
      </c>
      <c r="BL121" t="s">
        <v>957</v>
      </c>
      <c r="BM121" t="s">
        <v>2730</v>
      </c>
      <c r="BN121" t="s">
        <v>74</v>
      </c>
      <c r="BO121" t="s">
        <v>438</v>
      </c>
      <c r="BP121" t="s">
        <v>74</v>
      </c>
      <c r="BQ121" t="s">
        <v>74</v>
      </c>
      <c r="BR121" t="s">
        <v>103</v>
      </c>
      <c r="BS121" t="s">
        <v>2731</v>
      </c>
      <c r="BT121" t="str">
        <f>HYPERLINK("https%3A%2F%2Fwww.webofscience.com%2Fwos%2Fwoscc%2Ffull-record%2FWOS:000806522800001","View Full Record in Web of Science")</f>
        <v>View Full Record in Web of Science</v>
      </c>
    </row>
    <row r="122" spans="1:72" x14ac:dyDescent="0.15">
      <c r="A122" t="s">
        <v>72</v>
      </c>
      <c r="B122" t="s">
        <v>2732</v>
      </c>
      <c r="C122" t="s">
        <v>74</v>
      </c>
      <c r="D122" t="s">
        <v>74</v>
      </c>
      <c r="E122" t="s">
        <v>74</v>
      </c>
      <c r="F122" t="s">
        <v>2733</v>
      </c>
      <c r="G122" t="s">
        <v>74</v>
      </c>
      <c r="H122" t="s">
        <v>74</v>
      </c>
      <c r="I122" t="s">
        <v>2734</v>
      </c>
      <c r="J122" t="s">
        <v>2443</v>
      </c>
      <c r="K122" t="s">
        <v>74</v>
      </c>
      <c r="L122" t="s">
        <v>74</v>
      </c>
      <c r="M122" t="s">
        <v>78</v>
      </c>
      <c r="N122" t="s">
        <v>79</v>
      </c>
      <c r="O122" t="s">
        <v>74</v>
      </c>
      <c r="P122" t="s">
        <v>74</v>
      </c>
      <c r="Q122" t="s">
        <v>74</v>
      </c>
      <c r="R122" t="s">
        <v>74</v>
      </c>
      <c r="S122" t="s">
        <v>74</v>
      </c>
      <c r="T122" t="s">
        <v>2735</v>
      </c>
      <c r="U122" t="s">
        <v>2736</v>
      </c>
      <c r="V122" t="s">
        <v>2737</v>
      </c>
      <c r="W122" t="s">
        <v>2738</v>
      </c>
      <c r="X122" t="s">
        <v>2739</v>
      </c>
      <c r="Y122" t="s">
        <v>2740</v>
      </c>
      <c r="Z122" t="s">
        <v>2741</v>
      </c>
      <c r="AA122" t="s">
        <v>2742</v>
      </c>
      <c r="AB122" t="s">
        <v>2743</v>
      </c>
      <c r="AC122" t="s">
        <v>2744</v>
      </c>
      <c r="AD122" t="s">
        <v>2745</v>
      </c>
      <c r="AE122" t="s">
        <v>2746</v>
      </c>
      <c r="AF122" t="s">
        <v>74</v>
      </c>
      <c r="AG122">
        <v>87</v>
      </c>
      <c r="AH122">
        <v>5</v>
      </c>
      <c r="AI122">
        <v>5</v>
      </c>
      <c r="AJ122">
        <v>3</v>
      </c>
      <c r="AK122">
        <v>15</v>
      </c>
      <c r="AL122" t="s">
        <v>2042</v>
      </c>
      <c r="AM122" t="s">
        <v>2043</v>
      </c>
      <c r="AN122" t="s">
        <v>2044</v>
      </c>
      <c r="AO122" t="s">
        <v>2456</v>
      </c>
      <c r="AP122" t="s">
        <v>2457</v>
      </c>
      <c r="AQ122" t="s">
        <v>74</v>
      </c>
      <c r="AR122" t="s">
        <v>2458</v>
      </c>
      <c r="AS122" t="s">
        <v>2459</v>
      </c>
      <c r="AT122" t="s">
        <v>537</v>
      </c>
      <c r="AU122">
        <v>2022</v>
      </c>
      <c r="AV122">
        <v>127</v>
      </c>
      <c r="AW122">
        <v>6</v>
      </c>
      <c r="AX122" t="s">
        <v>74</v>
      </c>
      <c r="AY122" t="s">
        <v>74</v>
      </c>
      <c r="AZ122" t="s">
        <v>74</v>
      </c>
      <c r="BA122" t="s">
        <v>74</v>
      </c>
      <c r="BB122" t="s">
        <v>74</v>
      </c>
      <c r="BC122" t="s">
        <v>74</v>
      </c>
      <c r="BD122" t="s">
        <v>2747</v>
      </c>
      <c r="BE122" t="s">
        <v>2748</v>
      </c>
      <c r="BF122" t="str">
        <f>HYPERLINK("http://dx.doi.org/10.1029/2021JC017801","http://dx.doi.org/10.1029/2021JC017801")</f>
        <v>http://dx.doi.org/10.1029/2021JC017801</v>
      </c>
      <c r="BG122" t="s">
        <v>74</v>
      </c>
      <c r="BH122" t="s">
        <v>74</v>
      </c>
      <c r="BI122">
        <v>17</v>
      </c>
      <c r="BJ122" t="s">
        <v>208</v>
      </c>
      <c r="BK122" t="s">
        <v>101</v>
      </c>
      <c r="BL122" t="s">
        <v>208</v>
      </c>
      <c r="BM122" t="s">
        <v>2749</v>
      </c>
      <c r="BN122" t="s">
        <v>74</v>
      </c>
      <c r="BO122" t="s">
        <v>643</v>
      </c>
      <c r="BP122" t="s">
        <v>74</v>
      </c>
      <c r="BQ122" t="s">
        <v>74</v>
      </c>
      <c r="BR122" t="s">
        <v>103</v>
      </c>
      <c r="BS122" t="s">
        <v>2750</v>
      </c>
      <c r="BT122" t="str">
        <f>HYPERLINK("https%3A%2F%2Fwww.webofscience.com%2Fwos%2Fwoscc%2Ffull-record%2FWOS:000806591800001","View Full Record in Web of Science")</f>
        <v>View Full Record in Web of Science</v>
      </c>
    </row>
    <row r="123" spans="1:72" x14ac:dyDescent="0.15">
      <c r="A123" t="s">
        <v>72</v>
      </c>
      <c r="B123" t="s">
        <v>2751</v>
      </c>
      <c r="C123" t="s">
        <v>74</v>
      </c>
      <c r="D123" t="s">
        <v>74</v>
      </c>
      <c r="E123" t="s">
        <v>74</v>
      </c>
      <c r="F123" t="s">
        <v>2752</v>
      </c>
      <c r="G123" t="s">
        <v>74</v>
      </c>
      <c r="H123" t="s">
        <v>74</v>
      </c>
      <c r="I123" t="s">
        <v>2753</v>
      </c>
      <c r="J123" t="s">
        <v>2443</v>
      </c>
      <c r="K123" t="s">
        <v>74</v>
      </c>
      <c r="L123" t="s">
        <v>74</v>
      </c>
      <c r="M123" t="s">
        <v>78</v>
      </c>
      <c r="N123" t="s">
        <v>79</v>
      </c>
      <c r="O123" t="s">
        <v>74</v>
      </c>
      <c r="P123" t="s">
        <v>74</v>
      </c>
      <c r="Q123" t="s">
        <v>74</v>
      </c>
      <c r="R123" t="s">
        <v>74</v>
      </c>
      <c r="S123" t="s">
        <v>74</v>
      </c>
      <c r="T123" t="s">
        <v>74</v>
      </c>
      <c r="U123" t="s">
        <v>2754</v>
      </c>
      <c r="V123" t="s">
        <v>2755</v>
      </c>
      <c r="W123" t="s">
        <v>2756</v>
      </c>
      <c r="X123" t="s">
        <v>2757</v>
      </c>
      <c r="Y123" t="s">
        <v>2758</v>
      </c>
      <c r="Z123" t="s">
        <v>2759</v>
      </c>
      <c r="AA123" t="s">
        <v>2760</v>
      </c>
      <c r="AB123" t="s">
        <v>2761</v>
      </c>
      <c r="AC123" t="s">
        <v>2762</v>
      </c>
      <c r="AD123" t="s">
        <v>2763</v>
      </c>
      <c r="AE123" t="s">
        <v>2764</v>
      </c>
      <c r="AF123" t="s">
        <v>74</v>
      </c>
      <c r="AG123">
        <v>85</v>
      </c>
      <c r="AH123">
        <v>1</v>
      </c>
      <c r="AI123">
        <v>1</v>
      </c>
      <c r="AJ123">
        <v>2</v>
      </c>
      <c r="AK123">
        <v>14</v>
      </c>
      <c r="AL123" t="s">
        <v>2042</v>
      </c>
      <c r="AM123" t="s">
        <v>2043</v>
      </c>
      <c r="AN123" t="s">
        <v>2044</v>
      </c>
      <c r="AO123" t="s">
        <v>2456</v>
      </c>
      <c r="AP123" t="s">
        <v>2457</v>
      </c>
      <c r="AQ123" t="s">
        <v>74</v>
      </c>
      <c r="AR123" t="s">
        <v>2458</v>
      </c>
      <c r="AS123" t="s">
        <v>2459</v>
      </c>
      <c r="AT123" t="s">
        <v>537</v>
      </c>
      <c r="AU123">
        <v>2022</v>
      </c>
      <c r="AV123">
        <v>127</v>
      </c>
      <c r="AW123">
        <v>6</v>
      </c>
      <c r="AX123" t="s">
        <v>74</v>
      </c>
      <c r="AY123" t="s">
        <v>74</v>
      </c>
      <c r="AZ123" t="s">
        <v>74</v>
      </c>
      <c r="BA123" t="s">
        <v>74</v>
      </c>
      <c r="BB123" t="s">
        <v>74</v>
      </c>
      <c r="BC123" t="s">
        <v>74</v>
      </c>
      <c r="BD123" t="s">
        <v>2765</v>
      </c>
      <c r="BE123" t="s">
        <v>2766</v>
      </c>
      <c r="BF123" t="str">
        <f>HYPERLINK("http://dx.doi.org/10.1029/2021JC017863","http://dx.doi.org/10.1029/2021JC017863")</f>
        <v>http://dx.doi.org/10.1029/2021JC017863</v>
      </c>
      <c r="BG123" t="s">
        <v>74</v>
      </c>
      <c r="BH123" t="s">
        <v>74</v>
      </c>
      <c r="BI123">
        <v>19</v>
      </c>
      <c r="BJ123" t="s">
        <v>208</v>
      </c>
      <c r="BK123" t="s">
        <v>101</v>
      </c>
      <c r="BL123" t="s">
        <v>208</v>
      </c>
      <c r="BM123" t="s">
        <v>2767</v>
      </c>
      <c r="BN123" t="s">
        <v>74</v>
      </c>
      <c r="BO123" t="s">
        <v>590</v>
      </c>
      <c r="BP123" t="s">
        <v>74</v>
      </c>
      <c r="BQ123" t="s">
        <v>74</v>
      </c>
      <c r="BR123" t="s">
        <v>103</v>
      </c>
      <c r="BS123" t="s">
        <v>2768</v>
      </c>
      <c r="BT123" t="str">
        <f>HYPERLINK("https%3A%2F%2Fwww.webofscience.com%2Fwos%2Fwoscc%2Ffull-record%2FWOS:000805258400001","View Full Record in Web of Science")</f>
        <v>View Full Record in Web of Science</v>
      </c>
    </row>
    <row r="124" spans="1:72" x14ac:dyDescent="0.15">
      <c r="A124" t="s">
        <v>72</v>
      </c>
      <c r="B124" t="s">
        <v>2769</v>
      </c>
      <c r="C124" t="s">
        <v>74</v>
      </c>
      <c r="D124" t="s">
        <v>74</v>
      </c>
      <c r="E124" t="s">
        <v>74</v>
      </c>
      <c r="F124" t="s">
        <v>2770</v>
      </c>
      <c r="G124" t="s">
        <v>74</v>
      </c>
      <c r="H124" t="s">
        <v>74</v>
      </c>
      <c r="I124" t="s">
        <v>2771</v>
      </c>
      <c r="J124" t="s">
        <v>2772</v>
      </c>
      <c r="K124" t="s">
        <v>74</v>
      </c>
      <c r="L124" t="s">
        <v>74</v>
      </c>
      <c r="M124" t="s">
        <v>78</v>
      </c>
      <c r="N124" t="s">
        <v>79</v>
      </c>
      <c r="O124" t="s">
        <v>74</v>
      </c>
      <c r="P124" t="s">
        <v>74</v>
      </c>
      <c r="Q124" t="s">
        <v>74</v>
      </c>
      <c r="R124" t="s">
        <v>74</v>
      </c>
      <c r="S124" t="s">
        <v>74</v>
      </c>
      <c r="T124" t="s">
        <v>2773</v>
      </c>
      <c r="U124" t="s">
        <v>2774</v>
      </c>
      <c r="V124" t="s">
        <v>2775</v>
      </c>
      <c r="W124" t="s">
        <v>2776</v>
      </c>
      <c r="X124" t="s">
        <v>2777</v>
      </c>
      <c r="Y124" t="s">
        <v>2778</v>
      </c>
      <c r="Z124" t="s">
        <v>2779</v>
      </c>
      <c r="AA124" t="s">
        <v>2780</v>
      </c>
      <c r="AB124" t="s">
        <v>2781</v>
      </c>
      <c r="AC124" t="s">
        <v>2782</v>
      </c>
      <c r="AD124" t="s">
        <v>2783</v>
      </c>
      <c r="AE124" t="s">
        <v>2784</v>
      </c>
      <c r="AF124" t="s">
        <v>74</v>
      </c>
      <c r="AG124">
        <v>165</v>
      </c>
      <c r="AH124">
        <v>6</v>
      </c>
      <c r="AI124">
        <v>6</v>
      </c>
      <c r="AJ124">
        <v>3</v>
      </c>
      <c r="AK124">
        <v>19</v>
      </c>
      <c r="AL124" t="s">
        <v>2785</v>
      </c>
      <c r="AM124" t="s">
        <v>2786</v>
      </c>
      <c r="AN124" t="s">
        <v>2787</v>
      </c>
      <c r="AO124" t="s">
        <v>2788</v>
      </c>
      <c r="AP124" t="s">
        <v>2789</v>
      </c>
      <c r="AQ124" t="s">
        <v>74</v>
      </c>
      <c r="AR124" t="s">
        <v>2790</v>
      </c>
      <c r="AS124" t="s">
        <v>2791</v>
      </c>
      <c r="AT124" t="s">
        <v>74</v>
      </c>
      <c r="AU124">
        <v>2022</v>
      </c>
      <c r="AV124">
        <v>36</v>
      </c>
      <c r="AW124">
        <v>5</v>
      </c>
      <c r="AX124" t="s">
        <v>74</v>
      </c>
      <c r="AY124" t="s">
        <v>74</v>
      </c>
      <c r="AZ124" t="s">
        <v>74</v>
      </c>
      <c r="BA124" t="s">
        <v>74</v>
      </c>
      <c r="BB124">
        <v>419</v>
      </c>
      <c r="BC124">
        <v>435</v>
      </c>
      <c r="BD124" t="s">
        <v>74</v>
      </c>
      <c r="BE124" t="s">
        <v>2792</v>
      </c>
      <c r="BF124" t="str">
        <f>HYPERLINK("http://dx.doi.org/10.1071/IS21073","http://dx.doi.org/10.1071/IS21073")</f>
        <v>http://dx.doi.org/10.1071/IS21073</v>
      </c>
      <c r="BG124" t="s">
        <v>74</v>
      </c>
      <c r="BH124" t="s">
        <v>99</v>
      </c>
      <c r="BI124">
        <v>17</v>
      </c>
      <c r="BJ124" t="s">
        <v>2793</v>
      </c>
      <c r="BK124" t="s">
        <v>101</v>
      </c>
      <c r="BL124" t="s">
        <v>2793</v>
      </c>
      <c r="BM124" t="s">
        <v>2794</v>
      </c>
      <c r="BN124" t="s">
        <v>74</v>
      </c>
      <c r="BO124" t="s">
        <v>267</v>
      </c>
      <c r="BP124" t="s">
        <v>74</v>
      </c>
      <c r="BQ124" t="s">
        <v>74</v>
      </c>
      <c r="BR124" t="s">
        <v>103</v>
      </c>
      <c r="BS124" t="s">
        <v>2795</v>
      </c>
      <c r="BT124" t="str">
        <f>HYPERLINK("https%3A%2F%2Fwww.webofscience.com%2Fwos%2Fwoscc%2Ffull-record%2FWOS:000804112000001","View Full Record in Web of Science")</f>
        <v>View Full Record in Web of Science</v>
      </c>
    </row>
    <row r="125" spans="1:72" x14ac:dyDescent="0.15">
      <c r="A125" t="s">
        <v>72</v>
      </c>
      <c r="B125" t="s">
        <v>2796</v>
      </c>
      <c r="C125" t="s">
        <v>74</v>
      </c>
      <c r="D125" t="s">
        <v>74</v>
      </c>
      <c r="E125" t="s">
        <v>74</v>
      </c>
      <c r="F125" t="s">
        <v>2797</v>
      </c>
      <c r="G125" t="s">
        <v>74</v>
      </c>
      <c r="H125" t="s">
        <v>74</v>
      </c>
      <c r="I125" t="s">
        <v>2798</v>
      </c>
      <c r="J125" t="s">
        <v>2799</v>
      </c>
      <c r="K125" t="s">
        <v>74</v>
      </c>
      <c r="L125" t="s">
        <v>74</v>
      </c>
      <c r="M125" t="s">
        <v>78</v>
      </c>
      <c r="N125" t="s">
        <v>79</v>
      </c>
      <c r="O125" t="s">
        <v>74</v>
      </c>
      <c r="P125" t="s">
        <v>74</v>
      </c>
      <c r="Q125" t="s">
        <v>74</v>
      </c>
      <c r="R125" t="s">
        <v>74</v>
      </c>
      <c r="S125" t="s">
        <v>74</v>
      </c>
      <c r="T125" t="s">
        <v>2800</v>
      </c>
      <c r="U125" t="s">
        <v>2801</v>
      </c>
      <c r="V125" t="s">
        <v>2802</v>
      </c>
      <c r="W125" t="s">
        <v>2803</v>
      </c>
      <c r="X125" t="s">
        <v>2804</v>
      </c>
      <c r="Y125" t="s">
        <v>2805</v>
      </c>
      <c r="Z125" t="s">
        <v>2806</v>
      </c>
      <c r="AA125" t="s">
        <v>2807</v>
      </c>
      <c r="AB125" t="s">
        <v>2808</v>
      </c>
      <c r="AC125" t="s">
        <v>2809</v>
      </c>
      <c r="AD125" t="s">
        <v>2810</v>
      </c>
      <c r="AE125" t="s">
        <v>2811</v>
      </c>
      <c r="AF125" t="s">
        <v>74</v>
      </c>
      <c r="AG125">
        <v>85</v>
      </c>
      <c r="AH125">
        <v>8</v>
      </c>
      <c r="AI125">
        <v>8</v>
      </c>
      <c r="AJ125">
        <v>2</v>
      </c>
      <c r="AK125">
        <v>13</v>
      </c>
      <c r="AL125" t="s">
        <v>91</v>
      </c>
      <c r="AM125" t="s">
        <v>92</v>
      </c>
      <c r="AN125" t="s">
        <v>93</v>
      </c>
      <c r="AO125" t="s">
        <v>2812</v>
      </c>
      <c r="AP125" t="s">
        <v>2813</v>
      </c>
      <c r="AQ125" t="s">
        <v>74</v>
      </c>
      <c r="AR125" t="s">
        <v>2814</v>
      </c>
      <c r="AS125" t="s">
        <v>2815</v>
      </c>
      <c r="AT125" t="s">
        <v>346</v>
      </c>
      <c r="AU125">
        <v>2022</v>
      </c>
      <c r="AV125">
        <v>13</v>
      </c>
      <c r="AW125">
        <v>8</v>
      </c>
      <c r="AX125" t="s">
        <v>74</v>
      </c>
      <c r="AY125" t="s">
        <v>74</v>
      </c>
      <c r="AZ125" t="s">
        <v>74</v>
      </c>
      <c r="BA125" t="s">
        <v>74</v>
      </c>
      <c r="BB125">
        <v>1746</v>
      </c>
      <c r="BC125">
        <v>1764</v>
      </c>
      <c r="BD125" t="s">
        <v>74</v>
      </c>
      <c r="BE125" t="s">
        <v>2816</v>
      </c>
      <c r="BF125" t="str">
        <f>HYPERLINK("http://dx.doi.org/10.1111/2041-210X.13898","http://dx.doi.org/10.1111/2041-210X.13898")</f>
        <v>http://dx.doi.org/10.1111/2041-210X.13898</v>
      </c>
      <c r="BG125" t="s">
        <v>74</v>
      </c>
      <c r="BH125" t="s">
        <v>99</v>
      </c>
      <c r="BI125">
        <v>19</v>
      </c>
      <c r="BJ125" t="s">
        <v>2647</v>
      </c>
      <c r="BK125" t="s">
        <v>101</v>
      </c>
      <c r="BL125" t="s">
        <v>840</v>
      </c>
      <c r="BM125" t="s">
        <v>2817</v>
      </c>
      <c r="BN125" t="s">
        <v>74</v>
      </c>
      <c r="BO125" t="s">
        <v>267</v>
      </c>
      <c r="BP125" t="s">
        <v>74</v>
      </c>
      <c r="BQ125" t="s">
        <v>74</v>
      </c>
      <c r="BR125" t="s">
        <v>103</v>
      </c>
      <c r="BS125" t="s">
        <v>2818</v>
      </c>
      <c r="BT125" t="str">
        <f>HYPERLINK("https%3A%2F%2Fwww.webofscience.com%2Fwos%2Fwoscc%2Ffull-record%2FWOS:000804031000001","View Full Record in Web of Science")</f>
        <v>View Full Record in Web of Science</v>
      </c>
    </row>
    <row r="126" spans="1:72" x14ac:dyDescent="0.15">
      <c r="A126" t="s">
        <v>72</v>
      </c>
      <c r="B126" t="s">
        <v>2819</v>
      </c>
      <c r="C126" t="s">
        <v>74</v>
      </c>
      <c r="D126" t="s">
        <v>74</v>
      </c>
      <c r="E126" t="s">
        <v>74</v>
      </c>
      <c r="F126" t="s">
        <v>2820</v>
      </c>
      <c r="G126" t="s">
        <v>74</v>
      </c>
      <c r="H126" t="s">
        <v>74</v>
      </c>
      <c r="I126" t="s">
        <v>2821</v>
      </c>
      <c r="J126" t="s">
        <v>2822</v>
      </c>
      <c r="K126" t="s">
        <v>74</v>
      </c>
      <c r="L126" t="s">
        <v>74</v>
      </c>
      <c r="M126" t="s">
        <v>78</v>
      </c>
      <c r="N126" t="s">
        <v>79</v>
      </c>
      <c r="O126" t="s">
        <v>74</v>
      </c>
      <c r="P126" t="s">
        <v>74</v>
      </c>
      <c r="Q126" t="s">
        <v>74</v>
      </c>
      <c r="R126" t="s">
        <v>74</v>
      </c>
      <c r="S126" t="s">
        <v>74</v>
      </c>
      <c r="T126" t="s">
        <v>74</v>
      </c>
      <c r="U126" t="s">
        <v>2823</v>
      </c>
      <c r="V126" t="s">
        <v>2824</v>
      </c>
      <c r="W126" t="s">
        <v>2825</v>
      </c>
      <c r="X126" t="s">
        <v>2826</v>
      </c>
      <c r="Y126" t="s">
        <v>2827</v>
      </c>
      <c r="Z126" t="s">
        <v>2828</v>
      </c>
      <c r="AA126" t="s">
        <v>74</v>
      </c>
      <c r="AB126" t="s">
        <v>2829</v>
      </c>
      <c r="AC126" t="s">
        <v>2830</v>
      </c>
      <c r="AD126" t="s">
        <v>2831</v>
      </c>
      <c r="AE126" t="s">
        <v>2832</v>
      </c>
      <c r="AF126" t="s">
        <v>74</v>
      </c>
      <c r="AG126">
        <v>91</v>
      </c>
      <c r="AH126">
        <v>3</v>
      </c>
      <c r="AI126">
        <v>3</v>
      </c>
      <c r="AJ126">
        <v>2</v>
      </c>
      <c r="AK126">
        <v>7</v>
      </c>
      <c r="AL126" t="s">
        <v>117</v>
      </c>
      <c r="AM126" t="s">
        <v>118</v>
      </c>
      <c r="AN126" t="s">
        <v>119</v>
      </c>
      <c r="AO126" t="s">
        <v>2833</v>
      </c>
      <c r="AP126" t="s">
        <v>2834</v>
      </c>
      <c r="AQ126" t="s">
        <v>74</v>
      </c>
      <c r="AR126" t="s">
        <v>2835</v>
      </c>
      <c r="AS126" t="s">
        <v>2836</v>
      </c>
      <c r="AT126" t="s">
        <v>2579</v>
      </c>
      <c r="AU126">
        <v>2022</v>
      </c>
      <c r="AV126">
        <v>40</v>
      </c>
      <c r="AW126">
        <v>3</v>
      </c>
      <c r="AX126" t="s">
        <v>74</v>
      </c>
      <c r="AY126" t="s">
        <v>74</v>
      </c>
      <c r="AZ126" t="s">
        <v>74</v>
      </c>
      <c r="BA126" t="s">
        <v>74</v>
      </c>
      <c r="BB126">
        <v>327</v>
      </c>
      <c r="BC126">
        <v>358</v>
      </c>
      <c r="BD126" t="s">
        <v>74</v>
      </c>
      <c r="BE126" t="s">
        <v>2837</v>
      </c>
      <c r="BF126" t="str">
        <f>HYPERLINK("http://dx.doi.org/10.5194/angeo-40-327-2022","http://dx.doi.org/10.5194/angeo-40-327-2022")</f>
        <v>http://dx.doi.org/10.5194/angeo-40-327-2022</v>
      </c>
      <c r="BG126" t="s">
        <v>74</v>
      </c>
      <c r="BH126" t="s">
        <v>74</v>
      </c>
      <c r="BI126">
        <v>32</v>
      </c>
      <c r="BJ126" t="s">
        <v>2838</v>
      </c>
      <c r="BK126" t="s">
        <v>101</v>
      </c>
      <c r="BL126" t="s">
        <v>2839</v>
      </c>
      <c r="BM126" t="s">
        <v>2840</v>
      </c>
      <c r="BN126" t="s">
        <v>74</v>
      </c>
      <c r="BO126" t="s">
        <v>2841</v>
      </c>
      <c r="BP126" t="s">
        <v>74</v>
      </c>
      <c r="BQ126" t="s">
        <v>74</v>
      </c>
      <c r="BR126" t="s">
        <v>103</v>
      </c>
      <c r="BS126" t="s">
        <v>2842</v>
      </c>
      <c r="BT126" t="str">
        <f>HYPERLINK("https%3A%2F%2Fwww.webofscience.com%2Fwos%2Fwoscc%2Ffull-record%2FWOS:000804021300001","View Full Record in Web of Science")</f>
        <v>View Full Record in Web of Science</v>
      </c>
    </row>
    <row r="127" spans="1:72" x14ac:dyDescent="0.15">
      <c r="A127" t="s">
        <v>72</v>
      </c>
      <c r="B127" t="s">
        <v>2843</v>
      </c>
      <c r="C127" t="s">
        <v>74</v>
      </c>
      <c r="D127" t="s">
        <v>74</v>
      </c>
      <c r="E127" t="s">
        <v>74</v>
      </c>
      <c r="F127" t="s">
        <v>2844</v>
      </c>
      <c r="G127" t="s">
        <v>74</v>
      </c>
      <c r="H127" t="s">
        <v>74</v>
      </c>
      <c r="I127" t="s">
        <v>2845</v>
      </c>
      <c r="J127" t="s">
        <v>2846</v>
      </c>
      <c r="K127" t="s">
        <v>74</v>
      </c>
      <c r="L127" t="s">
        <v>74</v>
      </c>
      <c r="M127" t="s">
        <v>78</v>
      </c>
      <c r="N127" t="s">
        <v>79</v>
      </c>
      <c r="O127" t="s">
        <v>74</v>
      </c>
      <c r="P127" t="s">
        <v>74</v>
      </c>
      <c r="Q127" t="s">
        <v>74</v>
      </c>
      <c r="R127" t="s">
        <v>74</v>
      </c>
      <c r="S127" t="s">
        <v>74</v>
      </c>
      <c r="T127" t="s">
        <v>2847</v>
      </c>
      <c r="U127" t="s">
        <v>2848</v>
      </c>
      <c r="V127" t="s">
        <v>2849</v>
      </c>
      <c r="W127" t="s">
        <v>2850</v>
      </c>
      <c r="X127" t="s">
        <v>2851</v>
      </c>
      <c r="Y127" t="s">
        <v>2852</v>
      </c>
      <c r="Z127" t="s">
        <v>2853</v>
      </c>
      <c r="AA127" t="s">
        <v>2854</v>
      </c>
      <c r="AB127" t="s">
        <v>74</v>
      </c>
      <c r="AC127" t="s">
        <v>2855</v>
      </c>
      <c r="AD127" t="s">
        <v>2856</v>
      </c>
      <c r="AE127" t="s">
        <v>2857</v>
      </c>
      <c r="AF127" t="s">
        <v>74</v>
      </c>
      <c r="AG127">
        <v>29</v>
      </c>
      <c r="AH127">
        <v>1</v>
      </c>
      <c r="AI127">
        <v>1</v>
      </c>
      <c r="AJ127">
        <v>6</v>
      </c>
      <c r="AK127">
        <v>22</v>
      </c>
      <c r="AL127" t="s">
        <v>2858</v>
      </c>
      <c r="AM127" t="s">
        <v>2859</v>
      </c>
      <c r="AN127" t="s">
        <v>2860</v>
      </c>
      <c r="AO127" t="s">
        <v>2861</v>
      </c>
      <c r="AP127" t="s">
        <v>74</v>
      </c>
      <c r="AQ127" t="s">
        <v>74</v>
      </c>
      <c r="AR127" t="s">
        <v>2862</v>
      </c>
      <c r="AS127" t="s">
        <v>2863</v>
      </c>
      <c r="AT127" t="s">
        <v>537</v>
      </c>
      <c r="AU127">
        <v>2022</v>
      </c>
      <c r="AV127">
        <v>13</v>
      </c>
      <c r="AW127">
        <v>3</v>
      </c>
      <c r="AX127" t="s">
        <v>74</v>
      </c>
      <c r="AY127" t="s">
        <v>74</v>
      </c>
      <c r="AZ127" t="s">
        <v>74</v>
      </c>
      <c r="BA127" t="s">
        <v>74</v>
      </c>
      <c r="BB127">
        <v>375</v>
      </c>
      <c r="BC127">
        <v>384</v>
      </c>
      <c r="BD127" t="s">
        <v>74</v>
      </c>
      <c r="BE127" t="s">
        <v>2864</v>
      </c>
      <c r="BF127" t="str">
        <f>HYPERLINK("http://dx.doi.org/10.1016/j.accre.2022.02.005","http://dx.doi.org/10.1016/j.accre.2022.02.005")</f>
        <v>http://dx.doi.org/10.1016/j.accre.2022.02.005</v>
      </c>
      <c r="BG127" t="s">
        <v>74</v>
      </c>
      <c r="BH127" t="s">
        <v>74</v>
      </c>
      <c r="BI127">
        <v>10</v>
      </c>
      <c r="BJ127" t="s">
        <v>1797</v>
      </c>
      <c r="BK127" t="s">
        <v>101</v>
      </c>
      <c r="BL127" t="s">
        <v>957</v>
      </c>
      <c r="BM127" t="s">
        <v>2865</v>
      </c>
      <c r="BN127" t="s">
        <v>74</v>
      </c>
      <c r="BO127" t="s">
        <v>438</v>
      </c>
      <c r="BP127" t="s">
        <v>74</v>
      </c>
      <c r="BQ127" t="s">
        <v>74</v>
      </c>
      <c r="BR127" t="s">
        <v>103</v>
      </c>
      <c r="BS127" t="s">
        <v>2866</v>
      </c>
      <c r="BT127" t="str">
        <f>HYPERLINK("https%3A%2F%2Fwww.webofscience.com%2Fwos%2Fwoscc%2Ffull-record%2FWOS:000802050300007","View Full Record in Web of Science")</f>
        <v>View Full Record in Web of Science</v>
      </c>
    </row>
    <row r="128" spans="1:72" x14ac:dyDescent="0.15">
      <c r="A128" t="s">
        <v>72</v>
      </c>
      <c r="B128" t="s">
        <v>2867</v>
      </c>
      <c r="C128" t="s">
        <v>74</v>
      </c>
      <c r="D128" t="s">
        <v>74</v>
      </c>
      <c r="E128" t="s">
        <v>74</v>
      </c>
      <c r="F128" t="s">
        <v>2868</v>
      </c>
      <c r="G128" t="s">
        <v>74</v>
      </c>
      <c r="H128" t="s">
        <v>74</v>
      </c>
      <c r="I128" t="s">
        <v>2869</v>
      </c>
      <c r="J128" t="s">
        <v>2870</v>
      </c>
      <c r="K128" t="s">
        <v>74</v>
      </c>
      <c r="L128" t="s">
        <v>74</v>
      </c>
      <c r="M128" t="s">
        <v>78</v>
      </c>
      <c r="N128" t="s">
        <v>79</v>
      </c>
      <c r="O128" t="s">
        <v>74</v>
      </c>
      <c r="P128" t="s">
        <v>74</v>
      </c>
      <c r="Q128" t="s">
        <v>74</v>
      </c>
      <c r="R128" t="s">
        <v>74</v>
      </c>
      <c r="S128" t="s">
        <v>74</v>
      </c>
      <c r="T128" t="s">
        <v>2871</v>
      </c>
      <c r="U128" t="s">
        <v>2872</v>
      </c>
      <c r="V128" t="s">
        <v>2873</v>
      </c>
      <c r="W128" t="s">
        <v>2874</v>
      </c>
      <c r="X128" t="s">
        <v>2875</v>
      </c>
      <c r="Y128" t="s">
        <v>2876</v>
      </c>
      <c r="Z128" t="s">
        <v>2877</v>
      </c>
      <c r="AA128" t="s">
        <v>2878</v>
      </c>
      <c r="AB128" t="s">
        <v>2879</v>
      </c>
      <c r="AC128" t="s">
        <v>2880</v>
      </c>
      <c r="AD128" t="s">
        <v>2881</v>
      </c>
      <c r="AE128" t="s">
        <v>2882</v>
      </c>
      <c r="AF128" t="s">
        <v>74</v>
      </c>
      <c r="AG128">
        <v>87</v>
      </c>
      <c r="AH128">
        <v>1</v>
      </c>
      <c r="AI128">
        <v>1</v>
      </c>
      <c r="AJ128">
        <v>1</v>
      </c>
      <c r="AK128">
        <v>5</v>
      </c>
      <c r="AL128" t="s">
        <v>2883</v>
      </c>
      <c r="AM128" t="s">
        <v>2884</v>
      </c>
      <c r="AN128" t="s">
        <v>2885</v>
      </c>
      <c r="AO128" t="s">
        <v>2886</v>
      </c>
      <c r="AP128" t="s">
        <v>2887</v>
      </c>
      <c r="AQ128" t="s">
        <v>74</v>
      </c>
      <c r="AR128" t="s">
        <v>2888</v>
      </c>
      <c r="AS128" t="s">
        <v>2889</v>
      </c>
      <c r="AT128" t="s">
        <v>537</v>
      </c>
      <c r="AU128">
        <v>2022</v>
      </c>
      <c r="AV128">
        <v>169</v>
      </c>
      <c r="AW128">
        <v>6</v>
      </c>
      <c r="AX128" t="s">
        <v>74</v>
      </c>
      <c r="AY128" t="s">
        <v>74</v>
      </c>
      <c r="AZ128" t="s">
        <v>74</v>
      </c>
      <c r="BA128" t="s">
        <v>74</v>
      </c>
      <c r="BB128" t="s">
        <v>74</v>
      </c>
      <c r="BC128" t="s">
        <v>74</v>
      </c>
      <c r="BD128">
        <v>85</v>
      </c>
      <c r="BE128" t="s">
        <v>2890</v>
      </c>
      <c r="BF128" t="str">
        <f>HYPERLINK("http://dx.doi.org/10.1007/s00227-022-04072-5","http://dx.doi.org/10.1007/s00227-022-04072-5")</f>
        <v>http://dx.doi.org/10.1007/s00227-022-04072-5</v>
      </c>
      <c r="BG128" t="s">
        <v>74</v>
      </c>
      <c r="BH128" t="s">
        <v>74</v>
      </c>
      <c r="BI128">
        <v>14</v>
      </c>
      <c r="BJ128" t="s">
        <v>1696</v>
      </c>
      <c r="BK128" t="s">
        <v>101</v>
      </c>
      <c r="BL128" t="s">
        <v>1696</v>
      </c>
      <c r="BM128" t="s">
        <v>2891</v>
      </c>
      <c r="BN128" t="s">
        <v>74</v>
      </c>
      <c r="BO128" t="s">
        <v>643</v>
      </c>
      <c r="BP128" t="s">
        <v>74</v>
      </c>
      <c r="BQ128" t="s">
        <v>74</v>
      </c>
      <c r="BR128" t="s">
        <v>103</v>
      </c>
      <c r="BS128" t="s">
        <v>2892</v>
      </c>
      <c r="BT128" t="str">
        <f>HYPERLINK("https%3A%2F%2Fwww.webofscience.com%2Fwos%2Fwoscc%2Ffull-record%2FWOS:000800797800002","View Full Record in Web of Science")</f>
        <v>View Full Record in Web of Science</v>
      </c>
    </row>
    <row r="129" spans="1:72" x14ac:dyDescent="0.15">
      <c r="A129" t="s">
        <v>72</v>
      </c>
      <c r="B129" t="s">
        <v>2893</v>
      </c>
      <c r="C129" t="s">
        <v>74</v>
      </c>
      <c r="D129" t="s">
        <v>74</v>
      </c>
      <c r="E129" t="s">
        <v>74</v>
      </c>
      <c r="F129" t="s">
        <v>2894</v>
      </c>
      <c r="G129" t="s">
        <v>74</v>
      </c>
      <c r="H129" t="s">
        <v>74</v>
      </c>
      <c r="I129" t="s">
        <v>2895</v>
      </c>
      <c r="J129" t="s">
        <v>2896</v>
      </c>
      <c r="K129" t="s">
        <v>74</v>
      </c>
      <c r="L129" t="s">
        <v>74</v>
      </c>
      <c r="M129" t="s">
        <v>78</v>
      </c>
      <c r="N129" t="s">
        <v>79</v>
      </c>
      <c r="O129" t="s">
        <v>74</v>
      </c>
      <c r="P129" t="s">
        <v>74</v>
      </c>
      <c r="Q129" t="s">
        <v>74</v>
      </c>
      <c r="R129" t="s">
        <v>74</v>
      </c>
      <c r="S129" t="s">
        <v>74</v>
      </c>
      <c r="T129" t="s">
        <v>2897</v>
      </c>
      <c r="U129" t="s">
        <v>2898</v>
      </c>
      <c r="V129" t="s">
        <v>2899</v>
      </c>
      <c r="W129" t="s">
        <v>2900</v>
      </c>
      <c r="X129" t="s">
        <v>2901</v>
      </c>
      <c r="Y129" t="s">
        <v>2902</v>
      </c>
      <c r="Z129" t="s">
        <v>74</v>
      </c>
      <c r="AA129" t="s">
        <v>74</v>
      </c>
      <c r="AB129" t="s">
        <v>74</v>
      </c>
      <c r="AC129" t="s">
        <v>74</v>
      </c>
      <c r="AD129" t="s">
        <v>74</v>
      </c>
      <c r="AE129" t="s">
        <v>74</v>
      </c>
      <c r="AF129" t="s">
        <v>74</v>
      </c>
      <c r="AG129">
        <v>47</v>
      </c>
      <c r="AH129">
        <v>0</v>
      </c>
      <c r="AI129">
        <v>0</v>
      </c>
      <c r="AJ129">
        <v>0</v>
      </c>
      <c r="AK129">
        <v>0</v>
      </c>
      <c r="AL129" t="s">
        <v>257</v>
      </c>
      <c r="AM129" t="s">
        <v>258</v>
      </c>
      <c r="AN129" t="s">
        <v>259</v>
      </c>
      <c r="AO129" t="s">
        <v>74</v>
      </c>
      <c r="AP129" t="s">
        <v>2903</v>
      </c>
      <c r="AQ129" t="s">
        <v>74</v>
      </c>
      <c r="AR129" t="s">
        <v>2904</v>
      </c>
      <c r="AS129" t="s">
        <v>2905</v>
      </c>
      <c r="AT129" t="s">
        <v>537</v>
      </c>
      <c r="AU129">
        <v>2022</v>
      </c>
      <c r="AV129" t="s">
        <v>2906</v>
      </c>
      <c r="AW129" t="s">
        <v>74</v>
      </c>
      <c r="AX129" t="s">
        <v>74</v>
      </c>
      <c r="AY129" t="s">
        <v>74</v>
      </c>
      <c r="AZ129" t="s">
        <v>74</v>
      </c>
      <c r="BA129" t="s">
        <v>74</v>
      </c>
      <c r="BB129" t="s">
        <v>74</v>
      </c>
      <c r="BC129" t="s">
        <v>74</v>
      </c>
      <c r="BD129">
        <v>100047</v>
      </c>
      <c r="BE129" t="s">
        <v>2907</v>
      </c>
      <c r="BF129" t="str">
        <f>HYPERLINK("http://dx.doi.org/10.1016/j.jmro.2022.100047","http://dx.doi.org/10.1016/j.jmro.2022.100047")</f>
        <v>http://dx.doi.org/10.1016/j.jmro.2022.100047</v>
      </c>
      <c r="BG129" t="s">
        <v>74</v>
      </c>
      <c r="BH129" t="s">
        <v>74</v>
      </c>
      <c r="BI129">
        <v>14</v>
      </c>
      <c r="BJ129" t="s">
        <v>2908</v>
      </c>
      <c r="BK129" t="s">
        <v>839</v>
      </c>
      <c r="BL129" t="s">
        <v>2909</v>
      </c>
      <c r="BM129" t="s">
        <v>2910</v>
      </c>
      <c r="BN129" t="s">
        <v>74</v>
      </c>
      <c r="BO129" t="s">
        <v>438</v>
      </c>
      <c r="BP129" t="s">
        <v>74</v>
      </c>
      <c r="BQ129" t="s">
        <v>74</v>
      </c>
      <c r="BR129" t="s">
        <v>103</v>
      </c>
      <c r="BS129" t="s">
        <v>2911</v>
      </c>
      <c r="BT129" t="str">
        <f>HYPERLINK("https%3A%2F%2Fwww.webofscience.com%2Fwos%2Fwoscc%2Ffull-record%2FWOS:001134035500002","View Full Record in Web of Science")</f>
        <v>View Full Record in Web of Science</v>
      </c>
    </row>
    <row r="130" spans="1:72" x14ac:dyDescent="0.15">
      <c r="A130" t="s">
        <v>72</v>
      </c>
      <c r="B130" t="s">
        <v>2912</v>
      </c>
      <c r="C130" t="s">
        <v>74</v>
      </c>
      <c r="D130" t="s">
        <v>74</v>
      </c>
      <c r="E130" t="s">
        <v>74</v>
      </c>
      <c r="F130" t="s">
        <v>2913</v>
      </c>
      <c r="G130" t="s">
        <v>74</v>
      </c>
      <c r="H130" t="s">
        <v>74</v>
      </c>
      <c r="I130" t="s">
        <v>2914</v>
      </c>
      <c r="J130" t="s">
        <v>2915</v>
      </c>
      <c r="K130" t="s">
        <v>74</v>
      </c>
      <c r="L130" t="s">
        <v>74</v>
      </c>
      <c r="M130" t="s">
        <v>78</v>
      </c>
      <c r="N130" t="s">
        <v>79</v>
      </c>
      <c r="O130" t="s">
        <v>74</v>
      </c>
      <c r="P130" t="s">
        <v>74</v>
      </c>
      <c r="Q130" t="s">
        <v>74</v>
      </c>
      <c r="R130" t="s">
        <v>74</v>
      </c>
      <c r="S130" t="s">
        <v>74</v>
      </c>
      <c r="T130" t="s">
        <v>2916</v>
      </c>
      <c r="U130" t="s">
        <v>2917</v>
      </c>
      <c r="V130" t="s">
        <v>2918</v>
      </c>
      <c r="W130" t="s">
        <v>2919</v>
      </c>
      <c r="X130" t="s">
        <v>2920</v>
      </c>
      <c r="Y130" t="s">
        <v>2921</v>
      </c>
      <c r="Z130" t="s">
        <v>2922</v>
      </c>
      <c r="AA130" t="s">
        <v>2923</v>
      </c>
      <c r="AB130" t="s">
        <v>2924</v>
      </c>
      <c r="AC130" t="s">
        <v>2925</v>
      </c>
      <c r="AD130" t="s">
        <v>1712</v>
      </c>
      <c r="AE130" t="s">
        <v>2926</v>
      </c>
      <c r="AF130" t="s">
        <v>74</v>
      </c>
      <c r="AG130">
        <v>36</v>
      </c>
      <c r="AH130">
        <v>5</v>
      </c>
      <c r="AI130">
        <v>5</v>
      </c>
      <c r="AJ130">
        <v>2</v>
      </c>
      <c r="AK130">
        <v>10</v>
      </c>
      <c r="AL130" t="s">
        <v>2927</v>
      </c>
      <c r="AM130" t="s">
        <v>2928</v>
      </c>
      <c r="AN130" t="s">
        <v>2929</v>
      </c>
      <c r="AO130" t="s">
        <v>2930</v>
      </c>
      <c r="AP130" t="s">
        <v>2931</v>
      </c>
      <c r="AQ130" t="s">
        <v>74</v>
      </c>
      <c r="AR130" t="s">
        <v>2932</v>
      </c>
      <c r="AS130" t="s">
        <v>2933</v>
      </c>
      <c r="AT130" t="s">
        <v>537</v>
      </c>
      <c r="AU130">
        <v>2022</v>
      </c>
      <c r="AV130">
        <v>131</v>
      </c>
      <c r="AW130">
        <v>2</v>
      </c>
      <c r="AX130" t="s">
        <v>74</v>
      </c>
      <c r="AY130" t="s">
        <v>74</v>
      </c>
      <c r="AZ130" t="s">
        <v>74</v>
      </c>
      <c r="BA130" t="s">
        <v>74</v>
      </c>
      <c r="BB130" t="s">
        <v>74</v>
      </c>
      <c r="BC130" t="s">
        <v>74</v>
      </c>
      <c r="BD130">
        <v>119</v>
      </c>
      <c r="BE130" t="s">
        <v>2934</v>
      </c>
      <c r="BF130" t="str">
        <f>HYPERLINK("http://dx.doi.org/10.1007/s12040-022-01879-0","http://dx.doi.org/10.1007/s12040-022-01879-0")</f>
        <v>http://dx.doi.org/10.1007/s12040-022-01879-0</v>
      </c>
      <c r="BG130" t="s">
        <v>74</v>
      </c>
      <c r="BH130" t="s">
        <v>74</v>
      </c>
      <c r="BI130">
        <v>9</v>
      </c>
      <c r="BJ130" t="s">
        <v>2935</v>
      </c>
      <c r="BK130" t="s">
        <v>101</v>
      </c>
      <c r="BL130" t="s">
        <v>2936</v>
      </c>
      <c r="BM130" t="s">
        <v>2937</v>
      </c>
      <c r="BN130" t="s">
        <v>74</v>
      </c>
      <c r="BO130" t="s">
        <v>74</v>
      </c>
      <c r="BP130" t="s">
        <v>74</v>
      </c>
      <c r="BQ130" t="s">
        <v>74</v>
      </c>
      <c r="BR130" t="s">
        <v>103</v>
      </c>
      <c r="BS130" t="s">
        <v>2938</v>
      </c>
      <c r="BT130" t="str">
        <f>HYPERLINK("https%3A%2F%2Fwww.webofscience.com%2Fwos%2Fwoscc%2Ffull-record%2FWOS:000793846000002","View Full Record in Web of Science")</f>
        <v>View Full Record in Web of Science</v>
      </c>
    </row>
    <row r="131" spans="1:72" x14ac:dyDescent="0.15">
      <c r="A131" t="s">
        <v>72</v>
      </c>
      <c r="B131" t="s">
        <v>2939</v>
      </c>
      <c r="C131" t="s">
        <v>74</v>
      </c>
      <c r="D131" t="s">
        <v>74</v>
      </c>
      <c r="E131" t="s">
        <v>74</v>
      </c>
      <c r="F131" t="s">
        <v>2940</v>
      </c>
      <c r="G131" t="s">
        <v>74</v>
      </c>
      <c r="H131" t="s">
        <v>74</v>
      </c>
      <c r="I131" t="s">
        <v>2941</v>
      </c>
      <c r="J131" t="s">
        <v>415</v>
      </c>
      <c r="K131" t="s">
        <v>74</v>
      </c>
      <c r="L131" t="s">
        <v>74</v>
      </c>
      <c r="M131" t="s">
        <v>78</v>
      </c>
      <c r="N131" t="s">
        <v>79</v>
      </c>
      <c r="O131" t="s">
        <v>74</v>
      </c>
      <c r="P131" t="s">
        <v>74</v>
      </c>
      <c r="Q131" t="s">
        <v>74</v>
      </c>
      <c r="R131" t="s">
        <v>74</v>
      </c>
      <c r="S131" t="s">
        <v>74</v>
      </c>
      <c r="T131" t="s">
        <v>2942</v>
      </c>
      <c r="U131" t="s">
        <v>2943</v>
      </c>
      <c r="V131" t="s">
        <v>2944</v>
      </c>
      <c r="W131" t="s">
        <v>2945</v>
      </c>
      <c r="X131" t="s">
        <v>2946</v>
      </c>
      <c r="Y131" t="s">
        <v>2947</v>
      </c>
      <c r="Z131" t="s">
        <v>2948</v>
      </c>
      <c r="AA131" t="s">
        <v>2949</v>
      </c>
      <c r="AB131" t="s">
        <v>2950</v>
      </c>
      <c r="AC131" t="s">
        <v>2951</v>
      </c>
      <c r="AD131" t="s">
        <v>2952</v>
      </c>
      <c r="AE131" t="s">
        <v>2953</v>
      </c>
      <c r="AF131" t="s">
        <v>74</v>
      </c>
      <c r="AG131">
        <v>51</v>
      </c>
      <c r="AH131">
        <v>7</v>
      </c>
      <c r="AI131">
        <v>7</v>
      </c>
      <c r="AJ131">
        <v>1</v>
      </c>
      <c r="AK131">
        <v>9</v>
      </c>
      <c r="AL131" t="s">
        <v>428</v>
      </c>
      <c r="AM131" t="s">
        <v>174</v>
      </c>
      <c r="AN131" t="s">
        <v>429</v>
      </c>
      <c r="AO131" t="s">
        <v>430</v>
      </c>
      <c r="AP131" t="s">
        <v>431</v>
      </c>
      <c r="AQ131" t="s">
        <v>74</v>
      </c>
      <c r="AR131" t="s">
        <v>432</v>
      </c>
      <c r="AS131" t="s">
        <v>433</v>
      </c>
      <c r="AT131" t="s">
        <v>537</v>
      </c>
      <c r="AU131">
        <v>2022</v>
      </c>
      <c r="AV131">
        <v>68</v>
      </c>
      <c r="AW131">
        <v>269</v>
      </c>
      <c r="AX131" t="s">
        <v>74</v>
      </c>
      <c r="AY131" t="s">
        <v>74</v>
      </c>
      <c r="AZ131" t="s">
        <v>74</v>
      </c>
      <c r="BA131" t="s">
        <v>74</v>
      </c>
      <c r="BB131">
        <v>605</v>
      </c>
      <c r="BC131">
        <v>617</v>
      </c>
      <c r="BD131" t="s">
        <v>74</v>
      </c>
      <c r="BE131" t="s">
        <v>2954</v>
      </c>
      <c r="BF131" t="str">
        <f>HYPERLINK("http://dx.doi.org/10.1017/jog.2021.124","http://dx.doi.org/10.1017/jog.2021.124")</f>
        <v>http://dx.doi.org/10.1017/jog.2021.124</v>
      </c>
      <c r="BG131" t="s">
        <v>74</v>
      </c>
      <c r="BH131" t="s">
        <v>74</v>
      </c>
      <c r="BI131">
        <v>13</v>
      </c>
      <c r="BJ131" t="s">
        <v>125</v>
      </c>
      <c r="BK131" t="s">
        <v>101</v>
      </c>
      <c r="BL131" t="s">
        <v>126</v>
      </c>
      <c r="BM131" t="s">
        <v>2955</v>
      </c>
      <c r="BN131" t="s">
        <v>74</v>
      </c>
      <c r="BO131" t="s">
        <v>438</v>
      </c>
      <c r="BP131" t="s">
        <v>74</v>
      </c>
      <c r="BQ131" t="s">
        <v>74</v>
      </c>
      <c r="BR131" t="s">
        <v>103</v>
      </c>
      <c r="BS131" t="s">
        <v>2956</v>
      </c>
      <c r="BT131" t="str">
        <f>HYPERLINK("https%3A%2F%2Fwww.webofscience.com%2Fwos%2Fwoscc%2Ffull-record%2FWOS:000792387600016","View Full Record in Web of Science")</f>
        <v>View Full Record in Web of Science</v>
      </c>
    </row>
    <row r="132" spans="1:72" x14ac:dyDescent="0.15">
      <c r="A132" t="s">
        <v>72</v>
      </c>
      <c r="B132" t="s">
        <v>2957</v>
      </c>
      <c r="C132" t="s">
        <v>74</v>
      </c>
      <c r="D132" t="s">
        <v>74</v>
      </c>
      <c r="E132" t="s">
        <v>74</v>
      </c>
      <c r="F132" t="s">
        <v>2958</v>
      </c>
      <c r="G132" t="s">
        <v>74</v>
      </c>
      <c r="H132" t="s">
        <v>74</v>
      </c>
      <c r="I132" t="s">
        <v>2959</v>
      </c>
      <c r="J132" t="s">
        <v>2915</v>
      </c>
      <c r="K132" t="s">
        <v>74</v>
      </c>
      <c r="L132" t="s">
        <v>74</v>
      </c>
      <c r="M132" t="s">
        <v>78</v>
      </c>
      <c r="N132" t="s">
        <v>79</v>
      </c>
      <c r="O132" t="s">
        <v>74</v>
      </c>
      <c r="P132" t="s">
        <v>74</v>
      </c>
      <c r="Q132" t="s">
        <v>74</v>
      </c>
      <c r="R132" t="s">
        <v>74</v>
      </c>
      <c r="S132" t="s">
        <v>74</v>
      </c>
      <c r="T132" t="s">
        <v>2960</v>
      </c>
      <c r="U132" t="s">
        <v>2961</v>
      </c>
      <c r="V132" t="s">
        <v>2962</v>
      </c>
      <c r="W132" t="s">
        <v>2963</v>
      </c>
      <c r="X132" t="s">
        <v>2964</v>
      </c>
      <c r="Y132" t="s">
        <v>2965</v>
      </c>
      <c r="Z132" t="s">
        <v>2966</v>
      </c>
      <c r="AA132" t="s">
        <v>74</v>
      </c>
      <c r="AB132" t="s">
        <v>74</v>
      </c>
      <c r="AC132" t="s">
        <v>2967</v>
      </c>
      <c r="AD132" t="s">
        <v>2968</v>
      </c>
      <c r="AE132" t="s">
        <v>2969</v>
      </c>
      <c r="AF132" t="s">
        <v>74</v>
      </c>
      <c r="AG132">
        <v>109</v>
      </c>
      <c r="AH132">
        <v>0</v>
      </c>
      <c r="AI132">
        <v>0</v>
      </c>
      <c r="AJ132">
        <v>3</v>
      </c>
      <c r="AK132">
        <v>6</v>
      </c>
      <c r="AL132" t="s">
        <v>2927</v>
      </c>
      <c r="AM132" t="s">
        <v>2928</v>
      </c>
      <c r="AN132" t="s">
        <v>2929</v>
      </c>
      <c r="AO132" t="s">
        <v>2930</v>
      </c>
      <c r="AP132" t="s">
        <v>2931</v>
      </c>
      <c r="AQ132" t="s">
        <v>74</v>
      </c>
      <c r="AR132" t="s">
        <v>2932</v>
      </c>
      <c r="AS132" t="s">
        <v>2933</v>
      </c>
      <c r="AT132" t="s">
        <v>537</v>
      </c>
      <c r="AU132">
        <v>2022</v>
      </c>
      <c r="AV132">
        <v>131</v>
      </c>
      <c r="AW132">
        <v>2</v>
      </c>
      <c r="AX132" t="s">
        <v>74</v>
      </c>
      <c r="AY132" t="s">
        <v>74</v>
      </c>
      <c r="AZ132" t="s">
        <v>74</v>
      </c>
      <c r="BA132" t="s">
        <v>74</v>
      </c>
      <c r="BB132" t="s">
        <v>74</v>
      </c>
      <c r="BC132" t="s">
        <v>74</v>
      </c>
      <c r="BD132">
        <v>103</v>
      </c>
      <c r="BE132" t="s">
        <v>2970</v>
      </c>
      <c r="BF132" t="str">
        <f>HYPERLINK("http://dx.doi.org/10.1007/s12040-022-01843-y","http://dx.doi.org/10.1007/s12040-022-01843-y")</f>
        <v>http://dx.doi.org/10.1007/s12040-022-01843-y</v>
      </c>
      <c r="BG132" t="s">
        <v>74</v>
      </c>
      <c r="BH132" t="s">
        <v>74</v>
      </c>
      <c r="BI132">
        <v>27</v>
      </c>
      <c r="BJ132" t="s">
        <v>2935</v>
      </c>
      <c r="BK132" t="s">
        <v>101</v>
      </c>
      <c r="BL132" t="s">
        <v>2936</v>
      </c>
      <c r="BM132" t="s">
        <v>2971</v>
      </c>
      <c r="BN132" t="s">
        <v>74</v>
      </c>
      <c r="BO132" t="s">
        <v>74</v>
      </c>
      <c r="BP132" t="s">
        <v>74</v>
      </c>
      <c r="BQ132" t="s">
        <v>74</v>
      </c>
      <c r="BR132" t="s">
        <v>103</v>
      </c>
      <c r="BS132" t="s">
        <v>2972</v>
      </c>
      <c r="BT132" t="str">
        <f>HYPERLINK("https%3A%2F%2Fwww.webofscience.com%2Fwos%2Fwoscc%2Ffull-record%2FWOS:000784981600001","View Full Record in Web of Science")</f>
        <v>View Full Record in Web of Science</v>
      </c>
    </row>
    <row r="133" spans="1:72" x14ac:dyDescent="0.15">
      <c r="A133" t="s">
        <v>72</v>
      </c>
      <c r="B133" t="s">
        <v>2973</v>
      </c>
      <c r="C133" t="s">
        <v>74</v>
      </c>
      <c r="D133" t="s">
        <v>74</v>
      </c>
      <c r="E133" t="s">
        <v>74</v>
      </c>
      <c r="F133" t="s">
        <v>2974</v>
      </c>
      <c r="G133" t="s">
        <v>74</v>
      </c>
      <c r="H133" t="s">
        <v>74</v>
      </c>
      <c r="I133" t="s">
        <v>2975</v>
      </c>
      <c r="J133" t="s">
        <v>2976</v>
      </c>
      <c r="K133" t="s">
        <v>74</v>
      </c>
      <c r="L133" t="s">
        <v>74</v>
      </c>
      <c r="M133" t="s">
        <v>78</v>
      </c>
      <c r="N133" t="s">
        <v>79</v>
      </c>
      <c r="O133" t="s">
        <v>74</v>
      </c>
      <c r="P133" t="s">
        <v>74</v>
      </c>
      <c r="Q133" t="s">
        <v>74</v>
      </c>
      <c r="R133" t="s">
        <v>74</v>
      </c>
      <c r="S133" t="s">
        <v>74</v>
      </c>
      <c r="T133" t="s">
        <v>2977</v>
      </c>
      <c r="U133" t="s">
        <v>2978</v>
      </c>
      <c r="V133" t="s">
        <v>2979</v>
      </c>
      <c r="W133" t="s">
        <v>2980</v>
      </c>
      <c r="X133" t="s">
        <v>2981</v>
      </c>
      <c r="Y133" t="s">
        <v>2982</v>
      </c>
      <c r="Z133" t="s">
        <v>2983</v>
      </c>
      <c r="AA133" t="s">
        <v>2984</v>
      </c>
      <c r="AB133" t="s">
        <v>2985</v>
      </c>
      <c r="AC133" t="s">
        <v>2986</v>
      </c>
      <c r="AD133" t="s">
        <v>2987</v>
      </c>
      <c r="AE133" t="s">
        <v>2988</v>
      </c>
      <c r="AF133" t="s">
        <v>74</v>
      </c>
      <c r="AG133">
        <v>70</v>
      </c>
      <c r="AH133">
        <v>5</v>
      </c>
      <c r="AI133">
        <v>5</v>
      </c>
      <c r="AJ133">
        <v>0</v>
      </c>
      <c r="AK133">
        <v>5</v>
      </c>
      <c r="AL133" t="s">
        <v>2883</v>
      </c>
      <c r="AM133" t="s">
        <v>2884</v>
      </c>
      <c r="AN133" t="s">
        <v>2885</v>
      </c>
      <c r="AO133" t="s">
        <v>2989</v>
      </c>
      <c r="AP133" t="s">
        <v>2990</v>
      </c>
      <c r="AQ133" t="s">
        <v>74</v>
      </c>
      <c r="AR133" t="s">
        <v>2991</v>
      </c>
      <c r="AS133" t="s">
        <v>2992</v>
      </c>
      <c r="AT133" t="s">
        <v>537</v>
      </c>
      <c r="AU133">
        <v>2022</v>
      </c>
      <c r="AV133">
        <v>22</v>
      </c>
      <c r="AW133">
        <v>2</v>
      </c>
      <c r="AX133" t="s">
        <v>74</v>
      </c>
      <c r="AY133" t="s">
        <v>74</v>
      </c>
      <c r="AZ133" t="s">
        <v>74</v>
      </c>
      <c r="BA133" t="s">
        <v>74</v>
      </c>
      <c r="BB133" t="s">
        <v>74</v>
      </c>
      <c r="BC133" t="s">
        <v>74</v>
      </c>
      <c r="BD133">
        <v>46</v>
      </c>
      <c r="BE133" t="s">
        <v>2993</v>
      </c>
      <c r="BF133" t="str">
        <f>HYPERLINK("http://dx.doi.org/10.1007/s10113-022-01910-6","http://dx.doi.org/10.1007/s10113-022-01910-6")</f>
        <v>http://dx.doi.org/10.1007/s10113-022-01910-6</v>
      </c>
      <c r="BG133" t="s">
        <v>74</v>
      </c>
      <c r="BH133" t="s">
        <v>74</v>
      </c>
      <c r="BI133">
        <v>13</v>
      </c>
      <c r="BJ133" t="s">
        <v>838</v>
      </c>
      <c r="BK133" t="s">
        <v>956</v>
      </c>
      <c r="BL133" t="s">
        <v>840</v>
      </c>
      <c r="BM133" t="s">
        <v>2994</v>
      </c>
      <c r="BN133" t="s">
        <v>74</v>
      </c>
      <c r="BO133" t="s">
        <v>74</v>
      </c>
      <c r="BP133" t="s">
        <v>74</v>
      </c>
      <c r="BQ133" t="s">
        <v>74</v>
      </c>
      <c r="BR133" t="s">
        <v>103</v>
      </c>
      <c r="BS133" t="s">
        <v>2995</v>
      </c>
      <c r="BT133" t="str">
        <f>HYPERLINK("https%3A%2F%2Fwww.webofscience.com%2Fwos%2Fwoscc%2Ffull-record%2FWOS:000770612600002","View Full Record in Web of Science")</f>
        <v>View Full Record in Web of Science</v>
      </c>
    </row>
    <row r="134" spans="1:72" x14ac:dyDescent="0.15">
      <c r="A134" t="s">
        <v>72</v>
      </c>
      <c r="B134" t="s">
        <v>2996</v>
      </c>
      <c r="C134" t="s">
        <v>74</v>
      </c>
      <c r="D134" t="s">
        <v>74</v>
      </c>
      <c r="E134" t="s">
        <v>74</v>
      </c>
      <c r="F134" t="s">
        <v>2997</v>
      </c>
      <c r="G134" t="s">
        <v>74</v>
      </c>
      <c r="H134" t="s">
        <v>74</v>
      </c>
      <c r="I134" t="s">
        <v>2998</v>
      </c>
      <c r="J134" t="s">
        <v>2999</v>
      </c>
      <c r="K134" t="s">
        <v>74</v>
      </c>
      <c r="L134" t="s">
        <v>74</v>
      </c>
      <c r="M134" t="s">
        <v>78</v>
      </c>
      <c r="N134" t="s">
        <v>79</v>
      </c>
      <c r="O134" t="s">
        <v>74</v>
      </c>
      <c r="P134" t="s">
        <v>74</v>
      </c>
      <c r="Q134" t="s">
        <v>74</v>
      </c>
      <c r="R134" t="s">
        <v>74</v>
      </c>
      <c r="S134" t="s">
        <v>74</v>
      </c>
      <c r="T134" t="s">
        <v>3000</v>
      </c>
      <c r="U134" t="s">
        <v>3001</v>
      </c>
      <c r="V134" t="s">
        <v>3002</v>
      </c>
      <c r="W134" t="s">
        <v>3003</v>
      </c>
      <c r="X134" t="s">
        <v>3004</v>
      </c>
      <c r="Y134" t="s">
        <v>3005</v>
      </c>
      <c r="Z134" t="s">
        <v>3006</v>
      </c>
      <c r="AA134" t="s">
        <v>3007</v>
      </c>
      <c r="AB134" t="s">
        <v>3008</v>
      </c>
      <c r="AC134" t="s">
        <v>3009</v>
      </c>
      <c r="AD134" t="s">
        <v>3010</v>
      </c>
      <c r="AE134" t="s">
        <v>3011</v>
      </c>
      <c r="AF134" t="s">
        <v>74</v>
      </c>
      <c r="AG134">
        <v>64</v>
      </c>
      <c r="AH134">
        <v>18</v>
      </c>
      <c r="AI134">
        <v>18</v>
      </c>
      <c r="AJ134">
        <v>7</v>
      </c>
      <c r="AK134">
        <v>14</v>
      </c>
      <c r="AL134" t="s">
        <v>3012</v>
      </c>
      <c r="AM134" t="s">
        <v>2043</v>
      </c>
      <c r="AN134" t="s">
        <v>3013</v>
      </c>
      <c r="AO134" t="s">
        <v>3014</v>
      </c>
      <c r="AP134" t="s">
        <v>3015</v>
      </c>
      <c r="AQ134" t="s">
        <v>74</v>
      </c>
      <c r="AR134" t="s">
        <v>3016</v>
      </c>
      <c r="AS134" t="s">
        <v>3017</v>
      </c>
      <c r="AT134" t="s">
        <v>3018</v>
      </c>
      <c r="AU134">
        <v>2022</v>
      </c>
      <c r="AV134">
        <v>119</v>
      </c>
      <c r="AW134">
        <v>22</v>
      </c>
      <c r="AX134" t="s">
        <v>74</v>
      </c>
      <c r="AY134" t="s">
        <v>74</v>
      </c>
      <c r="AZ134" t="s">
        <v>74</v>
      </c>
      <c r="BA134" t="s">
        <v>74</v>
      </c>
      <c r="BB134" t="s">
        <v>74</v>
      </c>
      <c r="BC134" t="s">
        <v>74</v>
      </c>
      <c r="BD134" t="s">
        <v>3019</v>
      </c>
      <c r="BE134" t="s">
        <v>3020</v>
      </c>
      <c r="BF134" t="str">
        <f>HYPERLINK("http://dx.doi.org/10.1073/pnas.2120817119","http://dx.doi.org/10.1073/pnas.2120817119")</f>
        <v>http://dx.doi.org/10.1073/pnas.2120817119</v>
      </c>
      <c r="BG134" t="s">
        <v>74</v>
      </c>
      <c r="BH134" t="s">
        <v>74</v>
      </c>
      <c r="BI134">
        <v>11</v>
      </c>
      <c r="BJ134" t="s">
        <v>657</v>
      </c>
      <c r="BK134" t="s">
        <v>101</v>
      </c>
      <c r="BL134" t="s">
        <v>658</v>
      </c>
      <c r="BM134" t="s">
        <v>3021</v>
      </c>
      <c r="BN134">
        <v>35605118</v>
      </c>
      <c r="BO134" t="s">
        <v>3022</v>
      </c>
      <c r="BP134" t="s">
        <v>74</v>
      </c>
      <c r="BQ134" t="s">
        <v>74</v>
      </c>
      <c r="BR134" t="s">
        <v>103</v>
      </c>
      <c r="BS134" t="s">
        <v>3023</v>
      </c>
      <c r="BT134" t="str">
        <f>HYPERLINK("https%3A%2F%2Fwww.webofscience.com%2Fwos%2Fwoscc%2Ffull-record%2FWOS:000839021300006","View Full Record in Web of Science")</f>
        <v>View Full Record in Web of Science</v>
      </c>
    </row>
    <row r="135" spans="1:72" x14ac:dyDescent="0.15">
      <c r="A135" t="s">
        <v>72</v>
      </c>
      <c r="B135" t="s">
        <v>3024</v>
      </c>
      <c r="C135" t="s">
        <v>74</v>
      </c>
      <c r="D135" t="s">
        <v>74</v>
      </c>
      <c r="E135" t="s">
        <v>74</v>
      </c>
      <c r="F135" t="s">
        <v>3025</v>
      </c>
      <c r="G135" t="s">
        <v>74</v>
      </c>
      <c r="H135" t="s">
        <v>74</v>
      </c>
      <c r="I135" t="s">
        <v>3026</v>
      </c>
      <c r="J135" t="s">
        <v>3027</v>
      </c>
      <c r="K135" t="s">
        <v>74</v>
      </c>
      <c r="L135" t="s">
        <v>74</v>
      </c>
      <c r="M135" t="s">
        <v>78</v>
      </c>
      <c r="N135" t="s">
        <v>79</v>
      </c>
      <c r="O135" t="s">
        <v>74</v>
      </c>
      <c r="P135" t="s">
        <v>74</v>
      </c>
      <c r="Q135" t="s">
        <v>74</v>
      </c>
      <c r="R135" t="s">
        <v>74</v>
      </c>
      <c r="S135" t="s">
        <v>74</v>
      </c>
      <c r="T135" t="s">
        <v>3028</v>
      </c>
      <c r="U135" t="s">
        <v>3029</v>
      </c>
      <c r="V135" t="s">
        <v>3030</v>
      </c>
      <c r="W135" t="s">
        <v>3031</v>
      </c>
      <c r="X135" t="s">
        <v>3032</v>
      </c>
      <c r="Y135" t="s">
        <v>3033</v>
      </c>
      <c r="Z135" t="s">
        <v>3034</v>
      </c>
      <c r="AA135" t="s">
        <v>74</v>
      </c>
      <c r="AB135" t="s">
        <v>3035</v>
      </c>
      <c r="AC135" t="s">
        <v>3036</v>
      </c>
      <c r="AD135" t="s">
        <v>3037</v>
      </c>
      <c r="AE135" t="s">
        <v>3038</v>
      </c>
      <c r="AF135" t="s">
        <v>74</v>
      </c>
      <c r="AG135">
        <v>97</v>
      </c>
      <c r="AH135">
        <v>8</v>
      </c>
      <c r="AI135">
        <v>10</v>
      </c>
      <c r="AJ135">
        <v>5</v>
      </c>
      <c r="AK135">
        <v>8</v>
      </c>
      <c r="AL135" t="s">
        <v>285</v>
      </c>
      <c r="AM135" t="s">
        <v>286</v>
      </c>
      <c r="AN135" t="s">
        <v>287</v>
      </c>
      <c r="AO135" t="s">
        <v>74</v>
      </c>
      <c r="AP135" t="s">
        <v>3039</v>
      </c>
      <c r="AQ135" t="s">
        <v>74</v>
      </c>
      <c r="AR135" t="s">
        <v>3040</v>
      </c>
      <c r="AS135" t="s">
        <v>3041</v>
      </c>
      <c r="AT135" t="s">
        <v>3018</v>
      </c>
      <c r="AU135">
        <v>2022</v>
      </c>
      <c r="AV135">
        <v>10</v>
      </c>
      <c r="AW135" t="s">
        <v>74</v>
      </c>
      <c r="AX135" t="s">
        <v>74</v>
      </c>
      <c r="AY135" t="s">
        <v>74</v>
      </c>
      <c r="AZ135" t="s">
        <v>74</v>
      </c>
      <c r="BA135" t="s">
        <v>74</v>
      </c>
      <c r="BB135" t="s">
        <v>74</v>
      </c>
      <c r="BC135" t="s">
        <v>74</v>
      </c>
      <c r="BD135">
        <v>863200</v>
      </c>
      <c r="BE135" t="s">
        <v>3042</v>
      </c>
      <c r="BF135" t="str">
        <f>HYPERLINK("http://dx.doi.org/10.3389/feart.2022.863200","http://dx.doi.org/10.3389/feart.2022.863200")</f>
        <v>http://dx.doi.org/10.3389/feart.2022.863200</v>
      </c>
      <c r="BG135" t="s">
        <v>74</v>
      </c>
      <c r="BH135" t="s">
        <v>74</v>
      </c>
      <c r="BI135">
        <v>19</v>
      </c>
      <c r="BJ135" t="s">
        <v>265</v>
      </c>
      <c r="BK135" t="s">
        <v>101</v>
      </c>
      <c r="BL135" t="s">
        <v>100</v>
      </c>
      <c r="BM135" t="s">
        <v>3043</v>
      </c>
      <c r="BN135" t="s">
        <v>74</v>
      </c>
      <c r="BO135" t="s">
        <v>3044</v>
      </c>
      <c r="BP135" t="s">
        <v>74</v>
      </c>
      <c r="BQ135" t="s">
        <v>74</v>
      </c>
      <c r="BR135" t="s">
        <v>103</v>
      </c>
      <c r="BS135" t="s">
        <v>3045</v>
      </c>
      <c r="BT135" t="str">
        <f>HYPERLINK("https%3A%2F%2Fwww.webofscience.com%2Fwos%2Fwoscc%2Ffull-record%2FWOS:000810959300001","View Full Record in Web of Science")</f>
        <v>View Full Record in Web of Science</v>
      </c>
    </row>
    <row r="136" spans="1:72" x14ac:dyDescent="0.15">
      <c r="A136" t="s">
        <v>72</v>
      </c>
      <c r="B136" t="s">
        <v>3046</v>
      </c>
      <c r="C136" t="s">
        <v>74</v>
      </c>
      <c r="D136" t="s">
        <v>74</v>
      </c>
      <c r="E136" t="s">
        <v>74</v>
      </c>
      <c r="F136" t="s">
        <v>3047</v>
      </c>
      <c r="G136" t="s">
        <v>74</v>
      </c>
      <c r="H136" t="s">
        <v>74</v>
      </c>
      <c r="I136" t="s">
        <v>3048</v>
      </c>
      <c r="J136" t="s">
        <v>3027</v>
      </c>
      <c r="K136" t="s">
        <v>74</v>
      </c>
      <c r="L136" t="s">
        <v>74</v>
      </c>
      <c r="M136" t="s">
        <v>78</v>
      </c>
      <c r="N136" t="s">
        <v>79</v>
      </c>
      <c r="O136" t="s">
        <v>74</v>
      </c>
      <c r="P136" t="s">
        <v>74</v>
      </c>
      <c r="Q136" t="s">
        <v>74</v>
      </c>
      <c r="R136" t="s">
        <v>74</v>
      </c>
      <c r="S136" t="s">
        <v>74</v>
      </c>
      <c r="T136" t="s">
        <v>3049</v>
      </c>
      <c r="U136" t="s">
        <v>3050</v>
      </c>
      <c r="V136" t="s">
        <v>3051</v>
      </c>
      <c r="W136" t="s">
        <v>3052</v>
      </c>
      <c r="X136" t="s">
        <v>3053</v>
      </c>
      <c r="Y136" t="s">
        <v>3054</v>
      </c>
      <c r="Z136" t="s">
        <v>3055</v>
      </c>
      <c r="AA136" t="s">
        <v>3056</v>
      </c>
      <c r="AB136" t="s">
        <v>3057</v>
      </c>
      <c r="AC136" t="s">
        <v>74</v>
      </c>
      <c r="AD136" t="s">
        <v>74</v>
      </c>
      <c r="AE136" t="s">
        <v>74</v>
      </c>
      <c r="AF136" t="s">
        <v>74</v>
      </c>
      <c r="AG136">
        <v>97</v>
      </c>
      <c r="AH136">
        <v>5</v>
      </c>
      <c r="AI136">
        <v>5</v>
      </c>
      <c r="AJ136">
        <v>1</v>
      </c>
      <c r="AK136">
        <v>13</v>
      </c>
      <c r="AL136" t="s">
        <v>285</v>
      </c>
      <c r="AM136" t="s">
        <v>286</v>
      </c>
      <c r="AN136" t="s">
        <v>287</v>
      </c>
      <c r="AO136" t="s">
        <v>74</v>
      </c>
      <c r="AP136" t="s">
        <v>3039</v>
      </c>
      <c r="AQ136" t="s">
        <v>74</v>
      </c>
      <c r="AR136" t="s">
        <v>3040</v>
      </c>
      <c r="AS136" t="s">
        <v>3041</v>
      </c>
      <c r="AT136" t="s">
        <v>3018</v>
      </c>
      <c r="AU136">
        <v>2022</v>
      </c>
      <c r="AV136">
        <v>10</v>
      </c>
      <c r="AW136" t="s">
        <v>74</v>
      </c>
      <c r="AX136" t="s">
        <v>74</v>
      </c>
      <c r="AY136" t="s">
        <v>74</v>
      </c>
      <c r="AZ136" t="s">
        <v>74</v>
      </c>
      <c r="BA136" t="s">
        <v>74</v>
      </c>
      <c r="BB136" t="s">
        <v>74</v>
      </c>
      <c r="BC136" t="s">
        <v>74</v>
      </c>
      <c r="BD136">
        <v>828313</v>
      </c>
      <c r="BE136" t="s">
        <v>3058</v>
      </c>
      <c r="BF136" t="str">
        <f>HYPERLINK("http://dx.doi.org/10.3389/feart.2022.828313","http://dx.doi.org/10.3389/feart.2022.828313")</f>
        <v>http://dx.doi.org/10.3389/feart.2022.828313</v>
      </c>
      <c r="BG136" t="s">
        <v>74</v>
      </c>
      <c r="BH136" t="s">
        <v>74</v>
      </c>
      <c r="BI136">
        <v>17</v>
      </c>
      <c r="BJ136" t="s">
        <v>265</v>
      </c>
      <c r="BK136" t="s">
        <v>101</v>
      </c>
      <c r="BL136" t="s">
        <v>100</v>
      </c>
      <c r="BM136" t="s">
        <v>3059</v>
      </c>
      <c r="BN136" t="s">
        <v>74</v>
      </c>
      <c r="BO136" t="s">
        <v>1942</v>
      </c>
      <c r="BP136" t="s">
        <v>74</v>
      </c>
      <c r="BQ136" t="s">
        <v>74</v>
      </c>
      <c r="BR136" t="s">
        <v>103</v>
      </c>
      <c r="BS136" t="s">
        <v>3060</v>
      </c>
      <c r="BT136" t="str">
        <f>HYPERLINK("https%3A%2F%2Fwww.webofscience.com%2Fwos%2Fwoscc%2Ffull-record%2FWOS:000810903900001","View Full Record in Web of Science")</f>
        <v>View Full Record in Web of Science</v>
      </c>
    </row>
    <row r="137" spans="1:72" x14ac:dyDescent="0.15">
      <c r="A137" t="s">
        <v>72</v>
      </c>
      <c r="B137" t="s">
        <v>3061</v>
      </c>
      <c r="C137" t="s">
        <v>74</v>
      </c>
      <c r="D137" t="s">
        <v>74</v>
      </c>
      <c r="E137" t="s">
        <v>74</v>
      </c>
      <c r="F137" t="s">
        <v>3062</v>
      </c>
      <c r="G137" t="s">
        <v>74</v>
      </c>
      <c r="H137" t="s">
        <v>74</v>
      </c>
      <c r="I137" t="s">
        <v>3063</v>
      </c>
      <c r="J137" t="s">
        <v>3064</v>
      </c>
      <c r="K137" t="s">
        <v>74</v>
      </c>
      <c r="L137" t="s">
        <v>74</v>
      </c>
      <c r="M137" t="s">
        <v>78</v>
      </c>
      <c r="N137" t="s">
        <v>79</v>
      </c>
      <c r="O137" t="s">
        <v>74</v>
      </c>
      <c r="P137" t="s">
        <v>74</v>
      </c>
      <c r="Q137" t="s">
        <v>74</v>
      </c>
      <c r="R137" t="s">
        <v>74</v>
      </c>
      <c r="S137" t="s">
        <v>74</v>
      </c>
      <c r="T137" t="s">
        <v>3065</v>
      </c>
      <c r="U137" t="s">
        <v>3066</v>
      </c>
      <c r="V137" t="s">
        <v>3067</v>
      </c>
      <c r="W137" t="s">
        <v>3068</v>
      </c>
      <c r="X137" t="s">
        <v>3069</v>
      </c>
      <c r="Y137" t="s">
        <v>3070</v>
      </c>
      <c r="Z137" t="s">
        <v>3071</v>
      </c>
      <c r="AA137" t="s">
        <v>74</v>
      </c>
      <c r="AB137" t="s">
        <v>74</v>
      </c>
      <c r="AC137" t="s">
        <v>74</v>
      </c>
      <c r="AD137" t="s">
        <v>74</v>
      </c>
      <c r="AE137" t="s">
        <v>74</v>
      </c>
      <c r="AF137" t="s">
        <v>74</v>
      </c>
      <c r="AG137">
        <v>17</v>
      </c>
      <c r="AH137">
        <v>0</v>
      </c>
      <c r="AI137">
        <v>0</v>
      </c>
      <c r="AJ137">
        <v>0</v>
      </c>
      <c r="AK137">
        <v>8</v>
      </c>
      <c r="AL137" t="s">
        <v>285</v>
      </c>
      <c r="AM137" t="s">
        <v>286</v>
      </c>
      <c r="AN137" t="s">
        <v>287</v>
      </c>
      <c r="AO137" t="s">
        <v>74</v>
      </c>
      <c r="AP137" t="s">
        <v>3072</v>
      </c>
      <c r="AQ137" t="s">
        <v>74</v>
      </c>
      <c r="AR137" t="s">
        <v>3073</v>
      </c>
      <c r="AS137" t="s">
        <v>3074</v>
      </c>
      <c r="AT137" t="s">
        <v>3018</v>
      </c>
      <c r="AU137">
        <v>2022</v>
      </c>
      <c r="AV137">
        <v>10</v>
      </c>
      <c r="AW137" t="s">
        <v>74</v>
      </c>
      <c r="AX137" t="s">
        <v>74</v>
      </c>
      <c r="AY137" t="s">
        <v>74</v>
      </c>
      <c r="AZ137" t="s">
        <v>74</v>
      </c>
      <c r="BA137" t="s">
        <v>74</v>
      </c>
      <c r="BB137" t="s">
        <v>74</v>
      </c>
      <c r="BC137" t="s">
        <v>74</v>
      </c>
      <c r="BD137">
        <v>865775</v>
      </c>
      <c r="BE137" t="s">
        <v>3075</v>
      </c>
      <c r="BF137" t="str">
        <f>HYPERLINK("http://dx.doi.org/10.3389/fenvs.2022.865775","http://dx.doi.org/10.3389/fenvs.2022.865775")</f>
        <v>http://dx.doi.org/10.3389/fenvs.2022.865775</v>
      </c>
      <c r="BG137" t="s">
        <v>74</v>
      </c>
      <c r="BH137" t="s">
        <v>74</v>
      </c>
      <c r="BI137">
        <v>9</v>
      </c>
      <c r="BJ137" t="s">
        <v>1104</v>
      </c>
      <c r="BK137" t="s">
        <v>101</v>
      </c>
      <c r="BL137" t="s">
        <v>840</v>
      </c>
      <c r="BM137" t="s">
        <v>3076</v>
      </c>
      <c r="BN137" t="s">
        <v>74</v>
      </c>
      <c r="BO137" t="s">
        <v>438</v>
      </c>
      <c r="BP137" t="s">
        <v>74</v>
      </c>
      <c r="BQ137" t="s">
        <v>74</v>
      </c>
      <c r="BR137" t="s">
        <v>103</v>
      </c>
      <c r="BS137" t="s">
        <v>3077</v>
      </c>
      <c r="BT137" t="str">
        <f>HYPERLINK("https%3A%2F%2Fwww.webofscience.com%2Fwos%2Fwoscc%2Ffull-record%2FWOS:000811641500001","View Full Record in Web of Science")</f>
        <v>View Full Record in Web of Science</v>
      </c>
    </row>
    <row r="138" spans="1:72" x14ac:dyDescent="0.15">
      <c r="A138" t="s">
        <v>72</v>
      </c>
      <c r="B138" t="s">
        <v>3078</v>
      </c>
      <c r="C138" t="s">
        <v>74</v>
      </c>
      <c r="D138" t="s">
        <v>74</v>
      </c>
      <c r="E138" t="s">
        <v>74</v>
      </c>
      <c r="F138" t="s">
        <v>3079</v>
      </c>
      <c r="G138" t="s">
        <v>74</v>
      </c>
      <c r="H138" t="s">
        <v>74</v>
      </c>
      <c r="I138" t="s">
        <v>3080</v>
      </c>
      <c r="J138" t="s">
        <v>3027</v>
      </c>
      <c r="K138" t="s">
        <v>74</v>
      </c>
      <c r="L138" t="s">
        <v>74</v>
      </c>
      <c r="M138" t="s">
        <v>78</v>
      </c>
      <c r="N138" t="s">
        <v>79</v>
      </c>
      <c r="O138" t="s">
        <v>74</v>
      </c>
      <c r="P138" t="s">
        <v>74</v>
      </c>
      <c r="Q138" t="s">
        <v>74</v>
      </c>
      <c r="R138" t="s">
        <v>74</v>
      </c>
      <c r="S138" t="s">
        <v>74</v>
      </c>
      <c r="T138" t="s">
        <v>3081</v>
      </c>
      <c r="U138" t="s">
        <v>3082</v>
      </c>
      <c r="V138" t="s">
        <v>3083</v>
      </c>
      <c r="W138" t="s">
        <v>3084</v>
      </c>
      <c r="X138" t="s">
        <v>3085</v>
      </c>
      <c r="Y138" t="s">
        <v>3086</v>
      </c>
      <c r="Z138" t="s">
        <v>3087</v>
      </c>
      <c r="AA138" t="s">
        <v>3088</v>
      </c>
      <c r="AB138" t="s">
        <v>3089</v>
      </c>
      <c r="AC138" t="s">
        <v>74</v>
      </c>
      <c r="AD138" t="s">
        <v>74</v>
      </c>
      <c r="AE138" t="s">
        <v>74</v>
      </c>
      <c r="AF138" t="s">
        <v>74</v>
      </c>
      <c r="AG138">
        <v>70</v>
      </c>
      <c r="AH138">
        <v>0</v>
      </c>
      <c r="AI138">
        <v>0</v>
      </c>
      <c r="AJ138">
        <v>3</v>
      </c>
      <c r="AK138">
        <v>11</v>
      </c>
      <c r="AL138" t="s">
        <v>285</v>
      </c>
      <c r="AM138" t="s">
        <v>286</v>
      </c>
      <c r="AN138" t="s">
        <v>287</v>
      </c>
      <c r="AO138" t="s">
        <v>74</v>
      </c>
      <c r="AP138" t="s">
        <v>3039</v>
      </c>
      <c r="AQ138" t="s">
        <v>74</v>
      </c>
      <c r="AR138" t="s">
        <v>3040</v>
      </c>
      <c r="AS138" t="s">
        <v>3041</v>
      </c>
      <c r="AT138" t="s">
        <v>3018</v>
      </c>
      <c r="AU138">
        <v>2022</v>
      </c>
      <c r="AV138">
        <v>10</v>
      </c>
      <c r="AW138" t="s">
        <v>74</v>
      </c>
      <c r="AX138" t="s">
        <v>74</v>
      </c>
      <c r="AY138" t="s">
        <v>74</v>
      </c>
      <c r="AZ138" t="s">
        <v>74</v>
      </c>
      <c r="BA138" t="s">
        <v>74</v>
      </c>
      <c r="BB138" t="s">
        <v>74</v>
      </c>
      <c r="BC138" t="s">
        <v>74</v>
      </c>
      <c r="BD138">
        <v>916398</v>
      </c>
      <c r="BE138" t="s">
        <v>3090</v>
      </c>
      <c r="BF138" t="str">
        <f>HYPERLINK("http://dx.doi.org/10.3389/feart.2022.916398","http://dx.doi.org/10.3389/feart.2022.916398")</f>
        <v>http://dx.doi.org/10.3389/feart.2022.916398</v>
      </c>
      <c r="BG138" t="s">
        <v>74</v>
      </c>
      <c r="BH138" t="s">
        <v>74</v>
      </c>
      <c r="BI138">
        <v>14</v>
      </c>
      <c r="BJ138" t="s">
        <v>265</v>
      </c>
      <c r="BK138" t="s">
        <v>101</v>
      </c>
      <c r="BL138" t="s">
        <v>100</v>
      </c>
      <c r="BM138" t="s">
        <v>3091</v>
      </c>
      <c r="BN138" t="s">
        <v>74</v>
      </c>
      <c r="BO138" t="s">
        <v>438</v>
      </c>
      <c r="BP138" t="s">
        <v>74</v>
      </c>
      <c r="BQ138" t="s">
        <v>74</v>
      </c>
      <c r="BR138" t="s">
        <v>103</v>
      </c>
      <c r="BS138" t="s">
        <v>3092</v>
      </c>
      <c r="BT138" t="str">
        <f>HYPERLINK("https%3A%2F%2Fwww.webofscience.com%2Fwos%2Fwoscc%2Ffull-record%2FWOS:000810889900001","View Full Record in Web of Science")</f>
        <v>View Full Record in Web of Science</v>
      </c>
    </row>
    <row r="139" spans="1:72" x14ac:dyDescent="0.15">
      <c r="A139" t="s">
        <v>72</v>
      </c>
      <c r="B139" t="s">
        <v>3093</v>
      </c>
      <c r="C139" t="s">
        <v>74</v>
      </c>
      <c r="D139" t="s">
        <v>74</v>
      </c>
      <c r="E139" t="s">
        <v>74</v>
      </c>
      <c r="F139" t="s">
        <v>3094</v>
      </c>
      <c r="G139" t="s">
        <v>74</v>
      </c>
      <c r="H139" t="s">
        <v>74</v>
      </c>
      <c r="I139" t="s">
        <v>3095</v>
      </c>
      <c r="J139" t="s">
        <v>3096</v>
      </c>
      <c r="K139" t="s">
        <v>74</v>
      </c>
      <c r="L139" t="s">
        <v>74</v>
      </c>
      <c r="M139" t="s">
        <v>78</v>
      </c>
      <c r="N139" t="s">
        <v>79</v>
      </c>
      <c r="O139" t="s">
        <v>74</v>
      </c>
      <c r="P139" t="s">
        <v>74</v>
      </c>
      <c r="Q139" t="s">
        <v>74</v>
      </c>
      <c r="R139" t="s">
        <v>74</v>
      </c>
      <c r="S139" t="s">
        <v>74</v>
      </c>
      <c r="T139" t="s">
        <v>3097</v>
      </c>
      <c r="U139" t="s">
        <v>3098</v>
      </c>
      <c r="V139" t="s">
        <v>3099</v>
      </c>
      <c r="W139" t="s">
        <v>3100</v>
      </c>
      <c r="X139" t="s">
        <v>3101</v>
      </c>
      <c r="Y139" t="s">
        <v>3102</v>
      </c>
      <c r="Z139" t="s">
        <v>3103</v>
      </c>
      <c r="AA139" t="s">
        <v>3104</v>
      </c>
      <c r="AB139" t="s">
        <v>3105</v>
      </c>
      <c r="AC139" t="s">
        <v>74</v>
      </c>
      <c r="AD139" t="s">
        <v>74</v>
      </c>
      <c r="AE139" t="s">
        <v>74</v>
      </c>
      <c r="AF139" t="s">
        <v>74</v>
      </c>
      <c r="AG139">
        <v>36</v>
      </c>
      <c r="AH139">
        <v>4</v>
      </c>
      <c r="AI139">
        <v>4</v>
      </c>
      <c r="AJ139">
        <v>3</v>
      </c>
      <c r="AK139">
        <v>14</v>
      </c>
      <c r="AL139" t="s">
        <v>257</v>
      </c>
      <c r="AM139" t="s">
        <v>258</v>
      </c>
      <c r="AN139" t="s">
        <v>259</v>
      </c>
      <c r="AO139" t="s">
        <v>3106</v>
      </c>
      <c r="AP139" t="s">
        <v>3107</v>
      </c>
      <c r="AQ139" t="s">
        <v>74</v>
      </c>
      <c r="AR139" t="s">
        <v>3108</v>
      </c>
      <c r="AS139" t="s">
        <v>3109</v>
      </c>
      <c r="AT139" t="s">
        <v>537</v>
      </c>
      <c r="AU139">
        <v>2022</v>
      </c>
      <c r="AV139">
        <v>32</v>
      </c>
      <c r="AW139" t="s">
        <v>74</v>
      </c>
      <c r="AX139" t="s">
        <v>74</v>
      </c>
      <c r="AY139" t="s">
        <v>74</v>
      </c>
      <c r="AZ139" t="s">
        <v>74</v>
      </c>
      <c r="BA139" t="s">
        <v>74</v>
      </c>
      <c r="BB139" t="s">
        <v>74</v>
      </c>
      <c r="BC139" t="s">
        <v>74</v>
      </c>
      <c r="BD139">
        <v>100844</v>
      </c>
      <c r="BE139" t="s">
        <v>3110</v>
      </c>
      <c r="BF139" t="str">
        <f>HYPERLINK("http://dx.doi.org/10.1016/j.polar.2022.100844","http://dx.doi.org/10.1016/j.polar.2022.100844")</f>
        <v>http://dx.doi.org/10.1016/j.polar.2022.100844</v>
      </c>
      <c r="BG139" t="s">
        <v>74</v>
      </c>
      <c r="BH139" t="s">
        <v>3111</v>
      </c>
      <c r="BI139">
        <v>17</v>
      </c>
      <c r="BJ139" t="s">
        <v>3112</v>
      </c>
      <c r="BK139" t="s">
        <v>101</v>
      </c>
      <c r="BL139" t="s">
        <v>3113</v>
      </c>
      <c r="BM139" t="s">
        <v>3114</v>
      </c>
      <c r="BN139" t="s">
        <v>74</v>
      </c>
      <c r="BO139" t="s">
        <v>74</v>
      </c>
      <c r="BP139" t="s">
        <v>74</v>
      </c>
      <c r="BQ139" t="s">
        <v>74</v>
      </c>
      <c r="BR139" t="s">
        <v>103</v>
      </c>
      <c r="BS139" t="s">
        <v>3115</v>
      </c>
      <c r="BT139" t="str">
        <f>HYPERLINK("https%3A%2F%2Fwww.webofscience.com%2Fwos%2Fwoscc%2Ffull-record%2FWOS:000809800900004","View Full Record in Web of Science")</f>
        <v>View Full Record in Web of Science</v>
      </c>
    </row>
    <row r="140" spans="1:72" x14ac:dyDescent="0.15">
      <c r="A140" t="s">
        <v>72</v>
      </c>
      <c r="B140" t="s">
        <v>3116</v>
      </c>
      <c r="C140" t="s">
        <v>74</v>
      </c>
      <c r="D140" t="s">
        <v>74</v>
      </c>
      <c r="E140" t="s">
        <v>74</v>
      </c>
      <c r="F140" t="s">
        <v>3117</v>
      </c>
      <c r="G140" t="s">
        <v>74</v>
      </c>
      <c r="H140" t="s">
        <v>74</v>
      </c>
      <c r="I140" t="s">
        <v>3118</v>
      </c>
      <c r="J140" t="s">
        <v>3096</v>
      </c>
      <c r="K140" t="s">
        <v>74</v>
      </c>
      <c r="L140" t="s">
        <v>74</v>
      </c>
      <c r="M140" t="s">
        <v>78</v>
      </c>
      <c r="N140" t="s">
        <v>79</v>
      </c>
      <c r="O140" t="s">
        <v>74</v>
      </c>
      <c r="P140" t="s">
        <v>74</v>
      </c>
      <c r="Q140" t="s">
        <v>74</v>
      </c>
      <c r="R140" t="s">
        <v>74</v>
      </c>
      <c r="S140" t="s">
        <v>74</v>
      </c>
      <c r="T140" t="s">
        <v>3119</v>
      </c>
      <c r="U140" t="s">
        <v>3120</v>
      </c>
      <c r="V140" t="s">
        <v>3121</v>
      </c>
      <c r="W140" t="s">
        <v>3122</v>
      </c>
      <c r="X140" t="s">
        <v>74</v>
      </c>
      <c r="Y140" t="s">
        <v>3123</v>
      </c>
      <c r="Z140" t="s">
        <v>3124</v>
      </c>
      <c r="AA140" t="s">
        <v>74</v>
      </c>
      <c r="AB140" t="s">
        <v>3125</v>
      </c>
      <c r="AC140" t="s">
        <v>3126</v>
      </c>
      <c r="AD140" t="s">
        <v>3126</v>
      </c>
      <c r="AE140" t="s">
        <v>3127</v>
      </c>
      <c r="AF140" t="s">
        <v>74</v>
      </c>
      <c r="AG140">
        <v>71</v>
      </c>
      <c r="AH140">
        <v>4</v>
      </c>
      <c r="AI140">
        <v>4</v>
      </c>
      <c r="AJ140">
        <v>3</v>
      </c>
      <c r="AK140">
        <v>11</v>
      </c>
      <c r="AL140" t="s">
        <v>257</v>
      </c>
      <c r="AM140" t="s">
        <v>258</v>
      </c>
      <c r="AN140" t="s">
        <v>259</v>
      </c>
      <c r="AO140" t="s">
        <v>3106</v>
      </c>
      <c r="AP140" t="s">
        <v>3107</v>
      </c>
      <c r="AQ140" t="s">
        <v>74</v>
      </c>
      <c r="AR140" t="s">
        <v>3108</v>
      </c>
      <c r="AS140" t="s">
        <v>3109</v>
      </c>
      <c r="AT140" t="s">
        <v>537</v>
      </c>
      <c r="AU140">
        <v>2022</v>
      </c>
      <c r="AV140">
        <v>32</v>
      </c>
      <c r="AW140" t="s">
        <v>74</v>
      </c>
      <c r="AX140" t="s">
        <v>74</v>
      </c>
      <c r="AY140" t="s">
        <v>74</v>
      </c>
      <c r="AZ140" t="s">
        <v>74</v>
      </c>
      <c r="BA140" t="s">
        <v>74</v>
      </c>
      <c r="BB140" t="s">
        <v>74</v>
      </c>
      <c r="BC140" t="s">
        <v>74</v>
      </c>
      <c r="BD140">
        <v>100821</v>
      </c>
      <c r="BE140" t="s">
        <v>3128</v>
      </c>
      <c r="BF140" t="str">
        <f>HYPERLINK("http://dx.doi.org/10.1016/j.polar.2022.100821","http://dx.doi.org/10.1016/j.polar.2022.100821")</f>
        <v>http://dx.doi.org/10.1016/j.polar.2022.100821</v>
      </c>
      <c r="BG140" t="s">
        <v>74</v>
      </c>
      <c r="BH140" t="s">
        <v>3111</v>
      </c>
      <c r="BI140">
        <v>11</v>
      </c>
      <c r="BJ140" t="s">
        <v>3112</v>
      </c>
      <c r="BK140" t="s">
        <v>101</v>
      </c>
      <c r="BL140" t="s">
        <v>3113</v>
      </c>
      <c r="BM140" t="s">
        <v>3129</v>
      </c>
      <c r="BN140" t="s">
        <v>74</v>
      </c>
      <c r="BO140" t="s">
        <v>74</v>
      </c>
      <c r="BP140" t="s">
        <v>74</v>
      </c>
      <c r="BQ140" t="s">
        <v>74</v>
      </c>
      <c r="BR140" t="s">
        <v>103</v>
      </c>
      <c r="BS140" t="s">
        <v>3130</v>
      </c>
      <c r="BT140" t="str">
        <f>HYPERLINK("https%3A%2F%2Fwww.webofscience.com%2Fwos%2Fwoscc%2Ffull-record%2FWOS:000809841900001","View Full Record in Web of Science")</f>
        <v>View Full Record in Web of Science</v>
      </c>
    </row>
    <row r="141" spans="1:72" x14ac:dyDescent="0.15">
      <c r="A141" t="s">
        <v>72</v>
      </c>
      <c r="B141" t="s">
        <v>3131</v>
      </c>
      <c r="C141" t="s">
        <v>74</v>
      </c>
      <c r="D141" t="s">
        <v>74</v>
      </c>
      <c r="E141" t="s">
        <v>74</v>
      </c>
      <c r="F141" t="s">
        <v>3132</v>
      </c>
      <c r="G141" t="s">
        <v>74</v>
      </c>
      <c r="H141" t="s">
        <v>74</v>
      </c>
      <c r="I141" t="s">
        <v>3133</v>
      </c>
      <c r="J141" t="s">
        <v>3096</v>
      </c>
      <c r="K141" t="s">
        <v>74</v>
      </c>
      <c r="L141" t="s">
        <v>74</v>
      </c>
      <c r="M141" t="s">
        <v>78</v>
      </c>
      <c r="N141" t="s">
        <v>79</v>
      </c>
      <c r="O141" t="s">
        <v>74</v>
      </c>
      <c r="P141" t="s">
        <v>74</v>
      </c>
      <c r="Q141" t="s">
        <v>74</v>
      </c>
      <c r="R141" t="s">
        <v>74</v>
      </c>
      <c r="S141" t="s">
        <v>74</v>
      </c>
      <c r="T141" t="s">
        <v>3134</v>
      </c>
      <c r="U141" t="s">
        <v>3135</v>
      </c>
      <c r="V141" t="s">
        <v>3136</v>
      </c>
      <c r="W141" t="s">
        <v>3137</v>
      </c>
      <c r="X141" t="s">
        <v>3138</v>
      </c>
      <c r="Y141" t="s">
        <v>3139</v>
      </c>
      <c r="Z141" t="s">
        <v>3140</v>
      </c>
      <c r="AA141" t="s">
        <v>74</v>
      </c>
      <c r="AB141" t="s">
        <v>3141</v>
      </c>
      <c r="AC141" t="s">
        <v>3142</v>
      </c>
      <c r="AD141" t="s">
        <v>3142</v>
      </c>
      <c r="AE141" t="s">
        <v>3143</v>
      </c>
      <c r="AF141" t="s">
        <v>74</v>
      </c>
      <c r="AG141">
        <v>60</v>
      </c>
      <c r="AH141">
        <v>2</v>
      </c>
      <c r="AI141">
        <v>3</v>
      </c>
      <c r="AJ141">
        <v>7</v>
      </c>
      <c r="AK141">
        <v>20</v>
      </c>
      <c r="AL141" t="s">
        <v>257</v>
      </c>
      <c r="AM141" t="s">
        <v>258</v>
      </c>
      <c r="AN141" t="s">
        <v>259</v>
      </c>
      <c r="AO141" t="s">
        <v>3106</v>
      </c>
      <c r="AP141" t="s">
        <v>3107</v>
      </c>
      <c r="AQ141" t="s">
        <v>74</v>
      </c>
      <c r="AR141" t="s">
        <v>3108</v>
      </c>
      <c r="AS141" t="s">
        <v>3109</v>
      </c>
      <c r="AT141" t="s">
        <v>537</v>
      </c>
      <c r="AU141">
        <v>2022</v>
      </c>
      <c r="AV141">
        <v>32</v>
      </c>
      <c r="AW141" t="s">
        <v>74</v>
      </c>
      <c r="AX141" t="s">
        <v>74</v>
      </c>
      <c r="AY141" t="s">
        <v>74</v>
      </c>
      <c r="AZ141" t="s">
        <v>74</v>
      </c>
      <c r="BA141" t="s">
        <v>74</v>
      </c>
      <c r="BB141" t="s">
        <v>74</v>
      </c>
      <c r="BC141" t="s">
        <v>74</v>
      </c>
      <c r="BD141">
        <v>100792</v>
      </c>
      <c r="BE141" t="s">
        <v>3144</v>
      </c>
      <c r="BF141" t="str">
        <f>HYPERLINK("http://dx.doi.org/10.1016/j.polar.2022.100792","http://dx.doi.org/10.1016/j.polar.2022.100792")</f>
        <v>http://dx.doi.org/10.1016/j.polar.2022.100792</v>
      </c>
      <c r="BG141" t="s">
        <v>74</v>
      </c>
      <c r="BH141" t="s">
        <v>3111</v>
      </c>
      <c r="BI141">
        <v>13</v>
      </c>
      <c r="BJ141" t="s">
        <v>3112</v>
      </c>
      <c r="BK141" t="s">
        <v>101</v>
      </c>
      <c r="BL141" t="s">
        <v>3113</v>
      </c>
      <c r="BM141" t="s">
        <v>3145</v>
      </c>
      <c r="BN141" t="s">
        <v>74</v>
      </c>
      <c r="BO141" t="s">
        <v>74</v>
      </c>
      <c r="BP141" t="s">
        <v>74</v>
      </c>
      <c r="BQ141" t="s">
        <v>74</v>
      </c>
      <c r="BR141" t="s">
        <v>103</v>
      </c>
      <c r="BS141" t="s">
        <v>3146</v>
      </c>
      <c r="BT141" t="str">
        <f>HYPERLINK("https%3A%2F%2Fwww.webofscience.com%2Fwos%2Fwoscc%2Ffull-record%2FWOS:000809777100001","View Full Record in Web of Science")</f>
        <v>View Full Record in Web of Science</v>
      </c>
    </row>
    <row r="142" spans="1:72" x14ac:dyDescent="0.15">
      <c r="A142" t="s">
        <v>72</v>
      </c>
      <c r="B142" t="s">
        <v>3147</v>
      </c>
      <c r="C142" t="s">
        <v>74</v>
      </c>
      <c r="D142" t="s">
        <v>74</v>
      </c>
      <c r="E142" t="s">
        <v>74</v>
      </c>
      <c r="F142" t="s">
        <v>3148</v>
      </c>
      <c r="G142" t="s">
        <v>74</v>
      </c>
      <c r="H142" t="s">
        <v>74</v>
      </c>
      <c r="I142" t="s">
        <v>3149</v>
      </c>
      <c r="J142" t="s">
        <v>3150</v>
      </c>
      <c r="K142" t="s">
        <v>74</v>
      </c>
      <c r="L142" t="s">
        <v>74</v>
      </c>
      <c r="M142" t="s">
        <v>78</v>
      </c>
      <c r="N142" t="s">
        <v>79</v>
      </c>
      <c r="O142" t="s">
        <v>74</v>
      </c>
      <c r="P142" t="s">
        <v>74</v>
      </c>
      <c r="Q142" t="s">
        <v>74</v>
      </c>
      <c r="R142" t="s">
        <v>74</v>
      </c>
      <c r="S142" t="s">
        <v>74</v>
      </c>
      <c r="T142" t="s">
        <v>3151</v>
      </c>
      <c r="U142" t="s">
        <v>3152</v>
      </c>
      <c r="V142" t="s">
        <v>3153</v>
      </c>
      <c r="W142" t="s">
        <v>3154</v>
      </c>
      <c r="X142" t="s">
        <v>3155</v>
      </c>
      <c r="Y142" t="s">
        <v>3156</v>
      </c>
      <c r="Z142" t="s">
        <v>3157</v>
      </c>
      <c r="AA142" t="s">
        <v>3158</v>
      </c>
      <c r="AB142" t="s">
        <v>3159</v>
      </c>
      <c r="AC142" t="s">
        <v>3160</v>
      </c>
      <c r="AD142" t="s">
        <v>3160</v>
      </c>
      <c r="AE142" t="s">
        <v>3161</v>
      </c>
      <c r="AF142" t="s">
        <v>74</v>
      </c>
      <c r="AG142">
        <v>46</v>
      </c>
      <c r="AH142">
        <v>0</v>
      </c>
      <c r="AI142">
        <v>2</v>
      </c>
      <c r="AJ142">
        <v>5</v>
      </c>
      <c r="AK142">
        <v>23</v>
      </c>
      <c r="AL142" t="s">
        <v>530</v>
      </c>
      <c r="AM142" t="s">
        <v>531</v>
      </c>
      <c r="AN142" t="s">
        <v>532</v>
      </c>
      <c r="AO142" t="s">
        <v>3162</v>
      </c>
      <c r="AP142" t="s">
        <v>3163</v>
      </c>
      <c r="AQ142" t="s">
        <v>74</v>
      </c>
      <c r="AR142" t="s">
        <v>3164</v>
      </c>
      <c r="AS142" t="s">
        <v>3165</v>
      </c>
      <c r="AT142" t="s">
        <v>3166</v>
      </c>
      <c r="AU142">
        <v>2023</v>
      </c>
      <c r="AV142">
        <v>60</v>
      </c>
      <c r="AW142" t="s">
        <v>3167</v>
      </c>
      <c r="AX142" t="s">
        <v>74</v>
      </c>
      <c r="AY142" t="s">
        <v>74</v>
      </c>
      <c r="AZ142" t="s">
        <v>74</v>
      </c>
      <c r="BA142" t="s">
        <v>74</v>
      </c>
      <c r="BB142">
        <v>589</v>
      </c>
      <c r="BC142">
        <v>601</v>
      </c>
      <c r="BD142" t="s">
        <v>74</v>
      </c>
      <c r="BE142" t="s">
        <v>3168</v>
      </c>
      <c r="BF142" t="str">
        <f>HYPERLINK("http://dx.doi.org/10.1007/s00382-022-06320-2","http://dx.doi.org/10.1007/s00382-022-06320-2")</f>
        <v>http://dx.doi.org/10.1007/s00382-022-06320-2</v>
      </c>
      <c r="BG142" t="s">
        <v>74</v>
      </c>
      <c r="BH142" t="s">
        <v>3111</v>
      </c>
      <c r="BI142">
        <v>13</v>
      </c>
      <c r="BJ142" t="s">
        <v>510</v>
      </c>
      <c r="BK142" t="s">
        <v>101</v>
      </c>
      <c r="BL142" t="s">
        <v>510</v>
      </c>
      <c r="BM142" t="s">
        <v>3169</v>
      </c>
      <c r="BN142" t="s">
        <v>74</v>
      </c>
      <c r="BO142" t="s">
        <v>74</v>
      </c>
      <c r="BP142" t="s">
        <v>74</v>
      </c>
      <c r="BQ142" t="s">
        <v>74</v>
      </c>
      <c r="BR142" t="s">
        <v>103</v>
      </c>
      <c r="BS142" t="s">
        <v>3170</v>
      </c>
      <c r="BT142" t="str">
        <f>HYPERLINK("https%3A%2F%2Fwww.webofscience.com%2Fwos%2Fwoscc%2Ffull-record%2FWOS:000803868600001","View Full Record in Web of Science")</f>
        <v>View Full Record in Web of Science</v>
      </c>
    </row>
    <row r="143" spans="1:72" x14ac:dyDescent="0.15">
      <c r="A143" t="s">
        <v>72</v>
      </c>
      <c r="B143" t="s">
        <v>3171</v>
      </c>
      <c r="C143" t="s">
        <v>74</v>
      </c>
      <c r="D143" t="s">
        <v>74</v>
      </c>
      <c r="E143" t="s">
        <v>74</v>
      </c>
      <c r="F143" t="s">
        <v>3172</v>
      </c>
      <c r="G143" t="s">
        <v>74</v>
      </c>
      <c r="H143" t="s">
        <v>74</v>
      </c>
      <c r="I143" t="s">
        <v>3173</v>
      </c>
      <c r="J143" t="s">
        <v>3174</v>
      </c>
      <c r="K143" t="s">
        <v>74</v>
      </c>
      <c r="L143" t="s">
        <v>74</v>
      </c>
      <c r="M143" t="s">
        <v>78</v>
      </c>
      <c r="N143" t="s">
        <v>79</v>
      </c>
      <c r="O143" t="s">
        <v>74</v>
      </c>
      <c r="P143" t="s">
        <v>74</v>
      </c>
      <c r="Q143" t="s">
        <v>74</v>
      </c>
      <c r="R143" t="s">
        <v>74</v>
      </c>
      <c r="S143" t="s">
        <v>74</v>
      </c>
      <c r="T143" t="s">
        <v>3175</v>
      </c>
      <c r="U143" t="s">
        <v>3176</v>
      </c>
      <c r="V143" t="s">
        <v>3177</v>
      </c>
      <c r="W143" t="s">
        <v>3178</v>
      </c>
      <c r="X143" t="s">
        <v>3179</v>
      </c>
      <c r="Y143" t="s">
        <v>3180</v>
      </c>
      <c r="Z143" t="s">
        <v>3181</v>
      </c>
      <c r="AA143" t="s">
        <v>74</v>
      </c>
      <c r="AB143" t="s">
        <v>3182</v>
      </c>
      <c r="AC143" t="s">
        <v>74</v>
      </c>
      <c r="AD143" t="s">
        <v>74</v>
      </c>
      <c r="AE143" t="s">
        <v>74</v>
      </c>
      <c r="AF143" t="s">
        <v>74</v>
      </c>
      <c r="AG143">
        <v>67</v>
      </c>
      <c r="AH143">
        <v>10</v>
      </c>
      <c r="AI143">
        <v>10</v>
      </c>
      <c r="AJ143">
        <v>6</v>
      </c>
      <c r="AK143">
        <v>13</v>
      </c>
      <c r="AL143" t="s">
        <v>633</v>
      </c>
      <c r="AM143" t="s">
        <v>200</v>
      </c>
      <c r="AN143" t="s">
        <v>634</v>
      </c>
      <c r="AO143" t="s">
        <v>3183</v>
      </c>
      <c r="AP143" t="s">
        <v>3184</v>
      </c>
      <c r="AQ143" t="s">
        <v>74</v>
      </c>
      <c r="AR143" t="s">
        <v>3185</v>
      </c>
      <c r="AS143" t="s">
        <v>3186</v>
      </c>
      <c r="AT143" t="s">
        <v>3187</v>
      </c>
      <c r="AU143">
        <v>2022</v>
      </c>
      <c r="AV143">
        <v>79</v>
      </c>
      <c r="AW143">
        <v>5</v>
      </c>
      <c r="AX143" t="s">
        <v>74</v>
      </c>
      <c r="AY143" t="s">
        <v>74</v>
      </c>
      <c r="AZ143" t="s">
        <v>74</v>
      </c>
      <c r="BA143" t="s">
        <v>74</v>
      </c>
      <c r="BB143">
        <v>1457</v>
      </c>
      <c r="BC143">
        <v>1466</v>
      </c>
      <c r="BD143" t="s">
        <v>74</v>
      </c>
      <c r="BE143" t="s">
        <v>3188</v>
      </c>
      <c r="BF143" t="str">
        <f>HYPERLINK("http://dx.doi.org/10.1093/icesjms/fsac092","http://dx.doi.org/10.1093/icesjms/fsac092")</f>
        <v>http://dx.doi.org/10.1093/icesjms/fsac092</v>
      </c>
      <c r="BG143" t="s">
        <v>74</v>
      </c>
      <c r="BH143" t="s">
        <v>3111</v>
      </c>
      <c r="BI143">
        <v>10</v>
      </c>
      <c r="BJ143" t="s">
        <v>3189</v>
      </c>
      <c r="BK143" t="s">
        <v>101</v>
      </c>
      <c r="BL143" t="s">
        <v>3189</v>
      </c>
      <c r="BM143" t="s">
        <v>3190</v>
      </c>
      <c r="BN143" t="s">
        <v>74</v>
      </c>
      <c r="BO143" t="s">
        <v>74</v>
      </c>
      <c r="BP143" t="s">
        <v>74</v>
      </c>
      <c r="BQ143" t="s">
        <v>74</v>
      </c>
      <c r="BR143" t="s">
        <v>103</v>
      </c>
      <c r="BS143" t="s">
        <v>3191</v>
      </c>
      <c r="BT143" t="str">
        <f>HYPERLINK("https%3A%2F%2Fwww.webofscience.com%2Fwos%2Fwoscc%2Ffull-record%2FWOS:000803707300001","View Full Record in Web of Science")</f>
        <v>View Full Record in Web of Science</v>
      </c>
    </row>
    <row r="144" spans="1:72" x14ac:dyDescent="0.15">
      <c r="A144" t="s">
        <v>72</v>
      </c>
      <c r="B144" t="s">
        <v>3192</v>
      </c>
      <c r="C144" t="s">
        <v>74</v>
      </c>
      <c r="D144" t="s">
        <v>74</v>
      </c>
      <c r="E144" t="s">
        <v>74</v>
      </c>
      <c r="F144" t="s">
        <v>3193</v>
      </c>
      <c r="G144" t="s">
        <v>74</v>
      </c>
      <c r="H144" t="s">
        <v>74</v>
      </c>
      <c r="I144" t="s">
        <v>3194</v>
      </c>
      <c r="J144" t="s">
        <v>3195</v>
      </c>
      <c r="K144" t="s">
        <v>74</v>
      </c>
      <c r="L144" t="s">
        <v>74</v>
      </c>
      <c r="M144" t="s">
        <v>78</v>
      </c>
      <c r="N144" t="s">
        <v>79</v>
      </c>
      <c r="O144" t="s">
        <v>74</v>
      </c>
      <c r="P144" t="s">
        <v>74</v>
      </c>
      <c r="Q144" t="s">
        <v>74</v>
      </c>
      <c r="R144" t="s">
        <v>74</v>
      </c>
      <c r="S144" t="s">
        <v>74</v>
      </c>
      <c r="T144" t="s">
        <v>3196</v>
      </c>
      <c r="U144" t="s">
        <v>3197</v>
      </c>
      <c r="V144" t="s">
        <v>3198</v>
      </c>
      <c r="W144" t="s">
        <v>3199</v>
      </c>
      <c r="X144" t="s">
        <v>3200</v>
      </c>
      <c r="Y144" t="s">
        <v>3201</v>
      </c>
      <c r="Z144" t="s">
        <v>3202</v>
      </c>
      <c r="AA144" t="s">
        <v>74</v>
      </c>
      <c r="AB144" t="s">
        <v>74</v>
      </c>
      <c r="AC144" t="s">
        <v>3203</v>
      </c>
      <c r="AD144" t="s">
        <v>3204</v>
      </c>
      <c r="AE144" t="s">
        <v>3205</v>
      </c>
      <c r="AF144" t="s">
        <v>74</v>
      </c>
      <c r="AG144">
        <v>47</v>
      </c>
      <c r="AH144">
        <v>7</v>
      </c>
      <c r="AI144">
        <v>7</v>
      </c>
      <c r="AJ144">
        <v>14</v>
      </c>
      <c r="AK144">
        <v>44</v>
      </c>
      <c r="AL144" t="s">
        <v>257</v>
      </c>
      <c r="AM144" t="s">
        <v>258</v>
      </c>
      <c r="AN144" t="s">
        <v>259</v>
      </c>
      <c r="AO144" t="s">
        <v>3206</v>
      </c>
      <c r="AP144" t="s">
        <v>3207</v>
      </c>
      <c r="AQ144" t="s">
        <v>74</v>
      </c>
      <c r="AR144" t="s">
        <v>3208</v>
      </c>
      <c r="AS144" t="s">
        <v>3209</v>
      </c>
      <c r="AT144" t="s">
        <v>206</v>
      </c>
      <c r="AU144">
        <v>2022</v>
      </c>
      <c r="AV144">
        <v>94</v>
      </c>
      <c r="AW144" t="s">
        <v>74</v>
      </c>
      <c r="AX144" t="s">
        <v>74</v>
      </c>
      <c r="AY144" t="s">
        <v>74</v>
      </c>
      <c r="AZ144" t="s">
        <v>74</v>
      </c>
      <c r="BA144" t="s">
        <v>74</v>
      </c>
      <c r="BB144" t="s">
        <v>74</v>
      </c>
      <c r="BC144" t="s">
        <v>74</v>
      </c>
      <c r="BD144">
        <v>105134</v>
      </c>
      <c r="BE144" t="s">
        <v>3210</v>
      </c>
      <c r="BF144" t="str">
        <f>HYPERLINK("http://dx.doi.org/10.1016/j.jff.2022.105134","http://dx.doi.org/10.1016/j.jff.2022.105134")</f>
        <v>http://dx.doi.org/10.1016/j.jff.2022.105134</v>
      </c>
      <c r="BG144" t="s">
        <v>74</v>
      </c>
      <c r="BH144" t="s">
        <v>3111</v>
      </c>
      <c r="BI144">
        <v>9</v>
      </c>
      <c r="BJ144" t="s">
        <v>3211</v>
      </c>
      <c r="BK144" t="s">
        <v>101</v>
      </c>
      <c r="BL144" t="s">
        <v>3211</v>
      </c>
      <c r="BM144" t="s">
        <v>3212</v>
      </c>
      <c r="BN144" t="s">
        <v>74</v>
      </c>
      <c r="BO144" t="s">
        <v>295</v>
      </c>
      <c r="BP144" t="s">
        <v>74</v>
      </c>
      <c r="BQ144" t="s">
        <v>74</v>
      </c>
      <c r="BR144" t="s">
        <v>103</v>
      </c>
      <c r="BS144" t="s">
        <v>3213</v>
      </c>
      <c r="BT144" t="str">
        <f>HYPERLINK("https%3A%2F%2Fwww.webofscience.com%2Fwos%2Fwoscc%2Ffull-record%2FWOS:000836513400004","View Full Record in Web of Science")</f>
        <v>View Full Record in Web of Science</v>
      </c>
    </row>
    <row r="145" spans="1:72" x14ac:dyDescent="0.15">
      <c r="A145" t="s">
        <v>72</v>
      </c>
      <c r="B145" t="s">
        <v>3214</v>
      </c>
      <c r="C145" t="s">
        <v>74</v>
      </c>
      <c r="D145" t="s">
        <v>74</v>
      </c>
      <c r="E145" t="s">
        <v>74</v>
      </c>
      <c r="F145" t="s">
        <v>3215</v>
      </c>
      <c r="G145" t="s">
        <v>74</v>
      </c>
      <c r="H145" t="s">
        <v>74</v>
      </c>
      <c r="I145" t="s">
        <v>3216</v>
      </c>
      <c r="J145" t="s">
        <v>3217</v>
      </c>
      <c r="K145" t="s">
        <v>74</v>
      </c>
      <c r="L145" t="s">
        <v>74</v>
      </c>
      <c r="M145" t="s">
        <v>78</v>
      </c>
      <c r="N145" t="s">
        <v>79</v>
      </c>
      <c r="O145" t="s">
        <v>74</v>
      </c>
      <c r="P145" t="s">
        <v>74</v>
      </c>
      <c r="Q145" t="s">
        <v>74</v>
      </c>
      <c r="R145" t="s">
        <v>74</v>
      </c>
      <c r="S145" t="s">
        <v>74</v>
      </c>
      <c r="T145" t="s">
        <v>3218</v>
      </c>
      <c r="U145" t="s">
        <v>1308</v>
      </c>
      <c r="V145" t="s">
        <v>3219</v>
      </c>
      <c r="W145" t="s">
        <v>3220</v>
      </c>
      <c r="X145" t="s">
        <v>3221</v>
      </c>
      <c r="Y145" t="s">
        <v>3222</v>
      </c>
      <c r="Z145" t="s">
        <v>3223</v>
      </c>
      <c r="AA145" t="s">
        <v>3224</v>
      </c>
      <c r="AB145" t="s">
        <v>3225</v>
      </c>
      <c r="AC145" t="s">
        <v>3226</v>
      </c>
      <c r="AD145" t="s">
        <v>3226</v>
      </c>
      <c r="AE145" t="s">
        <v>3227</v>
      </c>
      <c r="AF145" t="s">
        <v>74</v>
      </c>
      <c r="AG145">
        <v>19</v>
      </c>
      <c r="AH145">
        <v>0</v>
      </c>
      <c r="AI145">
        <v>0</v>
      </c>
      <c r="AJ145">
        <v>0</v>
      </c>
      <c r="AK145">
        <v>4</v>
      </c>
      <c r="AL145" t="s">
        <v>3228</v>
      </c>
      <c r="AM145" t="s">
        <v>200</v>
      </c>
      <c r="AN145" t="s">
        <v>3229</v>
      </c>
      <c r="AO145" t="s">
        <v>3230</v>
      </c>
      <c r="AP145" t="s">
        <v>3231</v>
      </c>
      <c r="AQ145" t="s">
        <v>74</v>
      </c>
      <c r="AR145" t="s">
        <v>3232</v>
      </c>
      <c r="AS145" t="s">
        <v>3233</v>
      </c>
      <c r="AT145" t="s">
        <v>3234</v>
      </c>
      <c r="AU145">
        <v>2022</v>
      </c>
      <c r="AV145">
        <v>70</v>
      </c>
      <c r="AW145">
        <v>1</v>
      </c>
      <c r="AX145" t="s">
        <v>74</v>
      </c>
      <c r="AY145" t="s">
        <v>74</v>
      </c>
      <c r="AZ145" t="s">
        <v>74</v>
      </c>
      <c r="BA145" t="s">
        <v>74</v>
      </c>
      <c r="BB145">
        <v>157</v>
      </c>
      <c r="BC145">
        <v>178</v>
      </c>
      <c r="BD145" t="s">
        <v>74</v>
      </c>
      <c r="BE145" t="s">
        <v>3235</v>
      </c>
      <c r="BF145" t="str">
        <f>HYPERLINK("http://dx.doi.org/10.1016/j.asr.2022.04.024","http://dx.doi.org/10.1016/j.asr.2022.04.024")</f>
        <v>http://dx.doi.org/10.1016/j.asr.2022.04.024</v>
      </c>
      <c r="BG145" t="s">
        <v>74</v>
      </c>
      <c r="BH145" t="s">
        <v>3111</v>
      </c>
      <c r="BI145">
        <v>22</v>
      </c>
      <c r="BJ145" t="s">
        <v>3236</v>
      </c>
      <c r="BK145" t="s">
        <v>101</v>
      </c>
      <c r="BL145" t="s">
        <v>3237</v>
      </c>
      <c r="BM145" t="s">
        <v>3238</v>
      </c>
      <c r="BN145" t="s">
        <v>74</v>
      </c>
      <c r="BO145" t="s">
        <v>267</v>
      </c>
      <c r="BP145" t="s">
        <v>74</v>
      </c>
      <c r="BQ145" t="s">
        <v>74</v>
      </c>
      <c r="BR145" t="s">
        <v>103</v>
      </c>
      <c r="BS145" t="s">
        <v>3239</v>
      </c>
      <c r="BT145" t="str">
        <f>HYPERLINK("https%3A%2F%2Fwww.webofscience.com%2Fwos%2Fwoscc%2Ffull-record%2FWOS:000809966800001","View Full Record in Web of Science")</f>
        <v>View Full Record in Web of Science</v>
      </c>
    </row>
    <row r="146" spans="1:72" x14ac:dyDescent="0.15">
      <c r="A146" t="s">
        <v>72</v>
      </c>
      <c r="B146" t="s">
        <v>3240</v>
      </c>
      <c r="C146" t="s">
        <v>74</v>
      </c>
      <c r="D146" t="s">
        <v>74</v>
      </c>
      <c r="E146" t="s">
        <v>74</v>
      </c>
      <c r="F146" t="s">
        <v>3241</v>
      </c>
      <c r="G146" t="s">
        <v>74</v>
      </c>
      <c r="H146" t="s">
        <v>74</v>
      </c>
      <c r="I146" t="s">
        <v>3242</v>
      </c>
      <c r="J146" t="s">
        <v>3217</v>
      </c>
      <c r="K146" t="s">
        <v>74</v>
      </c>
      <c r="L146" t="s">
        <v>74</v>
      </c>
      <c r="M146" t="s">
        <v>78</v>
      </c>
      <c r="N146" t="s">
        <v>79</v>
      </c>
      <c r="O146" t="s">
        <v>74</v>
      </c>
      <c r="P146" t="s">
        <v>74</v>
      </c>
      <c r="Q146" t="s">
        <v>74</v>
      </c>
      <c r="R146" t="s">
        <v>74</v>
      </c>
      <c r="S146" t="s">
        <v>74</v>
      </c>
      <c r="T146" t="s">
        <v>3243</v>
      </c>
      <c r="U146" t="s">
        <v>3244</v>
      </c>
      <c r="V146" t="s">
        <v>3245</v>
      </c>
      <c r="W146" t="s">
        <v>3246</v>
      </c>
      <c r="X146" t="s">
        <v>3247</v>
      </c>
      <c r="Y146" t="s">
        <v>3248</v>
      </c>
      <c r="Z146" t="s">
        <v>3249</v>
      </c>
      <c r="AA146" t="s">
        <v>3250</v>
      </c>
      <c r="AB146" t="s">
        <v>3251</v>
      </c>
      <c r="AC146" t="s">
        <v>3252</v>
      </c>
      <c r="AD146" t="s">
        <v>3253</v>
      </c>
      <c r="AE146" t="s">
        <v>3254</v>
      </c>
      <c r="AF146" t="s">
        <v>74</v>
      </c>
      <c r="AG146">
        <v>41</v>
      </c>
      <c r="AH146">
        <v>2</v>
      </c>
      <c r="AI146">
        <v>2</v>
      </c>
      <c r="AJ146">
        <v>4</v>
      </c>
      <c r="AK146">
        <v>14</v>
      </c>
      <c r="AL146" t="s">
        <v>3228</v>
      </c>
      <c r="AM146" t="s">
        <v>200</v>
      </c>
      <c r="AN146" t="s">
        <v>3229</v>
      </c>
      <c r="AO146" t="s">
        <v>3230</v>
      </c>
      <c r="AP146" t="s">
        <v>3231</v>
      </c>
      <c r="AQ146" t="s">
        <v>74</v>
      </c>
      <c r="AR146" t="s">
        <v>3232</v>
      </c>
      <c r="AS146" t="s">
        <v>3233</v>
      </c>
      <c r="AT146" t="s">
        <v>3234</v>
      </c>
      <c r="AU146">
        <v>2022</v>
      </c>
      <c r="AV146">
        <v>70</v>
      </c>
      <c r="AW146">
        <v>1</v>
      </c>
      <c r="AX146" t="s">
        <v>74</v>
      </c>
      <c r="AY146" t="s">
        <v>74</v>
      </c>
      <c r="AZ146" t="s">
        <v>74</v>
      </c>
      <c r="BA146" t="s">
        <v>74</v>
      </c>
      <c r="BB146">
        <v>188</v>
      </c>
      <c r="BC146">
        <v>202</v>
      </c>
      <c r="BD146" t="s">
        <v>74</v>
      </c>
      <c r="BE146" t="s">
        <v>3255</v>
      </c>
      <c r="BF146" t="str">
        <f>HYPERLINK("http://dx.doi.org/10.1016/j.asr.2022.04.028","http://dx.doi.org/10.1016/j.asr.2022.04.028")</f>
        <v>http://dx.doi.org/10.1016/j.asr.2022.04.028</v>
      </c>
      <c r="BG146" t="s">
        <v>74</v>
      </c>
      <c r="BH146" t="s">
        <v>3111</v>
      </c>
      <c r="BI146">
        <v>15</v>
      </c>
      <c r="BJ146" t="s">
        <v>3236</v>
      </c>
      <c r="BK146" t="s">
        <v>101</v>
      </c>
      <c r="BL146" t="s">
        <v>3237</v>
      </c>
      <c r="BM146" t="s">
        <v>3238</v>
      </c>
      <c r="BN146" t="s">
        <v>74</v>
      </c>
      <c r="BO146" t="s">
        <v>74</v>
      </c>
      <c r="BP146" t="s">
        <v>74</v>
      </c>
      <c r="BQ146" t="s">
        <v>74</v>
      </c>
      <c r="BR146" t="s">
        <v>103</v>
      </c>
      <c r="BS146" t="s">
        <v>3256</v>
      </c>
      <c r="BT146" t="str">
        <f>HYPERLINK("https%3A%2F%2Fwww.webofscience.com%2Fwos%2Fwoscc%2Ffull-record%2FWOS:000809966800003","View Full Record in Web of Science")</f>
        <v>View Full Record in Web of Science</v>
      </c>
    </row>
    <row r="147" spans="1:72" x14ac:dyDescent="0.15">
      <c r="A147" t="s">
        <v>72</v>
      </c>
      <c r="B147" t="s">
        <v>3257</v>
      </c>
      <c r="C147" t="s">
        <v>74</v>
      </c>
      <c r="D147" t="s">
        <v>74</v>
      </c>
      <c r="E147" t="s">
        <v>74</v>
      </c>
      <c r="F147" t="s">
        <v>3258</v>
      </c>
      <c r="G147" t="s">
        <v>74</v>
      </c>
      <c r="H147" t="s">
        <v>74</v>
      </c>
      <c r="I147" t="s">
        <v>3259</v>
      </c>
      <c r="J147" t="s">
        <v>3260</v>
      </c>
      <c r="K147" t="s">
        <v>74</v>
      </c>
      <c r="L147" t="s">
        <v>74</v>
      </c>
      <c r="M147" t="s">
        <v>78</v>
      </c>
      <c r="N147" t="s">
        <v>79</v>
      </c>
      <c r="O147" t="s">
        <v>74</v>
      </c>
      <c r="P147" t="s">
        <v>74</v>
      </c>
      <c r="Q147" t="s">
        <v>74</v>
      </c>
      <c r="R147" t="s">
        <v>74</v>
      </c>
      <c r="S147" t="s">
        <v>74</v>
      </c>
      <c r="T147" t="s">
        <v>3261</v>
      </c>
      <c r="U147" t="s">
        <v>3262</v>
      </c>
      <c r="V147" t="s">
        <v>3263</v>
      </c>
      <c r="W147" t="s">
        <v>3264</v>
      </c>
      <c r="X147" t="s">
        <v>3265</v>
      </c>
      <c r="Y147" t="s">
        <v>3266</v>
      </c>
      <c r="Z147" t="s">
        <v>3267</v>
      </c>
      <c r="AA147" t="s">
        <v>3268</v>
      </c>
      <c r="AB147" t="s">
        <v>3269</v>
      </c>
      <c r="AC147" t="s">
        <v>3270</v>
      </c>
      <c r="AD147" t="s">
        <v>3271</v>
      </c>
      <c r="AE147" t="s">
        <v>3272</v>
      </c>
      <c r="AF147" t="s">
        <v>74</v>
      </c>
      <c r="AG147">
        <v>56</v>
      </c>
      <c r="AH147">
        <v>1</v>
      </c>
      <c r="AI147">
        <v>1</v>
      </c>
      <c r="AJ147">
        <v>3</v>
      </c>
      <c r="AK147">
        <v>8</v>
      </c>
      <c r="AL147" t="s">
        <v>257</v>
      </c>
      <c r="AM147" t="s">
        <v>258</v>
      </c>
      <c r="AN147" t="s">
        <v>259</v>
      </c>
      <c r="AO147" t="s">
        <v>3273</v>
      </c>
      <c r="AP147" t="s">
        <v>3274</v>
      </c>
      <c r="AQ147" t="s">
        <v>74</v>
      </c>
      <c r="AR147" t="s">
        <v>3275</v>
      </c>
      <c r="AS147" t="s">
        <v>3276</v>
      </c>
      <c r="AT147" t="s">
        <v>1171</v>
      </c>
      <c r="AU147">
        <v>2022</v>
      </c>
      <c r="AV147">
        <v>590</v>
      </c>
      <c r="AW147" t="s">
        <v>74</v>
      </c>
      <c r="AX147" t="s">
        <v>74</v>
      </c>
      <c r="AY147" t="s">
        <v>74</v>
      </c>
      <c r="AZ147" t="s">
        <v>74</v>
      </c>
      <c r="BA147" t="s">
        <v>74</v>
      </c>
      <c r="BB147" t="s">
        <v>74</v>
      </c>
      <c r="BC147" t="s">
        <v>74</v>
      </c>
      <c r="BD147">
        <v>117592</v>
      </c>
      <c r="BE147" t="s">
        <v>3277</v>
      </c>
      <c r="BF147" t="str">
        <f>HYPERLINK("http://dx.doi.org/10.1016/j.epsl.2022.117592","http://dx.doi.org/10.1016/j.epsl.2022.117592")</f>
        <v>http://dx.doi.org/10.1016/j.epsl.2022.117592</v>
      </c>
      <c r="BG147" t="s">
        <v>74</v>
      </c>
      <c r="BH147" t="s">
        <v>3111</v>
      </c>
      <c r="BI147">
        <v>14</v>
      </c>
      <c r="BJ147" t="s">
        <v>2144</v>
      </c>
      <c r="BK147" t="s">
        <v>101</v>
      </c>
      <c r="BL147" t="s">
        <v>2144</v>
      </c>
      <c r="BM147" t="s">
        <v>3278</v>
      </c>
      <c r="BN147" t="s">
        <v>74</v>
      </c>
      <c r="BO147" t="s">
        <v>3279</v>
      </c>
      <c r="BP147" t="s">
        <v>74</v>
      </c>
      <c r="BQ147" t="s">
        <v>74</v>
      </c>
      <c r="BR147" t="s">
        <v>103</v>
      </c>
      <c r="BS147" t="s">
        <v>3280</v>
      </c>
      <c r="BT147" t="str">
        <f>HYPERLINK("https%3A%2F%2Fwww.webofscience.com%2Fwos%2Fwoscc%2Ffull-record%2FWOS:000808234800002","View Full Record in Web of Science")</f>
        <v>View Full Record in Web of Science</v>
      </c>
    </row>
    <row r="148" spans="1:72" x14ac:dyDescent="0.15">
      <c r="A148" t="s">
        <v>72</v>
      </c>
      <c r="B148" t="s">
        <v>3281</v>
      </c>
      <c r="C148" t="s">
        <v>74</v>
      </c>
      <c r="D148" t="s">
        <v>74</v>
      </c>
      <c r="E148" t="s">
        <v>74</v>
      </c>
      <c r="F148" t="s">
        <v>3282</v>
      </c>
      <c r="G148" t="s">
        <v>74</v>
      </c>
      <c r="H148" t="s">
        <v>74</v>
      </c>
      <c r="I148" t="s">
        <v>3283</v>
      </c>
      <c r="J148" t="s">
        <v>648</v>
      </c>
      <c r="K148" t="s">
        <v>74</v>
      </c>
      <c r="L148" t="s">
        <v>74</v>
      </c>
      <c r="M148" t="s">
        <v>78</v>
      </c>
      <c r="N148" t="s">
        <v>79</v>
      </c>
      <c r="O148" t="s">
        <v>74</v>
      </c>
      <c r="P148" t="s">
        <v>74</v>
      </c>
      <c r="Q148" t="s">
        <v>74</v>
      </c>
      <c r="R148" t="s">
        <v>74</v>
      </c>
      <c r="S148" t="s">
        <v>74</v>
      </c>
      <c r="T148" t="s">
        <v>74</v>
      </c>
      <c r="U148" t="s">
        <v>3284</v>
      </c>
      <c r="V148" t="s">
        <v>3285</v>
      </c>
      <c r="W148" t="s">
        <v>3286</v>
      </c>
      <c r="X148" t="s">
        <v>3287</v>
      </c>
      <c r="Y148" t="s">
        <v>3288</v>
      </c>
      <c r="Z148" t="s">
        <v>3289</v>
      </c>
      <c r="AA148" t="s">
        <v>3290</v>
      </c>
      <c r="AB148" t="s">
        <v>3291</v>
      </c>
      <c r="AC148" t="s">
        <v>3292</v>
      </c>
      <c r="AD148" t="s">
        <v>3293</v>
      </c>
      <c r="AE148" t="s">
        <v>3294</v>
      </c>
      <c r="AF148" t="s">
        <v>74</v>
      </c>
      <c r="AG148">
        <v>72</v>
      </c>
      <c r="AH148">
        <v>10</v>
      </c>
      <c r="AI148">
        <v>11</v>
      </c>
      <c r="AJ148">
        <v>1</v>
      </c>
      <c r="AK148">
        <v>12</v>
      </c>
      <c r="AL148" t="s">
        <v>455</v>
      </c>
      <c r="AM148" t="s">
        <v>456</v>
      </c>
      <c r="AN148" t="s">
        <v>457</v>
      </c>
      <c r="AO148" t="s">
        <v>74</v>
      </c>
      <c r="AP148" t="s">
        <v>652</v>
      </c>
      <c r="AQ148" t="s">
        <v>74</v>
      </c>
      <c r="AR148" t="s">
        <v>653</v>
      </c>
      <c r="AS148" t="s">
        <v>654</v>
      </c>
      <c r="AT148" t="s">
        <v>3295</v>
      </c>
      <c r="AU148">
        <v>2022</v>
      </c>
      <c r="AV148">
        <v>13</v>
      </c>
      <c r="AW148">
        <v>1</v>
      </c>
      <c r="AX148" t="s">
        <v>74</v>
      </c>
      <c r="AY148" t="s">
        <v>74</v>
      </c>
      <c r="AZ148" t="s">
        <v>74</v>
      </c>
      <c r="BA148" t="s">
        <v>74</v>
      </c>
      <c r="BB148" t="s">
        <v>74</v>
      </c>
      <c r="BC148" t="s">
        <v>74</v>
      </c>
      <c r="BD148">
        <v>2989</v>
      </c>
      <c r="BE148" t="s">
        <v>3296</v>
      </c>
      <c r="BF148" t="str">
        <f>HYPERLINK("http://dx.doi.org/10.1038/s41467-022-30627-7","http://dx.doi.org/10.1038/s41467-022-30627-7")</f>
        <v>http://dx.doi.org/10.1038/s41467-022-30627-7</v>
      </c>
      <c r="BG148" t="s">
        <v>74</v>
      </c>
      <c r="BH148" t="s">
        <v>74</v>
      </c>
      <c r="BI148">
        <v>10</v>
      </c>
      <c r="BJ148" t="s">
        <v>657</v>
      </c>
      <c r="BK148" t="s">
        <v>101</v>
      </c>
      <c r="BL148" t="s">
        <v>658</v>
      </c>
      <c r="BM148" t="s">
        <v>3297</v>
      </c>
      <c r="BN148">
        <v>35637190</v>
      </c>
      <c r="BO148" t="s">
        <v>3298</v>
      </c>
      <c r="BP148" t="s">
        <v>74</v>
      </c>
      <c r="BQ148" t="s">
        <v>74</v>
      </c>
      <c r="BR148" t="s">
        <v>103</v>
      </c>
      <c r="BS148" t="s">
        <v>3299</v>
      </c>
      <c r="BT148" t="str">
        <f>HYPERLINK("https%3A%2F%2Fwww.webofscience.com%2Fwos%2Fwoscc%2Ffull-record%2FWOS:000805647600024","View Full Record in Web of Science")</f>
        <v>View Full Record in Web of Science</v>
      </c>
    </row>
    <row r="149" spans="1:72" x14ac:dyDescent="0.15">
      <c r="A149" t="s">
        <v>72</v>
      </c>
      <c r="B149" t="s">
        <v>3300</v>
      </c>
      <c r="C149" t="s">
        <v>74</v>
      </c>
      <c r="D149" t="s">
        <v>74</v>
      </c>
      <c r="E149" t="s">
        <v>74</v>
      </c>
      <c r="F149" t="s">
        <v>3301</v>
      </c>
      <c r="G149" t="s">
        <v>74</v>
      </c>
      <c r="H149" t="s">
        <v>74</v>
      </c>
      <c r="I149" t="s">
        <v>3302</v>
      </c>
      <c r="J149" t="s">
        <v>692</v>
      </c>
      <c r="K149" t="s">
        <v>74</v>
      </c>
      <c r="L149" t="s">
        <v>74</v>
      </c>
      <c r="M149" t="s">
        <v>78</v>
      </c>
      <c r="N149" t="s">
        <v>79</v>
      </c>
      <c r="O149" t="s">
        <v>74</v>
      </c>
      <c r="P149" t="s">
        <v>74</v>
      </c>
      <c r="Q149" t="s">
        <v>74</v>
      </c>
      <c r="R149" t="s">
        <v>74</v>
      </c>
      <c r="S149" t="s">
        <v>74</v>
      </c>
      <c r="T149" t="s">
        <v>3303</v>
      </c>
      <c r="U149" t="s">
        <v>74</v>
      </c>
      <c r="V149" t="s">
        <v>3304</v>
      </c>
      <c r="W149" t="s">
        <v>3305</v>
      </c>
      <c r="X149" t="s">
        <v>3306</v>
      </c>
      <c r="Y149" t="s">
        <v>3307</v>
      </c>
      <c r="Z149" t="s">
        <v>3308</v>
      </c>
      <c r="AA149" t="s">
        <v>74</v>
      </c>
      <c r="AB149" t="s">
        <v>3309</v>
      </c>
      <c r="AC149" t="s">
        <v>3310</v>
      </c>
      <c r="AD149" t="s">
        <v>3310</v>
      </c>
      <c r="AE149" t="s">
        <v>3311</v>
      </c>
      <c r="AF149" t="s">
        <v>74</v>
      </c>
      <c r="AG149">
        <v>21</v>
      </c>
      <c r="AH149">
        <v>2</v>
      </c>
      <c r="AI149">
        <v>2</v>
      </c>
      <c r="AJ149">
        <v>2</v>
      </c>
      <c r="AK149">
        <v>19</v>
      </c>
      <c r="AL149" t="s">
        <v>428</v>
      </c>
      <c r="AM149" t="s">
        <v>531</v>
      </c>
      <c r="AN149" t="s">
        <v>748</v>
      </c>
      <c r="AO149" t="s">
        <v>703</v>
      </c>
      <c r="AP149" t="s">
        <v>704</v>
      </c>
      <c r="AQ149" t="s">
        <v>74</v>
      </c>
      <c r="AR149" t="s">
        <v>705</v>
      </c>
      <c r="AS149" t="s">
        <v>706</v>
      </c>
      <c r="AT149" t="s">
        <v>346</v>
      </c>
      <c r="AU149">
        <v>2022</v>
      </c>
      <c r="AV149">
        <v>34</v>
      </c>
      <c r="AW149">
        <v>4</v>
      </c>
      <c r="AX149" t="s">
        <v>74</v>
      </c>
      <c r="AY149" t="s">
        <v>74</v>
      </c>
      <c r="AZ149" t="s">
        <v>74</v>
      </c>
      <c r="BA149" t="s">
        <v>74</v>
      </c>
      <c r="BB149">
        <v>289</v>
      </c>
      <c r="BC149">
        <v>297</v>
      </c>
      <c r="BD149" t="s">
        <v>3312</v>
      </c>
      <c r="BE149" t="s">
        <v>3313</v>
      </c>
      <c r="BF149" t="str">
        <f>HYPERLINK("http://dx.doi.org/10.1017/S0954102022000074","http://dx.doi.org/10.1017/S0954102022000074")</f>
        <v>http://dx.doi.org/10.1017/S0954102022000074</v>
      </c>
      <c r="BG149" t="s">
        <v>74</v>
      </c>
      <c r="BH149" t="s">
        <v>3111</v>
      </c>
      <c r="BI149">
        <v>9</v>
      </c>
      <c r="BJ149" t="s">
        <v>708</v>
      </c>
      <c r="BK149" t="s">
        <v>101</v>
      </c>
      <c r="BL149" t="s">
        <v>709</v>
      </c>
      <c r="BM149" t="s">
        <v>710</v>
      </c>
      <c r="BN149" t="s">
        <v>74</v>
      </c>
      <c r="BO149" t="s">
        <v>74</v>
      </c>
      <c r="BP149" t="s">
        <v>74</v>
      </c>
      <c r="BQ149" t="s">
        <v>74</v>
      </c>
      <c r="BR149" t="s">
        <v>103</v>
      </c>
      <c r="BS149" t="s">
        <v>3314</v>
      </c>
      <c r="BT149" t="str">
        <f>HYPERLINK("https%3A%2F%2Fwww.webofscience.com%2Fwos%2Fwoscc%2Ffull-record%2FWOS:000802781900001","View Full Record in Web of Science")</f>
        <v>View Full Record in Web of Science</v>
      </c>
    </row>
    <row r="150" spans="1:72" x14ac:dyDescent="0.15">
      <c r="A150" t="s">
        <v>72</v>
      </c>
      <c r="B150" t="s">
        <v>3315</v>
      </c>
      <c r="C150" t="s">
        <v>74</v>
      </c>
      <c r="D150" t="s">
        <v>74</v>
      </c>
      <c r="E150" t="s">
        <v>74</v>
      </c>
      <c r="F150" t="s">
        <v>3316</v>
      </c>
      <c r="G150" t="s">
        <v>74</v>
      </c>
      <c r="H150" t="s">
        <v>74</v>
      </c>
      <c r="I150" t="s">
        <v>3317</v>
      </c>
      <c r="J150" t="s">
        <v>3318</v>
      </c>
      <c r="K150" t="s">
        <v>74</v>
      </c>
      <c r="L150" t="s">
        <v>74</v>
      </c>
      <c r="M150" t="s">
        <v>78</v>
      </c>
      <c r="N150" t="s">
        <v>79</v>
      </c>
      <c r="O150" t="s">
        <v>74</v>
      </c>
      <c r="P150" t="s">
        <v>74</v>
      </c>
      <c r="Q150" t="s">
        <v>74</v>
      </c>
      <c r="R150" t="s">
        <v>74</v>
      </c>
      <c r="S150" t="s">
        <v>74</v>
      </c>
      <c r="T150" t="s">
        <v>3319</v>
      </c>
      <c r="U150" t="s">
        <v>3320</v>
      </c>
      <c r="V150" t="s">
        <v>3321</v>
      </c>
      <c r="W150" t="s">
        <v>3322</v>
      </c>
      <c r="X150" t="s">
        <v>3323</v>
      </c>
      <c r="Y150" t="s">
        <v>3324</v>
      </c>
      <c r="Z150" t="s">
        <v>3325</v>
      </c>
      <c r="AA150" t="s">
        <v>3326</v>
      </c>
      <c r="AB150" t="s">
        <v>3327</v>
      </c>
      <c r="AC150" t="s">
        <v>3328</v>
      </c>
      <c r="AD150" t="s">
        <v>3328</v>
      </c>
      <c r="AE150" t="s">
        <v>3329</v>
      </c>
      <c r="AF150" t="s">
        <v>74</v>
      </c>
      <c r="AG150">
        <v>31</v>
      </c>
      <c r="AH150">
        <v>1</v>
      </c>
      <c r="AI150">
        <v>1</v>
      </c>
      <c r="AJ150">
        <v>0</v>
      </c>
      <c r="AK150">
        <v>0</v>
      </c>
      <c r="AL150" t="s">
        <v>91</v>
      </c>
      <c r="AM150" t="s">
        <v>92</v>
      </c>
      <c r="AN150" t="s">
        <v>93</v>
      </c>
      <c r="AO150" t="s">
        <v>3330</v>
      </c>
      <c r="AP150" t="s">
        <v>3331</v>
      </c>
      <c r="AQ150" t="s">
        <v>74</v>
      </c>
      <c r="AR150" t="s">
        <v>3332</v>
      </c>
      <c r="AS150" t="s">
        <v>3333</v>
      </c>
      <c r="AT150" t="s">
        <v>150</v>
      </c>
      <c r="AU150">
        <v>2022</v>
      </c>
      <c r="AV150">
        <v>45</v>
      </c>
      <c r="AW150">
        <v>9</v>
      </c>
      <c r="AX150" t="s">
        <v>74</v>
      </c>
      <c r="AY150" t="s">
        <v>74</v>
      </c>
      <c r="AZ150" t="s">
        <v>74</v>
      </c>
      <c r="BA150" t="s">
        <v>74</v>
      </c>
      <c r="BB150">
        <v>1281</v>
      </c>
      <c r="BC150">
        <v>1287</v>
      </c>
      <c r="BD150" t="s">
        <v>74</v>
      </c>
      <c r="BE150" t="s">
        <v>3334</v>
      </c>
      <c r="BF150" t="str">
        <f>HYPERLINK("http://dx.doi.org/10.1111/jfd.13660","http://dx.doi.org/10.1111/jfd.13660")</f>
        <v>http://dx.doi.org/10.1111/jfd.13660</v>
      </c>
      <c r="BG150" t="s">
        <v>74</v>
      </c>
      <c r="BH150" t="s">
        <v>3111</v>
      </c>
      <c r="BI150">
        <v>7</v>
      </c>
      <c r="BJ150" t="s">
        <v>3335</v>
      </c>
      <c r="BK150" t="s">
        <v>101</v>
      </c>
      <c r="BL150" t="s">
        <v>3335</v>
      </c>
      <c r="BM150" t="s">
        <v>3336</v>
      </c>
      <c r="BN150">
        <v>35638101</v>
      </c>
      <c r="BO150" t="s">
        <v>74</v>
      </c>
      <c r="BP150" t="s">
        <v>74</v>
      </c>
      <c r="BQ150" t="s">
        <v>74</v>
      </c>
      <c r="BR150" t="s">
        <v>103</v>
      </c>
      <c r="BS150" t="s">
        <v>3337</v>
      </c>
      <c r="BT150" t="str">
        <f>HYPERLINK("https%3A%2F%2Fwww.webofscience.com%2Fwos%2Fwoscc%2Ffull-record%2FWOS:000802784000001","View Full Record in Web of Science")</f>
        <v>View Full Record in Web of Science</v>
      </c>
    </row>
    <row r="151" spans="1:72" x14ac:dyDescent="0.15">
      <c r="A151" t="s">
        <v>72</v>
      </c>
      <c r="B151" t="s">
        <v>3338</v>
      </c>
      <c r="C151" t="s">
        <v>74</v>
      </c>
      <c r="D151" t="s">
        <v>74</v>
      </c>
      <c r="E151" t="s">
        <v>74</v>
      </c>
      <c r="F151" t="s">
        <v>3339</v>
      </c>
      <c r="G151" t="s">
        <v>74</v>
      </c>
      <c r="H151" t="s">
        <v>74</v>
      </c>
      <c r="I151" t="s">
        <v>3340</v>
      </c>
      <c r="J151" t="s">
        <v>108</v>
      </c>
      <c r="K151" t="s">
        <v>74</v>
      </c>
      <c r="L151" t="s">
        <v>74</v>
      </c>
      <c r="M151" t="s">
        <v>78</v>
      </c>
      <c r="N151" t="s">
        <v>79</v>
      </c>
      <c r="O151" t="s">
        <v>74</v>
      </c>
      <c r="P151" t="s">
        <v>74</v>
      </c>
      <c r="Q151" t="s">
        <v>74</v>
      </c>
      <c r="R151" t="s">
        <v>74</v>
      </c>
      <c r="S151" t="s">
        <v>74</v>
      </c>
      <c r="T151" t="s">
        <v>74</v>
      </c>
      <c r="U151" t="s">
        <v>3341</v>
      </c>
      <c r="V151" t="s">
        <v>3342</v>
      </c>
      <c r="W151" t="s">
        <v>3343</v>
      </c>
      <c r="X151" t="s">
        <v>3344</v>
      </c>
      <c r="Y151" t="s">
        <v>3345</v>
      </c>
      <c r="Z151" t="s">
        <v>3346</v>
      </c>
      <c r="AA151" t="s">
        <v>3347</v>
      </c>
      <c r="AB151" t="s">
        <v>3348</v>
      </c>
      <c r="AC151" t="s">
        <v>3349</v>
      </c>
      <c r="AD151" t="s">
        <v>3350</v>
      </c>
      <c r="AE151" t="s">
        <v>3351</v>
      </c>
      <c r="AF151" t="s">
        <v>74</v>
      </c>
      <c r="AG151">
        <v>76</v>
      </c>
      <c r="AH151">
        <v>2</v>
      </c>
      <c r="AI151">
        <v>2</v>
      </c>
      <c r="AJ151">
        <v>3</v>
      </c>
      <c r="AK151">
        <v>4</v>
      </c>
      <c r="AL151" t="s">
        <v>117</v>
      </c>
      <c r="AM151" t="s">
        <v>118</v>
      </c>
      <c r="AN151" t="s">
        <v>119</v>
      </c>
      <c r="AO151" t="s">
        <v>120</v>
      </c>
      <c r="AP151" t="s">
        <v>121</v>
      </c>
      <c r="AQ151" t="s">
        <v>74</v>
      </c>
      <c r="AR151" t="s">
        <v>108</v>
      </c>
      <c r="AS151" t="s">
        <v>122</v>
      </c>
      <c r="AT151" t="s">
        <v>3295</v>
      </c>
      <c r="AU151">
        <v>2022</v>
      </c>
      <c r="AV151">
        <v>16</v>
      </c>
      <c r="AW151">
        <v>5</v>
      </c>
      <c r="AX151" t="s">
        <v>74</v>
      </c>
      <c r="AY151" t="s">
        <v>74</v>
      </c>
      <c r="AZ151" t="s">
        <v>74</v>
      </c>
      <c r="BA151" t="s">
        <v>74</v>
      </c>
      <c r="BB151">
        <v>2051</v>
      </c>
      <c r="BC151">
        <v>2066</v>
      </c>
      <c r="BD151" t="s">
        <v>74</v>
      </c>
      <c r="BE151" t="s">
        <v>3352</v>
      </c>
      <c r="BF151" t="str">
        <f>HYPERLINK("http://dx.doi.org/10.5194/tc-16-2051-2022","http://dx.doi.org/10.5194/tc-16-2051-2022")</f>
        <v>http://dx.doi.org/10.5194/tc-16-2051-2022</v>
      </c>
      <c r="BG151" t="s">
        <v>74</v>
      </c>
      <c r="BH151" t="s">
        <v>74</v>
      </c>
      <c r="BI151">
        <v>16</v>
      </c>
      <c r="BJ151" t="s">
        <v>125</v>
      </c>
      <c r="BK151" t="s">
        <v>101</v>
      </c>
      <c r="BL151" t="s">
        <v>126</v>
      </c>
      <c r="BM151" t="s">
        <v>3353</v>
      </c>
      <c r="BN151" t="s">
        <v>74</v>
      </c>
      <c r="BO151" t="s">
        <v>3354</v>
      </c>
      <c r="BP151" t="s">
        <v>74</v>
      </c>
      <c r="BQ151" t="s">
        <v>74</v>
      </c>
      <c r="BR151" t="s">
        <v>103</v>
      </c>
      <c r="BS151" t="s">
        <v>3355</v>
      </c>
      <c r="BT151" t="str">
        <f>HYPERLINK("https%3A%2F%2Fwww.webofscience.com%2Fwos%2Fwoscc%2Ffull-record%2FWOS:000802161300001","View Full Record in Web of Science")</f>
        <v>View Full Record in Web of Science</v>
      </c>
    </row>
    <row r="152" spans="1:72" x14ac:dyDescent="0.15">
      <c r="A152" t="s">
        <v>72</v>
      </c>
      <c r="B152" t="s">
        <v>3356</v>
      </c>
      <c r="C152" t="s">
        <v>74</v>
      </c>
      <c r="D152" t="s">
        <v>74</v>
      </c>
      <c r="E152" t="s">
        <v>74</v>
      </c>
      <c r="F152" t="s">
        <v>3357</v>
      </c>
      <c r="G152" t="s">
        <v>74</v>
      </c>
      <c r="H152" t="s">
        <v>74</v>
      </c>
      <c r="I152" t="s">
        <v>3358</v>
      </c>
      <c r="J152" t="s">
        <v>415</v>
      </c>
      <c r="K152" t="s">
        <v>74</v>
      </c>
      <c r="L152" t="s">
        <v>74</v>
      </c>
      <c r="M152" t="s">
        <v>78</v>
      </c>
      <c r="N152" t="s">
        <v>79</v>
      </c>
      <c r="O152" t="s">
        <v>74</v>
      </c>
      <c r="P152" t="s">
        <v>74</v>
      </c>
      <c r="Q152" t="s">
        <v>74</v>
      </c>
      <c r="R152" t="s">
        <v>74</v>
      </c>
      <c r="S152" t="s">
        <v>74</v>
      </c>
      <c r="T152" t="s">
        <v>3359</v>
      </c>
      <c r="U152" t="s">
        <v>3360</v>
      </c>
      <c r="V152" t="s">
        <v>3361</v>
      </c>
      <c r="W152" t="s">
        <v>3362</v>
      </c>
      <c r="X152" t="s">
        <v>3363</v>
      </c>
      <c r="Y152" t="s">
        <v>3364</v>
      </c>
      <c r="Z152" t="s">
        <v>3365</v>
      </c>
      <c r="AA152" t="s">
        <v>3366</v>
      </c>
      <c r="AB152" t="s">
        <v>3367</v>
      </c>
      <c r="AC152" t="s">
        <v>3368</v>
      </c>
      <c r="AD152" t="s">
        <v>3369</v>
      </c>
      <c r="AE152" t="s">
        <v>3370</v>
      </c>
      <c r="AF152" t="s">
        <v>74</v>
      </c>
      <c r="AG152">
        <v>48</v>
      </c>
      <c r="AH152">
        <v>3</v>
      </c>
      <c r="AI152">
        <v>3</v>
      </c>
      <c r="AJ152">
        <v>5</v>
      </c>
      <c r="AK152">
        <v>10</v>
      </c>
      <c r="AL152" t="s">
        <v>428</v>
      </c>
      <c r="AM152" t="s">
        <v>174</v>
      </c>
      <c r="AN152" t="s">
        <v>429</v>
      </c>
      <c r="AO152" t="s">
        <v>430</v>
      </c>
      <c r="AP152" t="s">
        <v>431</v>
      </c>
      <c r="AQ152" t="s">
        <v>74</v>
      </c>
      <c r="AR152" t="s">
        <v>432</v>
      </c>
      <c r="AS152" t="s">
        <v>433</v>
      </c>
      <c r="AT152" t="s">
        <v>97</v>
      </c>
      <c r="AU152">
        <v>2022</v>
      </c>
      <c r="AV152">
        <v>68</v>
      </c>
      <c r="AW152">
        <v>272</v>
      </c>
      <c r="AX152" t="s">
        <v>74</v>
      </c>
      <c r="AY152" t="s">
        <v>74</v>
      </c>
      <c r="AZ152" t="s">
        <v>74</v>
      </c>
      <c r="BA152" t="s">
        <v>74</v>
      </c>
      <c r="BB152">
        <v>1234</v>
      </c>
      <c r="BC152">
        <v>1242</v>
      </c>
      <c r="BD152" t="s">
        <v>74</v>
      </c>
      <c r="BE152" t="s">
        <v>3371</v>
      </c>
      <c r="BF152" t="str">
        <f>HYPERLINK("http://dx.doi.org/10.1017/jog.2022.40","http://dx.doi.org/10.1017/jog.2022.40")</f>
        <v>http://dx.doi.org/10.1017/jog.2022.40</v>
      </c>
      <c r="BG152" t="s">
        <v>74</v>
      </c>
      <c r="BH152" t="s">
        <v>3111</v>
      </c>
      <c r="BI152">
        <v>9</v>
      </c>
      <c r="BJ152" t="s">
        <v>125</v>
      </c>
      <c r="BK152" t="s">
        <v>101</v>
      </c>
      <c r="BL152" t="s">
        <v>126</v>
      </c>
      <c r="BM152" t="s">
        <v>3372</v>
      </c>
      <c r="BN152" t="s">
        <v>74</v>
      </c>
      <c r="BO152" t="s">
        <v>3373</v>
      </c>
      <c r="BP152" t="s">
        <v>74</v>
      </c>
      <c r="BQ152" t="s">
        <v>74</v>
      </c>
      <c r="BR152" t="s">
        <v>103</v>
      </c>
      <c r="BS152" t="s">
        <v>3374</v>
      </c>
      <c r="BT152" t="str">
        <f>HYPERLINK("https%3A%2F%2Fwww.webofscience.com%2Fwos%2Fwoscc%2Ffull-record%2FWOS:000802030500001","View Full Record in Web of Science")</f>
        <v>View Full Record in Web of Science</v>
      </c>
    </row>
    <row r="153" spans="1:72" x14ac:dyDescent="0.15">
      <c r="A153" t="s">
        <v>72</v>
      </c>
      <c r="B153" t="s">
        <v>3375</v>
      </c>
      <c r="C153" t="s">
        <v>74</v>
      </c>
      <c r="D153" t="s">
        <v>74</v>
      </c>
      <c r="E153" t="s">
        <v>74</v>
      </c>
      <c r="F153" t="s">
        <v>3376</v>
      </c>
      <c r="G153" t="s">
        <v>74</v>
      </c>
      <c r="H153" t="s">
        <v>74</v>
      </c>
      <c r="I153" t="s">
        <v>3377</v>
      </c>
      <c r="J153" t="s">
        <v>3378</v>
      </c>
      <c r="K153" t="s">
        <v>74</v>
      </c>
      <c r="L153" t="s">
        <v>74</v>
      </c>
      <c r="M153" t="s">
        <v>78</v>
      </c>
      <c r="N153" t="s">
        <v>79</v>
      </c>
      <c r="O153" t="s">
        <v>74</v>
      </c>
      <c r="P153" t="s">
        <v>74</v>
      </c>
      <c r="Q153" t="s">
        <v>74</v>
      </c>
      <c r="R153" t="s">
        <v>74</v>
      </c>
      <c r="S153" t="s">
        <v>74</v>
      </c>
      <c r="T153" t="s">
        <v>3379</v>
      </c>
      <c r="U153" t="s">
        <v>3380</v>
      </c>
      <c r="V153" t="s">
        <v>3381</v>
      </c>
      <c r="W153" t="s">
        <v>3382</v>
      </c>
      <c r="X153" t="s">
        <v>3383</v>
      </c>
      <c r="Y153" t="s">
        <v>3384</v>
      </c>
      <c r="Z153" t="s">
        <v>3385</v>
      </c>
      <c r="AA153" t="s">
        <v>3386</v>
      </c>
      <c r="AB153" t="s">
        <v>3387</v>
      </c>
      <c r="AC153" t="s">
        <v>3388</v>
      </c>
      <c r="AD153" t="s">
        <v>3389</v>
      </c>
      <c r="AE153" t="s">
        <v>3390</v>
      </c>
      <c r="AF153" t="s">
        <v>74</v>
      </c>
      <c r="AG153">
        <v>143</v>
      </c>
      <c r="AH153">
        <v>3</v>
      </c>
      <c r="AI153">
        <v>3</v>
      </c>
      <c r="AJ153">
        <v>1</v>
      </c>
      <c r="AK153">
        <v>5</v>
      </c>
      <c r="AL153" t="s">
        <v>257</v>
      </c>
      <c r="AM153" t="s">
        <v>258</v>
      </c>
      <c r="AN153" t="s">
        <v>259</v>
      </c>
      <c r="AO153" t="s">
        <v>3391</v>
      </c>
      <c r="AP153" t="s">
        <v>3392</v>
      </c>
      <c r="AQ153" t="s">
        <v>74</v>
      </c>
      <c r="AR153" t="s">
        <v>3393</v>
      </c>
      <c r="AS153" t="s">
        <v>3394</v>
      </c>
      <c r="AT153" t="s">
        <v>206</v>
      </c>
      <c r="AU153">
        <v>2022</v>
      </c>
      <c r="AV153">
        <v>449</v>
      </c>
      <c r="AW153" t="s">
        <v>74</v>
      </c>
      <c r="AX153" t="s">
        <v>74</v>
      </c>
      <c r="AY153" t="s">
        <v>74</v>
      </c>
      <c r="AZ153" t="s">
        <v>74</v>
      </c>
      <c r="BA153" t="s">
        <v>74</v>
      </c>
      <c r="BB153" t="s">
        <v>74</v>
      </c>
      <c r="BC153" t="s">
        <v>74</v>
      </c>
      <c r="BD153">
        <v>106835</v>
      </c>
      <c r="BE153" t="s">
        <v>3395</v>
      </c>
      <c r="BF153" t="str">
        <f>HYPERLINK("http://dx.doi.org/10.1016/j.margeo.2022.106835","http://dx.doi.org/10.1016/j.margeo.2022.106835")</f>
        <v>http://dx.doi.org/10.1016/j.margeo.2022.106835</v>
      </c>
      <c r="BG153" t="s">
        <v>74</v>
      </c>
      <c r="BH153" t="s">
        <v>3111</v>
      </c>
      <c r="BI153">
        <v>26</v>
      </c>
      <c r="BJ153" t="s">
        <v>3396</v>
      </c>
      <c r="BK153" t="s">
        <v>101</v>
      </c>
      <c r="BL153" t="s">
        <v>3397</v>
      </c>
      <c r="BM153" t="s">
        <v>3398</v>
      </c>
      <c r="BN153" t="s">
        <v>74</v>
      </c>
      <c r="BO153" t="s">
        <v>74</v>
      </c>
      <c r="BP153" t="s">
        <v>74</v>
      </c>
      <c r="BQ153" t="s">
        <v>74</v>
      </c>
      <c r="BR153" t="s">
        <v>103</v>
      </c>
      <c r="BS153" t="s">
        <v>3399</v>
      </c>
      <c r="BT153" t="str">
        <f>HYPERLINK("https%3A%2F%2Fwww.webofscience.com%2Fwos%2Fwoscc%2Ffull-record%2FWOS:000813396900001","View Full Record in Web of Science")</f>
        <v>View Full Record in Web of Science</v>
      </c>
    </row>
    <row r="154" spans="1:72" x14ac:dyDescent="0.15">
      <c r="A154" t="s">
        <v>72</v>
      </c>
      <c r="B154" t="s">
        <v>3400</v>
      </c>
      <c r="C154" t="s">
        <v>74</v>
      </c>
      <c r="D154" t="s">
        <v>74</v>
      </c>
      <c r="E154" t="s">
        <v>74</v>
      </c>
      <c r="F154" t="s">
        <v>3401</v>
      </c>
      <c r="G154" t="s">
        <v>74</v>
      </c>
      <c r="H154" t="s">
        <v>74</v>
      </c>
      <c r="I154" t="s">
        <v>3402</v>
      </c>
      <c r="J154" t="s">
        <v>517</v>
      </c>
      <c r="K154" t="s">
        <v>74</v>
      </c>
      <c r="L154" t="s">
        <v>74</v>
      </c>
      <c r="M154" t="s">
        <v>78</v>
      </c>
      <c r="N154" t="s">
        <v>79</v>
      </c>
      <c r="O154" t="s">
        <v>74</v>
      </c>
      <c r="P154" t="s">
        <v>74</v>
      </c>
      <c r="Q154" t="s">
        <v>74</v>
      </c>
      <c r="R154" t="s">
        <v>74</v>
      </c>
      <c r="S154" t="s">
        <v>74</v>
      </c>
      <c r="T154" t="s">
        <v>3403</v>
      </c>
      <c r="U154" t="s">
        <v>3404</v>
      </c>
      <c r="V154" t="s">
        <v>3405</v>
      </c>
      <c r="W154" t="s">
        <v>3406</v>
      </c>
      <c r="X154" t="s">
        <v>3407</v>
      </c>
      <c r="Y154" t="s">
        <v>3408</v>
      </c>
      <c r="Z154" t="s">
        <v>3409</v>
      </c>
      <c r="AA154" t="s">
        <v>74</v>
      </c>
      <c r="AB154" t="s">
        <v>3410</v>
      </c>
      <c r="AC154" t="s">
        <v>3411</v>
      </c>
      <c r="AD154" t="s">
        <v>3412</v>
      </c>
      <c r="AE154" t="s">
        <v>3413</v>
      </c>
      <c r="AF154" t="s">
        <v>74</v>
      </c>
      <c r="AG154">
        <v>61</v>
      </c>
      <c r="AH154">
        <v>1</v>
      </c>
      <c r="AI154">
        <v>1</v>
      </c>
      <c r="AJ154">
        <v>3</v>
      </c>
      <c r="AK154">
        <v>10</v>
      </c>
      <c r="AL154" t="s">
        <v>530</v>
      </c>
      <c r="AM154" t="s">
        <v>531</v>
      </c>
      <c r="AN154" t="s">
        <v>532</v>
      </c>
      <c r="AO154" t="s">
        <v>533</v>
      </c>
      <c r="AP154" t="s">
        <v>534</v>
      </c>
      <c r="AQ154" t="s">
        <v>74</v>
      </c>
      <c r="AR154" t="s">
        <v>535</v>
      </c>
      <c r="AS154" t="s">
        <v>536</v>
      </c>
      <c r="AT154" t="s">
        <v>537</v>
      </c>
      <c r="AU154">
        <v>2022</v>
      </c>
      <c r="AV154">
        <v>45</v>
      </c>
      <c r="AW154">
        <v>6</v>
      </c>
      <c r="AX154" t="s">
        <v>74</v>
      </c>
      <c r="AY154" t="s">
        <v>74</v>
      </c>
      <c r="AZ154" t="s">
        <v>74</v>
      </c>
      <c r="BA154" t="s">
        <v>74</v>
      </c>
      <c r="BB154">
        <v>999</v>
      </c>
      <c r="BC154">
        <v>1011</v>
      </c>
      <c r="BD154" t="s">
        <v>74</v>
      </c>
      <c r="BE154" t="s">
        <v>3414</v>
      </c>
      <c r="BF154" t="str">
        <f>HYPERLINK("http://dx.doi.org/10.1007/s00300-022-03051-2","http://dx.doi.org/10.1007/s00300-022-03051-2")</f>
        <v>http://dx.doi.org/10.1007/s00300-022-03051-2</v>
      </c>
      <c r="BG154" t="s">
        <v>74</v>
      </c>
      <c r="BH154" t="s">
        <v>3111</v>
      </c>
      <c r="BI154">
        <v>13</v>
      </c>
      <c r="BJ154" t="s">
        <v>539</v>
      </c>
      <c r="BK154" t="s">
        <v>101</v>
      </c>
      <c r="BL154" t="s">
        <v>540</v>
      </c>
      <c r="BM154" t="s">
        <v>541</v>
      </c>
      <c r="BN154" t="s">
        <v>74</v>
      </c>
      <c r="BO154" t="s">
        <v>74</v>
      </c>
      <c r="BP154" t="s">
        <v>74</v>
      </c>
      <c r="BQ154" t="s">
        <v>74</v>
      </c>
      <c r="BR154" t="s">
        <v>103</v>
      </c>
      <c r="BS154" t="s">
        <v>3415</v>
      </c>
      <c r="BT154" t="str">
        <f>HYPERLINK("https%3A%2F%2Fwww.webofscience.com%2Fwos%2Fwoscc%2Ffull-record%2FWOS:000802034900001","View Full Record in Web of Science")</f>
        <v>View Full Record in Web of Science</v>
      </c>
    </row>
    <row r="155" spans="1:72" x14ac:dyDescent="0.15">
      <c r="A155" t="s">
        <v>72</v>
      </c>
      <c r="B155" t="s">
        <v>3416</v>
      </c>
      <c r="C155" t="s">
        <v>74</v>
      </c>
      <c r="D155" t="s">
        <v>74</v>
      </c>
      <c r="E155" t="s">
        <v>74</v>
      </c>
      <c r="F155" t="s">
        <v>3417</v>
      </c>
      <c r="G155" t="s">
        <v>74</v>
      </c>
      <c r="H155" t="s">
        <v>74</v>
      </c>
      <c r="I155" t="s">
        <v>3418</v>
      </c>
      <c r="J155" t="s">
        <v>3419</v>
      </c>
      <c r="K155" t="s">
        <v>74</v>
      </c>
      <c r="L155" t="s">
        <v>74</v>
      </c>
      <c r="M155" t="s">
        <v>78</v>
      </c>
      <c r="N155" t="s">
        <v>79</v>
      </c>
      <c r="O155" t="s">
        <v>74</v>
      </c>
      <c r="P155" t="s">
        <v>74</v>
      </c>
      <c r="Q155" t="s">
        <v>74</v>
      </c>
      <c r="R155" t="s">
        <v>74</v>
      </c>
      <c r="S155" t="s">
        <v>74</v>
      </c>
      <c r="T155" t="s">
        <v>3420</v>
      </c>
      <c r="U155" t="s">
        <v>3421</v>
      </c>
      <c r="V155" t="s">
        <v>3422</v>
      </c>
      <c r="W155" t="s">
        <v>3423</v>
      </c>
      <c r="X155" t="s">
        <v>3424</v>
      </c>
      <c r="Y155" t="s">
        <v>3425</v>
      </c>
      <c r="Z155" t="s">
        <v>3426</v>
      </c>
      <c r="AA155" t="s">
        <v>3427</v>
      </c>
      <c r="AB155" t="s">
        <v>3428</v>
      </c>
      <c r="AC155" t="s">
        <v>3429</v>
      </c>
      <c r="AD155" t="s">
        <v>3430</v>
      </c>
      <c r="AE155" t="s">
        <v>3431</v>
      </c>
      <c r="AF155" t="s">
        <v>74</v>
      </c>
      <c r="AG155">
        <v>55</v>
      </c>
      <c r="AH155">
        <v>18</v>
      </c>
      <c r="AI155">
        <v>19</v>
      </c>
      <c r="AJ155">
        <v>10</v>
      </c>
      <c r="AK155">
        <v>31</v>
      </c>
      <c r="AL155" t="s">
        <v>2042</v>
      </c>
      <c r="AM155" t="s">
        <v>2043</v>
      </c>
      <c r="AN155" t="s">
        <v>2044</v>
      </c>
      <c r="AO155" t="s">
        <v>3432</v>
      </c>
      <c r="AP155" t="s">
        <v>3433</v>
      </c>
      <c r="AQ155" t="s">
        <v>74</v>
      </c>
      <c r="AR155" t="s">
        <v>3434</v>
      </c>
      <c r="AS155" t="s">
        <v>3435</v>
      </c>
      <c r="AT155" t="s">
        <v>3436</v>
      </c>
      <c r="AU155">
        <v>2022</v>
      </c>
      <c r="AV155">
        <v>49</v>
      </c>
      <c r="AW155">
        <v>10</v>
      </c>
      <c r="AX155" t="s">
        <v>74</v>
      </c>
      <c r="AY155" t="s">
        <v>74</v>
      </c>
      <c r="AZ155" t="s">
        <v>74</v>
      </c>
      <c r="BA155" t="s">
        <v>74</v>
      </c>
      <c r="BB155" t="s">
        <v>74</v>
      </c>
      <c r="BC155" t="s">
        <v>74</v>
      </c>
      <c r="BD155" t="s">
        <v>3437</v>
      </c>
      <c r="BE155" t="s">
        <v>3438</v>
      </c>
      <c r="BF155" t="str">
        <f>HYPERLINK("http://dx.doi.org/10.1029/2022GL098064","http://dx.doi.org/10.1029/2022GL098064")</f>
        <v>http://dx.doi.org/10.1029/2022GL098064</v>
      </c>
      <c r="BG155" t="s">
        <v>74</v>
      </c>
      <c r="BH155" t="s">
        <v>74</v>
      </c>
      <c r="BI155">
        <v>9</v>
      </c>
      <c r="BJ155" t="s">
        <v>265</v>
      </c>
      <c r="BK155" t="s">
        <v>101</v>
      </c>
      <c r="BL155" t="s">
        <v>100</v>
      </c>
      <c r="BM155" t="s">
        <v>3439</v>
      </c>
      <c r="BN155" t="s">
        <v>74</v>
      </c>
      <c r="BO155" t="s">
        <v>74</v>
      </c>
      <c r="BP155" t="s">
        <v>74</v>
      </c>
      <c r="BQ155" t="s">
        <v>74</v>
      </c>
      <c r="BR155" t="s">
        <v>103</v>
      </c>
      <c r="BS155" t="s">
        <v>3440</v>
      </c>
      <c r="BT155" t="str">
        <f>HYPERLINK("https%3A%2F%2Fwww.webofscience.com%2Fwos%2Fwoscc%2Ffull-record%2FWOS:000802856000001","View Full Record in Web of Science")</f>
        <v>View Full Record in Web of Science</v>
      </c>
    </row>
    <row r="156" spans="1:72" x14ac:dyDescent="0.15">
      <c r="A156" t="s">
        <v>72</v>
      </c>
      <c r="B156" t="s">
        <v>3441</v>
      </c>
      <c r="C156" t="s">
        <v>74</v>
      </c>
      <c r="D156" t="s">
        <v>74</v>
      </c>
      <c r="E156" t="s">
        <v>74</v>
      </c>
      <c r="F156" t="s">
        <v>3442</v>
      </c>
      <c r="G156" t="s">
        <v>74</v>
      </c>
      <c r="H156" t="s">
        <v>74</v>
      </c>
      <c r="I156" t="s">
        <v>3443</v>
      </c>
      <c r="J156" t="s">
        <v>1110</v>
      </c>
      <c r="K156" t="s">
        <v>74</v>
      </c>
      <c r="L156" t="s">
        <v>74</v>
      </c>
      <c r="M156" t="s">
        <v>78</v>
      </c>
      <c r="N156" t="s">
        <v>79</v>
      </c>
      <c r="O156" t="s">
        <v>74</v>
      </c>
      <c r="P156" t="s">
        <v>74</v>
      </c>
      <c r="Q156" t="s">
        <v>74</v>
      </c>
      <c r="R156" t="s">
        <v>74</v>
      </c>
      <c r="S156" t="s">
        <v>74</v>
      </c>
      <c r="T156" t="s">
        <v>3444</v>
      </c>
      <c r="U156" t="s">
        <v>3445</v>
      </c>
      <c r="V156" t="s">
        <v>3446</v>
      </c>
      <c r="W156" t="s">
        <v>3447</v>
      </c>
      <c r="X156" t="s">
        <v>3448</v>
      </c>
      <c r="Y156" t="s">
        <v>3449</v>
      </c>
      <c r="Z156" t="s">
        <v>3450</v>
      </c>
      <c r="AA156" t="s">
        <v>3451</v>
      </c>
      <c r="AB156" t="s">
        <v>74</v>
      </c>
      <c r="AC156" t="s">
        <v>3452</v>
      </c>
      <c r="AD156" t="s">
        <v>3452</v>
      </c>
      <c r="AE156" t="s">
        <v>3453</v>
      </c>
      <c r="AF156" t="s">
        <v>74</v>
      </c>
      <c r="AG156">
        <v>47</v>
      </c>
      <c r="AH156">
        <v>5</v>
      </c>
      <c r="AI156">
        <v>6</v>
      </c>
      <c r="AJ156">
        <v>6</v>
      </c>
      <c r="AK156">
        <v>22</v>
      </c>
      <c r="AL156" t="s">
        <v>530</v>
      </c>
      <c r="AM156" t="s">
        <v>1121</v>
      </c>
      <c r="AN156" t="s">
        <v>1122</v>
      </c>
      <c r="AO156" t="s">
        <v>1123</v>
      </c>
      <c r="AP156" t="s">
        <v>1124</v>
      </c>
      <c r="AQ156" t="s">
        <v>74</v>
      </c>
      <c r="AR156" t="s">
        <v>1125</v>
      </c>
      <c r="AS156" t="s">
        <v>1126</v>
      </c>
      <c r="AT156" t="s">
        <v>346</v>
      </c>
      <c r="AU156">
        <v>2022</v>
      </c>
      <c r="AV156">
        <v>34</v>
      </c>
      <c r="AW156">
        <v>4</v>
      </c>
      <c r="AX156" t="s">
        <v>74</v>
      </c>
      <c r="AY156" t="s">
        <v>74</v>
      </c>
      <c r="AZ156" t="s">
        <v>74</v>
      </c>
      <c r="BA156" t="s">
        <v>74</v>
      </c>
      <c r="BB156">
        <v>2135</v>
      </c>
      <c r="BC156">
        <v>2144</v>
      </c>
      <c r="BD156" t="s">
        <v>74</v>
      </c>
      <c r="BE156" t="s">
        <v>3454</v>
      </c>
      <c r="BF156" t="str">
        <f>HYPERLINK("http://dx.doi.org/10.1007/s10811-022-02763-6","http://dx.doi.org/10.1007/s10811-022-02763-6")</f>
        <v>http://dx.doi.org/10.1007/s10811-022-02763-6</v>
      </c>
      <c r="BG156" t="s">
        <v>74</v>
      </c>
      <c r="BH156" t="s">
        <v>3111</v>
      </c>
      <c r="BI156">
        <v>10</v>
      </c>
      <c r="BJ156" t="s">
        <v>1128</v>
      </c>
      <c r="BK156" t="s">
        <v>101</v>
      </c>
      <c r="BL156" t="s">
        <v>1128</v>
      </c>
      <c r="BM156" t="s">
        <v>1129</v>
      </c>
      <c r="BN156" t="s">
        <v>74</v>
      </c>
      <c r="BO156" t="s">
        <v>324</v>
      </c>
      <c r="BP156" t="s">
        <v>74</v>
      </c>
      <c r="BQ156" t="s">
        <v>74</v>
      </c>
      <c r="BR156" t="s">
        <v>103</v>
      </c>
      <c r="BS156" t="s">
        <v>3455</v>
      </c>
      <c r="BT156" t="str">
        <f>HYPERLINK("https%3A%2F%2Fwww.webofscience.com%2Fwos%2Fwoscc%2Ffull-record%2FWOS:000801132800001","View Full Record in Web of Science")</f>
        <v>View Full Record in Web of Science</v>
      </c>
    </row>
    <row r="157" spans="1:72" x14ac:dyDescent="0.15">
      <c r="A157" t="s">
        <v>72</v>
      </c>
      <c r="B157" t="s">
        <v>3456</v>
      </c>
      <c r="C157" t="s">
        <v>74</v>
      </c>
      <c r="D157" t="s">
        <v>74</v>
      </c>
      <c r="E157" t="s">
        <v>74</v>
      </c>
      <c r="F157" t="s">
        <v>3457</v>
      </c>
      <c r="G157" t="s">
        <v>74</v>
      </c>
      <c r="H157" t="s">
        <v>74</v>
      </c>
      <c r="I157" t="s">
        <v>3458</v>
      </c>
      <c r="J157" t="s">
        <v>3419</v>
      </c>
      <c r="K157" t="s">
        <v>74</v>
      </c>
      <c r="L157" t="s">
        <v>74</v>
      </c>
      <c r="M157" t="s">
        <v>78</v>
      </c>
      <c r="N157" t="s">
        <v>79</v>
      </c>
      <c r="O157" t="s">
        <v>74</v>
      </c>
      <c r="P157" t="s">
        <v>74</v>
      </c>
      <c r="Q157" t="s">
        <v>74</v>
      </c>
      <c r="R157" t="s">
        <v>74</v>
      </c>
      <c r="S157" t="s">
        <v>74</v>
      </c>
      <c r="T157" t="s">
        <v>3459</v>
      </c>
      <c r="U157" t="s">
        <v>3460</v>
      </c>
      <c r="V157" t="s">
        <v>3461</v>
      </c>
      <c r="W157" t="s">
        <v>3462</v>
      </c>
      <c r="X157" t="s">
        <v>3179</v>
      </c>
      <c r="Y157" t="s">
        <v>3463</v>
      </c>
      <c r="Z157" t="s">
        <v>3464</v>
      </c>
      <c r="AA157" t="s">
        <v>3465</v>
      </c>
      <c r="AB157" t="s">
        <v>3466</v>
      </c>
      <c r="AC157" t="s">
        <v>3467</v>
      </c>
      <c r="AD157" t="s">
        <v>3468</v>
      </c>
      <c r="AE157" t="s">
        <v>3469</v>
      </c>
      <c r="AF157" t="s">
        <v>74</v>
      </c>
      <c r="AG157">
        <v>40</v>
      </c>
      <c r="AH157">
        <v>5</v>
      </c>
      <c r="AI157">
        <v>5</v>
      </c>
      <c r="AJ157">
        <v>5</v>
      </c>
      <c r="AK157">
        <v>26</v>
      </c>
      <c r="AL157" t="s">
        <v>2042</v>
      </c>
      <c r="AM157" t="s">
        <v>2043</v>
      </c>
      <c r="AN157" t="s">
        <v>2044</v>
      </c>
      <c r="AO157" t="s">
        <v>3432</v>
      </c>
      <c r="AP157" t="s">
        <v>3433</v>
      </c>
      <c r="AQ157" t="s">
        <v>74</v>
      </c>
      <c r="AR157" t="s">
        <v>3434</v>
      </c>
      <c r="AS157" t="s">
        <v>3435</v>
      </c>
      <c r="AT157" t="s">
        <v>3436</v>
      </c>
      <c r="AU157">
        <v>2022</v>
      </c>
      <c r="AV157">
        <v>49</v>
      </c>
      <c r="AW157">
        <v>10</v>
      </c>
      <c r="AX157" t="s">
        <v>74</v>
      </c>
      <c r="AY157" t="s">
        <v>74</v>
      </c>
      <c r="AZ157" t="s">
        <v>74</v>
      </c>
      <c r="BA157" t="s">
        <v>74</v>
      </c>
      <c r="BB157" t="s">
        <v>74</v>
      </c>
      <c r="BC157" t="s">
        <v>74</v>
      </c>
      <c r="BD157" t="s">
        <v>3470</v>
      </c>
      <c r="BE157" t="s">
        <v>3471</v>
      </c>
      <c r="BF157" t="str">
        <f>HYPERLINK("http://dx.doi.org/10.1029/2021GL097413","http://dx.doi.org/10.1029/2021GL097413")</f>
        <v>http://dx.doi.org/10.1029/2021GL097413</v>
      </c>
      <c r="BG157" t="s">
        <v>74</v>
      </c>
      <c r="BH157" t="s">
        <v>74</v>
      </c>
      <c r="BI157">
        <v>10</v>
      </c>
      <c r="BJ157" t="s">
        <v>265</v>
      </c>
      <c r="BK157" t="s">
        <v>101</v>
      </c>
      <c r="BL157" t="s">
        <v>100</v>
      </c>
      <c r="BM157" t="s">
        <v>3472</v>
      </c>
      <c r="BN157" t="s">
        <v>74</v>
      </c>
      <c r="BO157" t="s">
        <v>883</v>
      </c>
      <c r="BP157" t="s">
        <v>74</v>
      </c>
      <c r="BQ157" t="s">
        <v>74</v>
      </c>
      <c r="BR157" t="s">
        <v>103</v>
      </c>
      <c r="BS157" t="s">
        <v>3473</v>
      </c>
      <c r="BT157" t="str">
        <f>HYPERLINK("https%3A%2F%2Fwww.webofscience.com%2Fwos%2Fwoscc%2Ffull-record%2FWOS:000801825200001","View Full Record in Web of Science")</f>
        <v>View Full Record in Web of Science</v>
      </c>
    </row>
    <row r="158" spans="1:72" x14ac:dyDescent="0.15">
      <c r="A158" t="s">
        <v>72</v>
      </c>
      <c r="B158" t="s">
        <v>2912</v>
      </c>
      <c r="C158" t="s">
        <v>74</v>
      </c>
      <c r="D158" t="s">
        <v>74</v>
      </c>
      <c r="E158" t="s">
        <v>74</v>
      </c>
      <c r="F158" t="s">
        <v>2913</v>
      </c>
      <c r="G158" t="s">
        <v>74</v>
      </c>
      <c r="H158" t="s">
        <v>74</v>
      </c>
      <c r="I158" t="s">
        <v>3474</v>
      </c>
      <c r="J158" t="s">
        <v>3475</v>
      </c>
      <c r="K158" t="s">
        <v>74</v>
      </c>
      <c r="L158" t="s">
        <v>74</v>
      </c>
      <c r="M158" t="s">
        <v>78</v>
      </c>
      <c r="N158" t="s">
        <v>79</v>
      </c>
      <c r="O158" t="s">
        <v>74</v>
      </c>
      <c r="P158" t="s">
        <v>74</v>
      </c>
      <c r="Q158" t="s">
        <v>74</v>
      </c>
      <c r="R158" t="s">
        <v>74</v>
      </c>
      <c r="S158" t="s">
        <v>74</v>
      </c>
      <c r="T158" t="s">
        <v>3476</v>
      </c>
      <c r="U158" t="s">
        <v>3477</v>
      </c>
      <c r="V158" t="s">
        <v>3478</v>
      </c>
      <c r="W158" t="s">
        <v>3479</v>
      </c>
      <c r="X158" t="s">
        <v>2920</v>
      </c>
      <c r="Y158" t="s">
        <v>3480</v>
      </c>
      <c r="Z158" t="s">
        <v>3481</v>
      </c>
      <c r="AA158" t="s">
        <v>3482</v>
      </c>
      <c r="AB158" t="s">
        <v>3483</v>
      </c>
      <c r="AC158" t="s">
        <v>3484</v>
      </c>
      <c r="AD158" t="s">
        <v>2597</v>
      </c>
      <c r="AE158" t="s">
        <v>3485</v>
      </c>
      <c r="AF158" t="s">
        <v>74</v>
      </c>
      <c r="AG158">
        <v>27</v>
      </c>
      <c r="AH158">
        <v>3</v>
      </c>
      <c r="AI158">
        <v>3</v>
      </c>
      <c r="AJ158">
        <v>2</v>
      </c>
      <c r="AK158">
        <v>16</v>
      </c>
      <c r="AL158" t="s">
        <v>3486</v>
      </c>
      <c r="AM158" t="s">
        <v>1767</v>
      </c>
      <c r="AN158" t="s">
        <v>3487</v>
      </c>
      <c r="AO158" t="s">
        <v>3488</v>
      </c>
      <c r="AP158" t="s">
        <v>3489</v>
      </c>
      <c r="AQ158" t="s">
        <v>74</v>
      </c>
      <c r="AR158" t="s">
        <v>3490</v>
      </c>
      <c r="AS158" t="s">
        <v>3491</v>
      </c>
      <c r="AT158" t="s">
        <v>206</v>
      </c>
      <c r="AU158">
        <v>2022</v>
      </c>
      <c r="AV158">
        <v>179</v>
      </c>
      <c r="AW158" t="s">
        <v>3492</v>
      </c>
      <c r="AX158" t="s">
        <v>74</v>
      </c>
      <c r="AY158" t="s">
        <v>74</v>
      </c>
      <c r="AZ158" t="s">
        <v>74</v>
      </c>
      <c r="BA158" t="s">
        <v>74</v>
      </c>
      <c r="BB158">
        <v>2609</v>
      </c>
      <c r="BC158">
        <v>2616</v>
      </c>
      <c r="BD158" t="s">
        <v>74</v>
      </c>
      <c r="BE158" t="s">
        <v>3493</v>
      </c>
      <c r="BF158" t="str">
        <f>HYPERLINK("http://dx.doi.org/10.1007/s00024-022-03054-4","http://dx.doi.org/10.1007/s00024-022-03054-4")</f>
        <v>http://dx.doi.org/10.1007/s00024-022-03054-4</v>
      </c>
      <c r="BG158" t="s">
        <v>74</v>
      </c>
      <c r="BH158" t="s">
        <v>3111</v>
      </c>
      <c r="BI158">
        <v>8</v>
      </c>
      <c r="BJ158" t="s">
        <v>2144</v>
      </c>
      <c r="BK158" t="s">
        <v>101</v>
      </c>
      <c r="BL158" t="s">
        <v>2144</v>
      </c>
      <c r="BM158" t="s">
        <v>3494</v>
      </c>
      <c r="BN158" t="s">
        <v>74</v>
      </c>
      <c r="BO158" t="s">
        <v>74</v>
      </c>
      <c r="BP158" t="s">
        <v>74</v>
      </c>
      <c r="BQ158" t="s">
        <v>74</v>
      </c>
      <c r="BR158" t="s">
        <v>103</v>
      </c>
      <c r="BS158" t="s">
        <v>3495</v>
      </c>
      <c r="BT158" t="str">
        <f>HYPERLINK("https%3A%2F%2Fwww.webofscience.com%2Fwos%2Fwoscc%2Ffull-record%2FWOS:000801154900002","View Full Record in Web of Science")</f>
        <v>View Full Record in Web of Science</v>
      </c>
    </row>
    <row r="159" spans="1:72" x14ac:dyDescent="0.15">
      <c r="A159" t="s">
        <v>72</v>
      </c>
      <c r="B159" t="s">
        <v>3496</v>
      </c>
      <c r="C159" t="s">
        <v>74</v>
      </c>
      <c r="D159" t="s">
        <v>74</v>
      </c>
      <c r="E159" t="s">
        <v>74</v>
      </c>
      <c r="F159" t="s">
        <v>3497</v>
      </c>
      <c r="G159" t="s">
        <v>74</v>
      </c>
      <c r="H159" t="s">
        <v>74</v>
      </c>
      <c r="I159" t="s">
        <v>3498</v>
      </c>
      <c r="J159" t="s">
        <v>3419</v>
      </c>
      <c r="K159" t="s">
        <v>74</v>
      </c>
      <c r="L159" t="s">
        <v>74</v>
      </c>
      <c r="M159" t="s">
        <v>78</v>
      </c>
      <c r="N159" t="s">
        <v>79</v>
      </c>
      <c r="O159" t="s">
        <v>74</v>
      </c>
      <c r="P159" t="s">
        <v>74</v>
      </c>
      <c r="Q159" t="s">
        <v>74</v>
      </c>
      <c r="R159" t="s">
        <v>74</v>
      </c>
      <c r="S159" t="s">
        <v>74</v>
      </c>
      <c r="T159" t="s">
        <v>74</v>
      </c>
      <c r="U159" t="s">
        <v>3499</v>
      </c>
      <c r="V159" t="s">
        <v>3500</v>
      </c>
      <c r="W159" t="s">
        <v>3501</v>
      </c>
      <c r="X159" t="s">
        <v>3502</v>
      </c>
      <c r="Y159" t="s">
        <v>3503</v>
      </c>
      <c r="Z159" t="s">
        <v>3504</v>
      </c>
      <c r="AA159" t="s">
        <v>3505</v>
      </c>
      <c r="AB159" t="s">
        <v>3506</v>
      </c>
      <c r="AC159" t="s">
        <v>3507</v>
      </c>
      <c r="AD159" t="s">
        <v>3508</v>
      </c>
      <c r="AE159" t="s">
        <v>3509</v>
      </c>
      <c r="AF159" t="s">
        <v>74</v>
      </c>
      <c r="AG159">
        <v>128</v>
      </c>
      <c r="AH159">
        <v>2</v>
      </c>
      <c r="AI159">
        <v>2</v>
      </c>
      <c r="AJ159">
        <v>7</v>
      </c>
      <c r="AK159">
        <v>31</v>
      </c>
      <c r="AL159" t="s">
        <v>2042</v>
      </c>
      <c r="AM159" t="s">
        <v>2043</v>
      </c>
      <c r="AN159" t="s">
        <v>2044</v>
      </c>
      <c r="AO159" t="s">
        <v>3432</v>
      </c>
      <c r="AP159" t="s">
        <v>3433</v>
      </c>
      <c r="AQ159" t="s">
        <v>74</v>
      </c>
      <c r="AR159" t="s">
        <v>3434</v>
      </c>
      <c r="AS159" t="s">
        <v>3435</v>
      </c>
      <c r="AT159" t="s">
        <v>3436</v>
      </c>
      <c r="AU159">
        <v>2022</v>
      </c>
      <c r="AV159">
        <v>49</v>
      </c>
      <c r="AW159">
        <v>10</v>
      </c>
      <c r="AX159" t="s">
        <v>74</v>
      </c>
      <c r="AY159" t="s">
        <v>74</v>
      </c>
      <c r="AZ159" t="s">
        <v>74</v>
      </c>
      <c r="BA159" t="s">
        <v>74</v>
      </c>
      <c r="BB159" t="s">
        <v>74</v>
      </c>
      <c r="BC159" t="s">
        <v>74</v>
      </c>
      <c r="BD159" t="s">
        <v>3510</v>
      </c>
      <c r="BE159" t="s">
        <v>3511</v>
      </c>
      <c r="BF159" t="str">
        <f>HYPERLINK("http://dx.doi.org/10.1029/2022GL098770","http://dx.doi.org/10.1029/2022GL098770")</f>
        <v>http://dx.doi.org/10.1029/2022GL098770</v>
      </c>
      <c r="BG159" t="s">
        <v>74</v>
      </c>
      <c r="BH159" t="s">
        <v>74</v>
      </c>
      <c r="BI159">
        <v>15</v>
      </c>
      <c r="BJ159" t="s">
        <v>265</v>
      </c>
      <c r="BK159" t="s">
        <v>101</v>
      </c>
      <c r="BL159" t="s">
        <v>100</v>
      </c>
      <c r="BM159" t="s">
        <v>3512</v>
      </c>
      <c r="BN159" t="s">
        <v>74</v>
      </c>
      <c r="BO159" t="s">
        <v>643</v>
      </c>
      <c r="BP159" t="s">
        <v>74</v>
      </c>
      <c r="BQ159" t="s">
        <v>74</v>
      </c>
      <c r="BR159" t="s">
        <v>103</v>
      </c>
      <c r="BS159" t="s">
        <v>3513</v>
      </c>
      <c r="BT159" t="str">
        <f>HYPERLINK("https%3A%2F%2Fwww.webofscience.com%2Fwos%2Fwoscc%2Ffull-record%2FWOS:000800112100001","View Full Record in Web of Science")</f>
        <v>View Full Record in Web of Science</v>
      </c>
    </row>
    <row r="160" spans="1:72" x14ac:dyDescent="0.15">
      <c r="A160" t="s">
        <v>72</v>
      </c>
      <c r="B160" t="s">
        <v>3514</v>
      </c>
      <c r="C160" t="s">
        <v>74</v>
      </c>
      <c r="D160" t="s">
        <v>74</v>
      </c>
      <c r="E160" t="s">
        <v>74</v>
      </c>
      <c r="F160" t="s">
        <v>3515</v>
      </c>
      <c r="G160" t="s">
        <v>74</v>
      </c>
      <c r="H160" t="s">
        <v>74</v>
      </c>
      <c r="I160" t="s">
        <v>3516</v>
      </c>
      <c r="J160" t="s">
        <v>3419</v>
      </c>
      <c r="K160" t="s">
        <v>74</v>
      </c>
      <c r="L160" t="s">
        <v>74</v>
      </c>
      <c r="M160" t="s">
        <v>78</v>
      </c>
      <c r="N160" t="s">
        <v>79</v>
      </c>
      <c r="O160" t="s">
        <v>74</v>
      </c>
      <c r="P160" t="s">
        <v>74</v>
      </c>
      <c r="Q160" t="s">
        <v>74</v>
      </c>
      <c r="R160" t="s">
        <v>74</v>
      </c>
      <c r="S160" t="s">
        <v>74</v>
      </c>
      <c r="T160" t="s">
        <v>3517</v>
      </c>
      <c r="U160" t="s">
        <v>3518</v>
      </c>
      <c r="V160" t="s">
        <v>3519</v>
      </c>
      <c r="W160" t="s">
        <v>3520</v>
      </c>
      <c r="X160" t="s">
        <v>3521</v>
      </c>
      <c r="Y160" t="s">
        <v>3522</v>
      </c>
      <c r="Z160" t="s">
        <v>3523</v>
      </c>
      <c r="AA160" t="s">
        <v>3524</v>
      </c>
      <c r="AB160" t="s">
        <v>3525</v>
      </c>
      <c r="AC160" t="s">
        <v>3526</v>
      </c>
      <c r="AD160" t="s">
        <v>3527</v>
      </c>
      <c r="AE160" t="s">
        <v>3528</v>
      </c>
      <c r="AF160" t="s">
        <v>74</v>
      </c>
      <c r="AG160">
        <v>91</v>
      </c>
      <c r="AH160">
        <v>4</v>
      </c>
      <c r="AI160">
        <v>4</v>
      </c>
      <c r="AJ160">
        <v>1</v>
      </c>
      <c r="AK160">
        <v>7</v>
      </c>
      <c r="AL160" t="s">
        <v>2042</v>
      </c>
      <c r="AM160" t="s">
        <v>2043</v>
      </c>
      <c r="AN160" t="s">
        <v>2044</v>
      </c>
      <c r="AO160" t="s">
        <v>3432</v>
      </c>
      <c r="AP160" t="s">
        <v>3433</v>
      </c>
      <c r="AQ160" t="s">
        <v>74</v>
      </c>
      <c r="AR160" t="s">
        <v>3434</v>
      </c>
      <c r="AS160" t="s">
        <v>3435</v>
      </c>
      <c r="AT160" t="s">
        <v>3436</v>
      </c>
      <c r="AU160">
        <v>2022</v>
      </c>
      <c r="AV160">
        <v>49</v>
      </c>
      <c r="AW160">
        <v>10</v>
      </c>
      <c r="AX160" t="s">
        <v>74</v>
      </c>
      <c r="AY160" t="s">
        <v>74</v>
      </c>
      <c r="AZ160" t="s">
        <v>74</v>
      </c>
      <c r="BA160" t="s">
        <v>74</v>
      </c>
      <c r="BB160" t="s">
        <v>74</v>
      </c>
      <c r="BC160" t="s">
        <v>74</v>
      </c>
      <c r="BD160" t="s">
        <v>3529</v>
      </c>
      <c r="BE160" t="s">
        <v>3530</v>
      </c>
      <c r="BF160" t="str">
        <f>HYPERLINK("http://dx.doi.org/10.1029/2021GL097371","http://dx.doi.org/10.1029/2021GL097371")</f>
        <v>http://dx.doi.org/10.1029/2021GL097371</v>
      </c>
      <c r="BG160" t="s">
        <v>74</v>
      </c>
      <c r="BH160" t="s">
        <v>74</v>
      </c>
      <c r="BI160">
        <v>11</v>
      </c>
      <c r="BJ160" t="s">
        <v>265</v>
      </c>
      <c r="BK160" t="s">
        <v>101</v>
      </c>
      <c r="BL160" t="s">
        <v>100</v>
      </c>
      <c r="BM160" t="s">
        <v>3531</v>
      </c>
      <c r="BN160" t="s">
        <v>74</v>
      </c>
      <c r="BO160" t="s">
        <v>1448</v>
      </c>
      <c r="BP160" t="s">
        <v>74</v>
      </c>
      <c r="BQ160" t="s">
        <v>74</v>
      </c>
      <c r="BR160" t="s">
        <v>103</v>
      </c>
      <c r="BS160" t="s">
        <v>3532</v>
      </c>
      <c r="BT160" t="str">
        <f>HYPERLINK("https%3A%2F%2Fwww.webofscience.com%2Fwos%2Fwoscc%2Ffull-record%2FWOS:000800115500001","View Full Record in Web of Science")</f>
        <v>View Full Record in Web of Science</v>
      </c>
    </row>
    <row r="161" spans="1:72" x14ac:dyDescent="0.15">
      <c r="A161" t="s">
        <v>72</v>
      </c>
      <c r="B161" t="s">
        <v>3533</v>
      </c>
      <c r="C161" t="s">
        <v>74</v>
      </c>
      <c r="D161" t="s">
        <v>74</v>
      </c>
      <c r="E161" t="s">
        <v>74</v>
      </c>
      <c r="F161" t="s">
        <v>3534</v>
      </c>
      <c r="G161" t="s">
        <v>74</v>
      </c>
      <c r="H161" t="s">
        <v>74</v>
      </c>
      <c r="I161" t="s">
        <v>3535</v>
      </c>
      <c r="J161" t="s">
        <v>3419</v>
      </c>
      <c r="K161" t="s">
        <v>74</v>
      </c>
      <c r="L161" t="s">
        <v>74</v>
      </c>
      <c r="M161" t="s">
        <v>78</v>
      </c>
      <c r="N161" t="s">
        <v>79</v>
      </c>
      <c r="O161" t="s">
        <v>74</v>
      </c>
      <c r="P161" t="s">
        <v>74</v>
      </c>
      <c r="Q161" t="s">
        <v>74</v>
      </c>
      <c r="R161" t="s">
        <v>74</v>
      </c>
      <c r="S161" t="s">
        <v>74</v>
      </c>
      <c r="T161" t="s">
        <v>74</v>
      </c>
      <c r="U161" t="s">
        <v>3536</v>
      </c>
      <c r="V161" t="s">
        <v>3537</v>
      </c>
      <c r="W161" t="s">
        <v>3538</v>
      </c>
      <c r="X161" t="s">
        <v>3539</v>
      </c>
      <c r="Y161" t="s">
        <v>3540</v>
      </c>
      <c r="Z161" t="s">
        <v>3541</v>
      </c>
      <c r="AA161" t="s">
        <v>3542</v>
      </c>
      <c r="AB161" t="s">
        <v>3543</v>
      </c>
      <c r="AC161" t="s">
        <v>3544</v>
      </c>
      <c r="AD161" t="s">
        <v>3545</v>
      </c>
      <c r="AE161" t="s">
        <v>3546</v>
      </c>
      <c r="AF161" t="s">
        <v>74</v>
      </c>
      <c r="AG161">
        <v>49</v>
      </c>
      <c r="AH161">
        <v>0</v>
      </c>
      <c r="AI161">
        <v>1</v>
      </c>
      <c r="AJ161">
        <v>4</v>
      </c>
      <c r="AK161">
        <v>15</v>
      </c>
      <c r="AL161" t="s">
        <v>2042</v>
      </c>
      <c r="AM161" t="s">
        <v>2043</v>
      </c>
      <c r="AN161" t="s">
        <v>2044</v>
      </c>
      <c r="AO161" t="s">
        <v>3432</v>
      </c>
      <c r="AP161" t="s">
        <v>3433</v>
      </c>
      <c r="AQ161" t="s">
        <v>74</v>
      </c>
      <c r="AR161" t="s">
        <v>3434</v>
      </c>
      <c r="AS161" t="s">
        <v>3435</v>
      </c>
      <c r="AT161" t="s">
        <v>3436</v>
      </c>
      <c r="AU161">
        <v>2022</v>
      </c>
      <c r="AV161">
        <v>49</v>
      </c>
      <c r="AW161">
        <v>10</v>
      </c>
      <c r="AX161" t="s">
        <v>74</v>
      </c>
      <c r="AY161" t="s">
        <v>74</v>
      </c>
      <c r="AZ161" t="s">
        <v>74</v>
      </c>
      <c r="BA161" t="s">
        <v>74</v>
      </c>
      <c r="BB161" t="s">
        <v>74</v>
      </c>
      <c r="BC161" t="s">
        <v>74</v>
      </c>
      <c r="BD161" t="s">
        <v>3547</v>
      </c>
      <c r="BE161" t="s">
        <v>3548</v>
      </c>
      <c r="BF161" t="str">
        <f>HYPERLINK("http://dx.doi.org/10.1029/2022GL098864","http://dx.doi.org/10.1029/2022GL098864")</f>
        <v>http://dx.doi.org/10.1029/2022GL098864</v>
      </c>
      <c r="BG161" t="s">
        <v>74</v>
      </c>
      <c r="BH161" t="s">
        <v>74</v>
      </c>
      <c r="BI161">
        <v>10</v>
      </c>
      <c r="BJ161" t="s">
        <v>265</v>
      </c>
      <c r="BK161" t="s">
        <v>101</v>
      </c>
      <c r="BL161" t="s">
        <v>100</v>
      </c>
      <c r="BM161" t="s">
        <v>3549</v>
      </c>
      <c r="BN161" t="s">
        <v>74</v>
      </c>
      <c r="BO161" t="s">
        <v>1483</v>
      </c>
      <c r="BP161" t="s">
        <v>74</v>
      </c>
      <c r="BQ161" t="s">
        <v>74</v>
      </c>
      <c r="BR161" t="s">
        <v>103</v>
      </c>
      <c r="BS161" t="s">
        <v>3550</v>
      </c>
      <c r="BT161" t="str">
        <f>HYPERLINK("https%3A%2F%2Fwww.webofscience.com%2Fwos%2Fwoscc%2Ffull-record%2FWOS:000800118600001","View Full Record in Web of Science")</f>
        <v>View Full Record in Web of Science</v>
      </c>
    </row>
    <row r="162" spans="1:72" x14ac:dyDescent="0.15">
      <c r="A162" t="s">
        <v>72</v>
      </c>
      <c r="B162" t="s">
        <v>3551</v>
      </c>
      <c r="C162" t="s">
        <v>74</v>
      </c>
      <c r="D162" t="s">
        <v>74</v>
      </c>
      <c r="E162" t="s">
        <v>74</v>
      </c>
      <c r="F162" t="s">
        <v>3552</v>
      </c>
      <c r="G162" t="s">
        <v>74</v>
      </c>
      <c r="H162" t="s">
        <v>74</v>
      </c>
      <c r="I162" t="s">
        <v>3553</v>
      </c>
      <c r="J162" t="s">
        <v>3419</v>
      </c>
      <c r="K162" t="s">
        <v>74</v>
      </c>
      <c r="L162" t="s">
        <v>74</v>
      </c>
      <c r="M162" t="s">
        <v>78</v>
      </c>
      <c r="N162" t="s">
        <v>79</v>
      </c>
      <c r="O162" t="s">
        <v>74</v>
      </c>
      <c r="P162" t="s">
        <v>74</v>
      </c>
      <c r="Q162" t="s">
        <v>74</v>
      </c>
      <c r="R162" t="s">
        <v>74</v>
      </c>
      <c r="S162" t="s">
        <v>74</v>
      </c>
      <c r="T162" t="s">
        <v>3554</v>
      </c>
      <c r="U162" t="s">
        <v>3555</v>
      </c>
      <c r="V162" t="s">
        <v>3556</v>
      </c>
      <c r="W162" t="s">
        <v>3557</v>
      </c>
      <c r="X162" t="s">
        <v>3558</v>
      </c>
      <c r="Y162" t="s">
        <v>3559</v>
      </c>
      <c r="Z162" t="s">
        <v>3560</v>
      </c>
      <c r="AA162" t="s">
        <v>3561</v>
      </c>
      <c r="AB162" t="s">
        <v>3562</v>
      </c>
      <c r="AC162" t="s">
        <v>3563</v>
      </c>
      <c r="AD162" t="s">
        <v>3564</v>
      </c>
      <c r="AE162" t="s">
        <v>3565</v>
      </c>
      <c r="AF162" t="s">
        <v>74</v>
      </c>
      <c r="AG162">
        <v>95</v>
      </c>
      <c r="AH162">
        <v>6</v>
      </c>
      <c r="AI162">
        <v>6</v>
      </c>
      <c r="AJ162">
        <v>3</v>
      </c>
      <c r="AK162">
        <v>15</v>
      </c>
      <c r="AL162" t="s">
        <v>2042</v>
      </c>
      <c r="AM162" t="s">
        <v>2043</v>
      </c>
      <c r="AN162" t="s">
        <v>2044</v>
      </c>
      <c r="AO162" t="s">
        <v>3432</v>
      </c>
      <c r="AP162" t="s">
        <v>3433</v>
      </c>
      <c r="AQ162" t="s">
        <v>74</v>
      </c>
      <c r="AR162" t="s">
        <v>3434</v>
      </c>
      <c r="AS162" t="s">
        <v>3435</v>
      </c>
      <c r="AT162" t="s">
        <v>3436</v>
      </c>
      <c r="AU162">
        <v>2022</v>
      </c>
      <c r="AV162">
        <v>49</v>
      </c>
      <c r="AW162">
        <v>10</v>
      </c>
      <c r="AX162" t="s">
        <v>74</v>
      </c>
      <c r="AY162" t="s">
        <v>74</v>
      </c>
      <c r="AZ162" t="s">
        <v>74</v>
      </c>
      <c r="BA162" t="s">
        <v>74</v>
      </c>
      <c r="BB162" t="s">
        <v>74</v>
      </c>
      <c r="BC162" t="s">
        <v>74</v>
      </c>
      <c r="BD162" t="s">
        <v>3566</v>
      </c>
      <c r="BE162" t="s">
        <v>3567</v>
      </c>
      <c r="BF162" t="str">
        <f>HYPERLINK("http://dx.doi.org/10.1029/2022GL098335","http://dx.doi.org/10.1029/2022GL098335")</f>
        <v>http://dx.doi.org/10.1029/2022GL098335</v>
      </c>
      <c r="BG162" t="s">
        <v>74</v>
      </c>
      <c r="BH162" t="s">
        <v>74</v>
      </c>
      <c r="BI162">
        <v>12</v>
      </c>
      <c r="BJ162" t="s">
        <v>265</v>
      </c>
      <c r="BK162" t="s">
        <v>101</v>
      </c>
      <c r="BL162" t="s">
        <v>100</v>
      </c>
      <c r="BM162" t="s">
        <v>3568</v>
      </c>
      <c r="BN162" t="s">
        <v>74</v>
      </c>
      <c r="BO162" t="s">
        <v>2438</v>
      </c>
      <c r="BP162" t="s">
        <v>74</v>
      </c>
      <c r="BQ162" t="s">
        <v>74</v>
      </c>
      <c r="BR162" t="s">
        <v>103</v>
      </c>
      <c r="BS162" t="s">
        <v>3569</v>
      </c>
      <c r="BT162" t="str">
        <f>HYPERLINK("https%3A%2F%2Fwww.webofscience.com%2Fwos%2Fwoscc%2Ffull-record%2FWOS:000798990800001","View Full Record in Web of Science")</f>
        <v>View Full Record in Web of Science</v>
      </c>
    </row>
    <row r="163" spans="1:72" x14ac:dyDescent="0.15">
      <c r="A163" t="s">
        <v>72</v>
      </c>
      <c r="B163" t="s">
        <v>3570</v>
      </c>
      <c r="C163" t="s">
        <v>74</v>
      </c>
      <c r="D163" t="s">
        <v>74</v>
      </c>
      <c r="E163" t="s">
        <v>74</v>
      </c>
      <c r="F163" t="s">
        <v>3571</v>
      </c>
      <c r="G163" t="s">
        <v>74</v>
      </c>
      <c r="H163" t="s">
        <v>74</v>
      </c>
      <c r="I163" t="s">
        <v>3572</v>
      </c>
      <c r="J163" t="s">
        <v>3573</v>
      </c>
      <c r="K163" t="s">
        <v>74</v>
      </c>
      <c r="L163" t="s">
        <v>74</v>
      </c>
      <c r="M163" t="s">
        <v>78</v>
      </c>
      <c r="N163" t="s">
        <v>79</v>
      </c>
      <c r="O163" t="s">
        <v>74</v>
      </c>
      <c r="P163" t="s">
        <v>74</v>
      </c>
      <c r="Q163" t="s">
        <v>74</v>
      </c>
      <c r="R163" t="s">
        <v>74</v>
      </c>
      <c r="S163" t="s">
        <v>74</v>
      </c>
      <c r="T163" t="s">
        <v>3574</v>
      </c>
      <c r="U163" t="s">
        <v>3575</v>
      </c>
      <c r="V163" t="s">
        <v>3576</v>
      </c>
      <c r="W163" t="s">
        <v>3577</v>
      </c>
      <c r="X163" t="s">
        <v>3578</v>
      </c>
      <c r="Y163" t="s">
        <v>3579</v>
      </c>
      <c r="Z163" t="s">
        <v>3580</v>
      </c>
      <c r="AA163" t="s">
        <v>74</v>
      </c>
      <c r="AB163" t="s">
        <v>74</v>
      </c>
      <c r="AC163" t="s">
        <v>3581</v>
      </c>
      <c r="AD163" t="s">
        <v>3582</v>
      </c>
      <c r="AE163" t="s">
        <v>3583</v>
      </c>
      <c r="AF163" t="s">
        <v>74</v>
      </c>
      <c r="AG163">
        <v>61</v>
      </c>
      <c r="AH163">
        <v>7</v>
      </c>
      <c r="AI163">
        <v>7</v>
      </c>
      <c r="AJ163">
        <v>0</v>
      </c>
      <c r="AK163">
        <v>7</v>
      </c>
      <c r="AL163" t="s">
        <v>257</v>
      </c>
      <c r="AM163" t="s">
        <v>258</v>
      </c>
      <c r="AN163" t="s">
        <v>259</v>
      </c>
      <c r="AO163" t="s">
        <v>3584</v>
      </c>
      <c r="AP163" t="s">
        <v>3585</v>
      </c>
      <c r="AQ163" t="s">
        <v>74</v>
      </c>
      <c r="AR163" t="s">
        <v>3586</v>
      </c>
      <c r="AS163" t="s">
        <v>3587</v>
      </c>
      <c r="AT163" t="s">
        <v>150</v>
      </c>
      <c r="AU163">
        <v>2022</v>
      </c>
      <c r="AV163">
        <v>253</v>
      </c>
      <c r="AW163" t="s">
        <v>74</v>
      </c>
      <c r="AX163" t="s">
        <v>74</v>
      </c>
      <c r="AY163" t="s">
        <v>74</v>
      </c>
      <c r="AZ163" t="s">
        <v>74</v>
      </c>
      <c r="BA163" t="s">
        <v>74</v>
      </c>
      <c r="BB163" t="s">
        <v>74</v>
      </c>
      <c r="BC163" t="s">
        <v>74</v>
      </c>
      <c r="BD163">
        <v>106370</v>
      </c>
      <c r="BE163" t="s">
        <v>3588</v>
      </c>
      <c r="BF163" t="str">
        <f>HYPERLINK("http://dx.doi.org/10.1016/j.fishres.2022.106370","http://dx.doi.org/10.1016/j.fishres.2022.106370")</f>
        <v>http://dx.doi.org/10.1016/j.fishres.2022.106370</v>
      </c>
      <c r="BG163" t="s">
        <v>74</v>
      </c>
      <c r="BH163" t="s">
        <v>3111</v>
      </c>
      <c r="BI163">
        <v>11</v>
      </c>
      <c r="BJ163" t="s">
        <v>3589</v>
      </c>
      <c r="BK163" t="s">
        <v>101</v>
      </c>
      <c r="BL163" t="s">
        <v>3589</v>
      </c>
      <c r="BM163" t="s">
        <v>3590</v>
      </c>
      <c r="BN163" t="s">
        <v>74</v>
      </c>
      <c r="BO163" t="s">
        <v>267</v>
      </c>
      <c r="BP163" t="s">
        <v>74</v>
      </c>
      <c r="BQ163" t="s">
        <v>74</v>
      </c>
      <c r="BR163" t="s">
        <v>103</v>
      </c>
      <c r="BS163" t="s">
        <v>3591</v>
      </c>
      <c r="BT163" t="str">
        <f>HYPERLINK("https%3A%2F%2Fwww.webofscience.com%2Fwos%2Fwoscc%2Ffull-record%2FWOS:000832834100001","View Full Record in Web of Science")</f>
        <v>View Full Record in Web of Science</v>
      </c>
    </row>
    <row r="164" spans="1:72" x14ac:dyDescent="0.15">
      <c r="A164" t="s">
        <v>72</v>
      </c>
      <c r="B164" t="s">
        <v>3592</v>
      </c>
      <c r="C164" t="s">
        <v>74</v>
      </c>
      <c r="D164" t="s">
        <v>74</v>
      </c>
      <c r="E164" t="s">
        <v>74</v>
      </c>
      <c r="F164" t="s">
        <v>3593</v>
      </c>
      <c r="G164" t="s">
        <v>74</v>
      </c>
      <c r="H164" t="s">
        <v>74</v>
      </c>
      <c r="I164" t="s">
        <v>3594</v>
      </c>
      <c r="J164" t="s">
        <v>546</v>
      </c>
      <c r="K164" t="s">
        <v>74</v>
      </c>
      <c r="L164" t="s">
        <v>74</v>
      </c>
      <c r="M164" t="s">
        <v>78</v>
      </c>
      <c r="N164" t="s">
        <v>79</v>
      </c>
      <c r="O164" t="s">
        <v>74</v>
      </c>
      <c r="P164" t="s">
        <v>74</v>
      </c>
      <c r="Q164" t="s">
        <v>74</v>
      </c>
      <c r="R164" t="s">
        <v>74</v>
      </c>
      <c r="S164" t="s">
        <v>74</v>
      </c>
      <c r="T164" t="s">
        <v>3595</v>
      </c>
      <c r="U164" t="s">
        <v>3596</v>
      </c>
      <c r="V164" t="s">
        <v>3597</v>
      </c>
      <c r="W164" t="s">
        <v>3598</v>
      </c>
      <c r="X164" t="s">
        <v>3599</v>
      </c>
      <c r="Y164" t="s">
        <v>3600</v>
      </c>
      <c r="Z164" t="s">
        <v>3601</v>
      </c>
      <c r="AA164" t="s">
        <v>3602</v>
      </c>
      <c r="AB164" t="s">
        <v>3603</v>
      </c>
      <c r="AC164" t="s">
        <v>74</v>
      </c>
      <c r="AD164" t="s">
        <v>74</v>
      </c>
      <c r="AE164" t="s">
        <v>74</v>
      </c>
      <c r="AF164" t="s">
        <v>74</v>
      </c>
      <c r="AG164">
        <v>72</v>
      </c>
      <c r="AH164">
        <v>5</v>
      </c>
      <c r="AI164">
        <v>5</v>
      </c>
      <c r="AJ164">
        <v>7</v>
      </c>
      <c r="AK164">
        <v>36</v>
      </c>
      <c r="AL164" t="s">
        <v>285</v>
      </c>
      <c r="AM164" t="s">
        <v>286</v>
      </c>
      <c r="AN164" t="s">
        <v>287</v>
      </c>
      <c r="AO164" t="s">
        <v>74</v>
      </c>
      <c r="AP164" t="s">
        <v>558</v>
      </c>
      <c r="AQ164" t="s">
        <v>74</v>
      </c>
      <c r="AR164" t="s">
        <v>559</v>
      </c>
      <c r="AS164" t="s">
        <v>560</v>
      </c>
      <c r="AT164" t="s">
        <v>3604</v>
      </c>
      <c r="AU164">
        <v>2022</v>
      </c>
      <c r="AV164">
        <v>9</v>
      </c>
      <c r="AW164" t="s">
        <v>74</v>
      </c>
      <c r="AX164" t="s">
        <v>74</v>
      </c>
      <c r="AY164" t="s">
        <v>74</v>
      </c>
      <c r="AZ164" t="s">
        <v>74</v>
      </c>
      <c r="BA164" t="s">
        <v>74</v>
      </c>
      <c r="BB164" t="s">
        <v>74</v>
      </c>
      <c r="BC164" t="s">
        <v>74</v>
      </c>
      <c r="BD164">
        <v>860826</v>
      </c>
      <c r="BE164" t="s">
        <v>3605</v>
      </c>
      <c r="BF164" t="str">
        <f>HYPERLINK("http://dx.doi.org/10.3389/fmars.2022.860826","http://dx.doi.org/10.3389/fmars.2022.860826")</f>
        <v>http://dx.doi.org/10.3389/fmars.2022.860826</v>
      </c>
      <c r="BG164" t="s">
        <v>74</v>
      </c>
      <c r="BH164" t="s">
        <v>74</v>
      </c>
      <c r="BI164">
        <v>10</v>
      </c>
      <c r="BJ164" t="s">
        <v>563</v>
      </c>
      <c r="BK164" t="s">
        <v>101</v>
      </c>
      <c r="BL164" t="s">
        <v>564</v>
      </c>
      <c r="BM164" t="s">
        <v>3606</v>
      </c>
      <c r="BN164" t="s">
        <v>74</v>
      </c>
      <c r="BO164" t="s">
        <v>3607</v>
      </c>
      <c r="BP164" t="s">
        <v>74</v>
      </c>
      <c r="BQ164" t="s">
        <v>74</v>
      </c>
      <c r="BR164" t="s">
        <v>103</v>
      </c>
      <c r="BS164" t="s">
        <v>3608</v>
      </c>
      <c r="BT164" t="str">
        <f>HYPERLINK("https%3A%2F%2Fwww.webofscience.com%2Fwos%2Fwoscc%2Ffull-record%2FWOS:000811303100001","View Full Record in Web of Science")</f>
        <v>View Full Record in Web of Science</v>
      </c>
    </row>
    <row r="165" spans="1:72" x14ac:dyDescent="0.15">
      <c r="A165" t="s">
        <v>72</v>
      </c>
      <c r="B165" t="s">
        <v>3609</v>
      </c>
      <c r="C165" t="s">
        <v>74</v>
      </c>
      <c r="D165" t="s">
        <v>74</v>
      </c>
      <c r="E165" t="s">
        <v>74</v>
      </c>
      <c r="F165" t="s">
        <v>3610</v>
      </c>
      <c r="G165" t="s">
        <v>74</v>
      </c>
      <c r="H165" t="s">
        <v>74</v>
      </c>
      <c r="I165" t="s">
        <v>3611</v>
      </c>
      <c r="J165" t="s">
        <v>3612</v>
      </c>
      <c r="K165" t="s">
        <v>74</v>
      </c>
      <c r="L165" t="s">
        <v>74</v>
      </c>
      <c r="M165" t="s">
        <v>78</v>
      </c>
      <c r="N165" t="s">
        <v>79</v>
      </c>
      <c r="O165" t="s">
        <v>74</v>
      </c>
      <c r="P165" t="s">
        <v>74</v>
      </c>
      <c r="Q165" t="s">
        <v>74</v>
      </c>
      <c r="R165" t="s">
        <v>74</v>
      </c>
      <c r="S165" t="s">
        <v>74</v>
      </c>
      <c r="T165" t="s">
        <v>3613</v>
      </c>
      <c r="U165" t="s">
        <v>3614</v>
      </c>
      <c r="V165" t="s">
        <v>3615</v>
      </c>
      <c r="W165" t="s">
        <v>3616</v>
      </c>
      <c r="X165" t="s">
        <v>3617</v>
      </c>
      <c r="Y165" t="s">
        <v>3618</v>
      </c>
      <c r="Z165" t="s">
        <v>3619</v>
      </c>
      <c r="AA165" t="s">
        <v>3620</v>
      </c>
      <c r="AB165" t="s">
        <v>3621</v>
      </c>
      <c r="AC165" t="s">
        <v>3622</v>
      </c>
      <c r="AD165" t="s">
        <v>3623</v>
      </c>
      <c r="AE165" t="s">
        <v>3624</v>
      </c>
      <c r="AF165" t="s">
        <v>74</v>
      </c>
      <c r="AG165">
        <v>45</v>
      </c>
      <c r="AH165">
        <v>2</v>
      </c>
      <c r="AI165">
        <v>2</v>
      </c>
      <c r="AJ165">
        <v>3</v>
      </c>
      <c r="AK165">
        <v>10</v>
      </c>
      <c r="AL165" t="s">
        <v>257</v>
      </c>
      <c r="AM165" t="s">
        <v>258</v>
      </c>
      <c r="AN165" t="s">
        <v>259</v>
      </c>
      <c r="AO165" t="s">
        <v>3625</v>
      </c>
      <c r="AP165" t="s">
        <v>3626</v>
      </c>
      <c r="AQ165" t="s">
        <v>74</v>
      </c>
      <c r="AR165" t="s">
        <v>3627</v>
      </c>
      <c r="AS165" t="s">
        <v>3628</v>
      </c>
      <c r="AT165" t="s">
        <v>346</v>
      </c>
      <c r="AU165">
        <v>2022</v>
      </c>
      <c r="AV165">
        <v>553</v>
      </c>
      <c r="AW165" t="s">
        <v>74</v>
      </c>
      <c r="AX165" t="s">
        <v>74</v>
      </c>
      <c r="AY165" t="s">
        <v>74</v>
      </c>
      <c r="AZ165" t="s">
        <v>74</v>
      </c>
      <c r="BA165" t="s">
        <v>74</v>
      </c>
      <c r="BB165" t="s">
        <v>74</v>
      </c>
      <c r="BC165" t="s">
        <v>74</v>
      </c>
      <c r="BD165">
        <v>151763</v>
      </c>
      <c r="BE165" t="s">
        <v>3629</v>
      </c>
      <c r="BF165" t="str">
        <f>HYPERLINK("http://dx.doi.org/10.1016/j.jembe.2022.151763","http://dx.doi.org/10.1016/j.jembe.2022.151763")</f>
        <v>http://dx.doi.org/10.1016/j.jembe.2022.151763</v>
      </c>
      <c r="BG165" t="s">
        <v>74</v>
      </c>
      <c r="BH165" t="s">
        <v>3111</v>
      </c>
      <c r="BI165">
        <v>10</v>
      </c>
      <c r="BJ165" t="s">
        <v>3630</v>
      </c>
      <c r="BK165" t="s">
        <v>101</v>
      </c>
      <c r="BL165" t="s">
        <v>564</v>
      </c>
      <c r="BM165" t="s">
        <v>3631</v>
      </c>
      <c r="BN165" t="s">
        <v>74</v>
      </c>
      <c r="BO165" t="s">
        <v>267</v>
      </c>
      <c r="BP165" t="s">
        <v>74</v>
      </c>
      <c r="BQ165" t="s">
        <v>74</v>
      </c>
      <c r="BR165" t="s">
        <v>103</v>
      </c>
      <c r="BS165" t="s">
        <v>3632</v>
      </c>
      <c r="BT165" t="str">
        <f>HYPERLINK("https%3A%2F%2Fwww.webofscience.com%2Fwos%2Fwoscc%2Ffull-record%2FWOS:000807753300001","View Full Record in Web of Science")</f>
        <v>View Full Record in Web of Science</v>
      </c>
    </row>
    <row r="166" spans="1:72" x14ac:dyDescent="0.15">
      <c r="A166" t="s">
        <v>72</v>
      </c>
      <c r="B166" t="s">
        <v>3633</v>
      </c>
      <c r="C166" t="s">
        <v>74</v>
      </c>
      <c r="D166" t="s">
        <v>74</v>
      </c>
      <c r="E166" t="s">
        <v>74</v>
      </c>
      <c r="F166" t="s">
        <v>3634</v>
      </c>
      <c r="G166" t="s">
        <v>74</v>
      </c>
      <c r="H166" t="s">
        <v>74</v>
      </c>
      <c r="I166" t="s">
        <v>3635</v>
      </c>
      <c r="J166" t="s">
        <v>3636</v>
      </c>
      <c r="K166" t="s">
        <v>74</v>
      </c>
      <c r="L166" t="s">
        <v>74</v>
      </c>
      <c r="M166" t="s">
        <v>78</v>
      </c>
      <c r="N166" t="s">
        <v>79</v>
      </c>
      <c r="O166" t="s">
        <v>74</v>
      </c>
      <c r="P166" t="s">
        <v>74</v>
      </c>
      <c r="Q166" t="s">
        <v>74</v>
      </c>
      <c r="R166" t="s">
        <v>74</v>
      </c>
      <c r="S166" t="s">
        <v>74</v>
      </c>
      <c r="T166" t="s">
        <v>3637</v>
      </c>
      <c r="U166" t="s">
        <v>3638</v>
      </c>
      <c r="V166" t="s">
        <v>3639</v>
      </c>
      <c r="W166" t="s">
        <v>3640</v>
      </c>
      <c r="X166" t="s">
        <v>3641</v>
      </c>
      <c r="Y166" t="s">
        <v>3642</v>
      </c>
      <c r="Z166" t="s">
        <v>3643</v>
      </c>
      <c r="AA166" t="s">
        <v>3644</v>
      </c>
      <c r="AB166" t="s">
        <v>3645</v>
      </c>
      <c r="AC166" t="s">
        <v>3646</v>
      </c>
      <c r="AD166" t="s">
        <v>3646</v>
      </c>
      <c r="AE166" t="s">
        <v>3647</v>
      </c>
      <c r="AF166" t="s">
        <v>74</v>
      </c>
      <c r="AG166">
        <v>94</v>
      </c>
      <c r="AH166">
        <v>3</v>
      </c>
      <c r="AI166">
        <v>3</v>
      </c>
      <c r="AJ166">
        <v>6</v>
      </c>
      <c r="AK166">
        <v>26</v>
      </c>
      <c r="AL166" t="s">
        <v>2042</v>
      </c>
      <c r="AM166" t="s">
        <v>2043</v>
      </c>
      <c r="AN166" t="s">
        <v>2044</v>
      </c>
      <c r="AO166" t="s">
        <v>3648</v>
      </c>
      <c r="AP166" t="s">
        <v>3649</v>
      </c>
      <c r="AQ166" t="s">
        <v>74</v>
      </c>
      <c r="AR166" t="s">
        <v>3650</v>
      </c>
      <c r="AS166" t="s">
        <v>3651</v>
      </c>
      <c r="AT166" t="s">
        <v>3604</v>
      </c>
      <c r="AU166">
        <v>2022</v>
      </c>
      <c r="AV166">
        <v>127</v>
      </c>
      <c r="AW166">
        <v>10</v>
      </c>
      <c r="AX166" t="s">
        <v>74</v>
      </c>
      <c r="AY166" t="s">
        <v>74</v>
      </c>
      <c r="AZ166" t="s">
        <v>74</v>
      </c>
      <c r="BA166" t="s">
        <v>74</v>
      </c>
      <c r="BB166" t="s">
        <v>74</v>
      </c>
      <c r="BC166" t="s">
        <v>74</v>
      </c>
      <c r="BD166" t="s">
        <v>3652</v>
      </c>
      <c r="BE166" t="s">
        <v>3653</v>
      </c>
      <c r="BF166" t="str">
        <f>HYPERLINK("http://dx.doi.org/10.1029/2021JD036172","http://dx.doi.org/10.1029/2021JD036172")</f>
        <v>http://dx.doi.org/10.1029/2021JD036172</v>
      </c>
      <c r="BG166" t="s">
        <v>74</v>
      </c>
      <c r="BH166" t="s">
        <v>74</v>
      </c>
      <c r="BI166">
        <v>17</v>
      </c>
      <c r="BJ166" t="s">
        <v>510</v>
      </c>
      <c r="BK166" t="s">
        <v>101</v>
      </c>
      <c r="BL166" t="s">
        <v>510</v>
      </c>
      <c r="BM166" t="s">
        <v>3654</v>
      </c>
      <c r="BN166" t="s">
        <v>74</v>
      </c>
      <c r="BO166" t="s">
        <v>74</v>
      </c>
      <c r="BP166" t="s">
        <v>74</v>
      </c>
      <c r="BQ166" t="s">
        <v>74</v>
      </c>
      <c r="BR166" t="s">
        <v>103</v>
      </c>
      <c r="BS166" t="s">
        <v>3655</v>
      </c>
      <c r="BT166" t="str">
        <f>HYPERLINK("https%3A%2F%2Fwww.webofscience.com%2Fwos%2Fwoscc%2Ffull-record%2FWOS:000802797500001","View Full Record in Web of Science")</f>
        <v>View Full Record in Web of Science</v>
      </c>
    </row>
    <row r="167" spans="1:72" x14ac:dyDescent="0.15">
      <c r="A167" t="s">
        <v>72</v>
      </c>
      <c r="B167" t="s">
        <v>3656</v>
      </c>
      <c r="C167" t="s">
        <v>74</v>
      </c>
      <c r="D167" t="s">
        <v>74</v>
      </c>
      <c r="E167" t="s">
        <v>74</v>
      </c>
      <c r="F167" t="s">
        <v>3657</v>
      </c>
      <c r="G167" t="s">
        <v>74</v>
      </c>
      <c r="H167" t="s">
        <v>74</v>
      </c>
      <c r="I167" t="s">
        <v>3658</v>
      </c>
      <c r="J167" t="s">
        <v>715</v>
      </c>
      <c r="K167" t="s">
        <v>74</v>
      </c>
      <c r="L167" t="s">
        <v>74</v>
      </c>
      <c r="M167" t="s">
        <v>78</v>
      </c>
      <c r="N167" t="s">
        <v>596</v>
      </c>
      <c r="O167" t="s">
        <v>74</v>
      </c>
      <c r="P167" t="s">
        <v>74</v>
      </c>
      <c r="Q167" t="s">
        <v>74</v>
      </c>
      <c r="R167" t="s">
        <v>74</v>
      </c>
      <c r="S167" t="s">
        <v>74</v>
      </c>
      <c r="T167" t="s">
        <v>74</v>
      </c>
      <c r="U167" t="s">
        <v>74</v>
      </c>
      <c r="V167" t="s">
        <v>3659</v>
      </c>
      <c r="W167" t="s">
        <v>3660</v>
      </c>
      <c r="X167" t="s">
        <v>3661</v>
      </c>
      <c r="Y167" t="s">
        <v>3662</v>
      </c>
      <c r="Z167" t="s">
        <v>3663</v>
      </c>
      <c r="AA167" t="s">
        <v>74</v>
      </c>
      <c r="AB167" t="s">
        <v>3664</v>
      </c>
      <c r="AC167" t="s">
        <v>3665</v>
      </c>
      <c r="AD167" t="s">
        <v>3666</v>
      </c>
      <c r="AE167" t="s">
        <v>3667</v>
      </c>
      <c r="AF167" t="s">
        <v>74</v>
      </c>
      <c r="AG167">
        <v>23</v>
      </c>
      <c r="AH167">
        <v>7</v>
      </c>
      <c r="AI167">
        <v>7</v>
      </c>
      <c r="AJ167">
        <v>1</v>
      </c>
      <c r="AK167">
        <v>8</v>
      </c>
      <c r="AL167" t="s">
        <v>455</v>
      </c>
      <c r="AM167" t="s">
        <v>456</v>
      </c>
      <c r="AN167" t="s">
        <v>457</v>
      </c>
      <c r="AO167" t="s">
        <v>74</v>
      </c>
      <c r="AP167" t="s">
        <v>727</v>
      </c>
      <c r="AQ167" t="s">
        <v>74</v>
      </c>
      <c r="AR167" t="s">
        <v>728</v>
      </c>
      <c r="AS167" t="s">
        <v>729</v>
      </c>
      <c r="AT167" t="s">
        <v>3604</v>
      </c>
      <c r="AU167">
        <v>2022</v>
      </c>
      <c r="AV167">
        <v>9</v>
      </c>
      <c r="AW167">
        <v>1</v>
      </c>
      <c r="AX167" t="s">
        <v>74</v>
      </c>
      <c r="AY167" t="s">
        <v>74</v>
      </c>
      <c r="AZ167" t="s">
        <v>74</v>
      </c>
      <c r="BA167" t="s">
        <v>74</v>
      </c>
      <c r="BB167" t="s">
        <v>74</v>
      </c>
      <c r="BC167" t="s">
        <v>74</v>
      </c>
      <c r="BD167">
        <v>245</v>
      </c>
      <c r="BE167" t="s">
        <v>3668</v>
      </c>
      <c r="BF167" t="str">
        <f>HYPERLINK("http://dx.doi.org/10.1038/s41597-022-01377-4","http://dx.doi.org/10.1038/s41597-022-01377-4")</f>
        <v>http://dx.doi.org/10.1038/s41597-022-01377-4</v>
      </c>
      <c r="BG167" t="s">
        <v>74</v>
      </c>
      <c r="BH167" t="s">
        <v>74</v>
      </c>
      <c r="BI167">
        <v>8</v>
      </c>
      <c r="BJ167" t="s">
        <v>657</v>
      </c>
      <c r="BK167" t="s">
        <v>101</v>
      </c>
      <c r="BL167" t="s">
        <v>658</v>
      </c>
      <c r="BM167" t="s">
        <v>3669</v>
      </c>
      <c r="BN167">
        <v>35624202</v>
      </c>
      <c r="BO167" t="s">
        <v>3044</v>
      </c>
      <c r="BP167" t="s">
        <v>74</v>
      </c>
      <c r="BQ167" t="s">
        <v>74</v>
      </c>
      <c r="BR167" t="s">
        <v>103</v>
      </c>
      <c r="BS167" t="s">
        <v>3670</v>
      </c>
      <c r="BT167" t="str">
        <f>HYPERLINK("https%3A%2F%2Fwww.webofscience.com%2Fwos%2Fwoscc%2Ffull-record%2FWOS:000802340900001","View Full Record in Web of Science")</f>
        <v>View Full Record in Web of Science</v>
      </c>
    </row>
    <row r="168" spans="1:72" x14ac:dyDescent="0.15">
      <c r="A168" t="s">
        <v>72</v>
      </c>
      <c r="B168" t="s">
        <v>3671</v>
      </c>
      <c r="C168" t="s">
        <v>74</v>
      </c>
      <c r="D168" t="s">
        <v>74</v>
      </c>
      <c r="E168" t="s">
        <v>74</v>
      </c>
      <c r="F168" t="s">
        <v>3672</v>
      </c>
      <c r="G168" t="s">
        <v>74</v>
      </c>
      <c r="H168" t="s">
        <v>74</v>
      </c>
      <c r="I168" t="s">
        <v>3673</v>
      </c>
      <c r="J168" t="s">
        <v>388</v>
      </c>
      <c r="K168" t="s">
        <v>74</v>
      </c>
      <c r="L168" t="s">
        <v>74</v>
      </c>
      <c r="M168" t="s">
        <v>78</v>
      </c>
      <c r="N168" t="s">
        <v>79</v>
      </c>
      <c r="O168" t="s">
        <v>74</v>
      </c>
      <c r="P168" t="s">
        <v>74</v>
      </c>
      <c r="Q168" t="s">
        <v>74</v>
      </c>
      <c r="R168" t="s">
        <v>74</v>
      </c>
      <c r="S168" t="s">
        <v>74</v>
      </c>
      <c r="T168" t="s">
        <v>74</v>
      </c>
      <c r="U168" t="s">
        <v>3674</v>
      </c>
      <c r="V168" t="s">
        <v>3675</v>
      </c>
      <c r="W168" t="s">
        <v>3676</v>
      </c>
      <c r="X168" t="s">
        <v>3677</v>
      </c>
      <c r="Y168" t="s">
        <v>3678</v>
      </c>
      <c r="Z168" t="s">
        <v>3679</v>
      </c>
      <c r="AA168" t="s">
        <v>3680</v>
      </c>
      <c r="AB168" t="s">
        <v>3681</v>
      </c>
      <c r="AC168" t="s">
        <v>3682</v>
      </c>
      <c r="AD168" t="s">
        <v>3683</v>
      </c>
      <c r="AE168" t="s">
        <v>3684</v>
      </c>
      <c r="AF168" t="s">
        <v>74</v>
      </c>
      <c r="AG168">
        <v>63</v>
      </c>
      <c r="AH168">
        <v>38</v>
      </c>
      <c r="AI168">
        <v>40</v>
      </c>
      <c r="AJ168">
        <v>8</v>
      </c>
      <c r="AK168">
        <v>36</v>
      </c>
      <c r="AL168" t="s">
        <v>400</v>
      </c>
      <c r="AM168" t="s">
        <v>401</v>
      </c>
      <c r="AN168" t="s">
        <v>402</v>
      </c>
      <c r="AO168" t="s">
        <v>74</v>
      </c>
      <c r="AP168" t="s">
        <v>403</v>
      </c>
      <c r="AQ168" t="s">
        <v>74</v>
      </c>
      <c r="AR168" t="s">
        <v>404</v>
      </c>
      <c r="AS168" t="s">
        <v>405</v>
      </c>
      <c r="AT168" t="s">
        <v>3604</v>
      </c>
      <c r="AU168">
        <v>2022</v>
      </c>
      <c r="AV168">
        <v>3</v>
      </c>
      <c r="AW168">
        <v>1</v>
      </c>
      <c r="AX168" t="s">
        <v>74</v>
      </c>
      <c r="AY168" t="s">
        <v>74</v>
      </c>
      <c r="AZ168" t="s">
        <v>74</v>
      </c>
      <c r="BA168" t="s">
        <v>74</v>
      </c>
      <c r="BB168" t="s">
        <v>74</v>
      </c>
      <c r="BC168" t="s">
        <v>74</v>
      </c>
      <c r="BD168">
        <v>122</v>
      </c>
      <c r="BE168" t="s">
        <v>3685</v>
      </c>
      <c r="BF168" t="str">
        <f>HYPERLINK("http://dx.doi.org/10.1038/s43247-022-00450-5","http://dx.doi.org/10.1038/s43247-022-00450-5")</f>
        <v>http://dx.doi.org/10.1038/s43247-022-00450-5</v>
      </c>
      <c r="BG168" t="s">
        <v>74</v>
      </c>
      <c r="BH168" t="s">
        <v>74</v>
      </c>
      <c r="BI168">
        <v>9</v>
      </c>
      <c r="BJ168" t="s">
        <v>407</v>
      </c>
      <c r="BK168" t="s">
        <v>101</v>
      </c>
      <c r="BL168" t="s">
        <v>408</v>
      </c>
      <c r="BM168" t="s">
        <v>3686</v>
      </c>
      <c r="BN168" t="s">
        <v>74</v>
      </c>
      <c r="BO168" t="s">
        <v>1533</v>
      </c>
      <c r="BP168" t="s">
        <v>74</v>
      </c>
      <c r="BQ168" t="s">
        <v>74</v>
      </c>
      <c r="BR168" t="s">
        <v>103</v>
      </c>
      <c r="BS168" t="s">
        <v>3687</v>
      </c>
      <c r="BT168" t="str">
        <f>HYPERLINK("https%3A%2F%2Fwww.webofscience.com%2Fwos%2Fwoscc%2Ffull-record%2FWOS:000800759500001","View Full Record in Web of Science")</f>
        <v>View Full Record in Web of Science</v>
      </c>
    </row>
    <row r="169" spans="1:72" x14ac:dyDescent="0.15">
      <c r="A169" t="s">
        <v>72</v>
      </c>
      <c r="B169" t="s">
        <v>3688</v>
      </c>
      <c r="C169" t="s">
        <v>74</v>
      </c>
      <c r="D169" t="s">
        <v>74</v>
      </c>
      <c r="E169" t="s">
        <v>74</v>
      </c>
      <c r="F169" t="s">
        <v>3689</v>
      </c>
      <c r="G169" t="s">
        <v>74</v>
      </c>
      <c r="H169" t="s">
        <v>74</v>
      </c>
      <c r="I169" t="s">
        <v>3690</v>
      </c>
      <c r="J169" t="s">
        <v>3691</v>
      </c>
      <c r="K169" t="s">
        <v>74</v>
      </c>
      <c r="L169" t="s">
        <v>74</v>
      </c>
      <c r="M169" t="s">
        <v>78</v>
      </c>
      <c r="N169" t="s">
        <v>79</v>
      </c>
      <c r="O169" t="s">
        <v>74</v>
      </c>
      <c r="P169" t="s">
        <v>74</v>
      </c>
      <c r="Q169" t="s">
        <v>74</v>
      </c>
      <c r="R169" t="s">
        <v>74</v>
      </c>
      <c r="S169" t="s">
        <v>74</v>
      </c>
      <c r="T169" t="s">
        <v>3692</v>
      </c>
      <c r="U169" t="s">
        <v>3693</v>
      </c>
      <c r="V169" t="s">
        <v>3694</v>
      </c>
      <c r="W169" t="s">
        <v>3695</v>
      </c>
      <c r="X169" t="s">
        <v>3696</v>
      </c>
      <c r="Y169" t="s">
        <v>3697</v>
      </c>
      <c r="Z169" t="s">
        <v>3698</v>
      </c>
      <c r="AA169" t="s">
        <v>74</v>
      </c>
      <c r="AB169" t="s">
        <v>3699</v>
      </c>
      <c r="AC169" t="s">
        <v>74</v>
      </c>
      <c r="AD169" t="s">
        <v>74</v>
      </c>
      <c r="AE169" t="s">
        <v>74</v>
      </c>
      <c r="AF169" t="s">
        <v>74</v>
      </c>
      <c r="AG169">
        <v>101</v>
      </c>
      <c r="AH169">
        <v>0</v>
      </c>
      <c r="AI169">
        <v>0</v>
      </c>
      <c r="AJ169">
        <v>0</v>
      </c>
      <c r="AK169">
        <v>2</v>
      </c>
      <c r="AL169" t="s">
        <v>428</v>
      </c>
      <c r="AM169" t="s">
        <v>531</v>
      </c>
      <c r="AN169" t="s">
        <v>748</v>
      </c>
      <c r="AO169" t="s">
        <v>3700</v>
      </c>
      <c r="AP169" t="s">
        <v>3701</v>
      </c>
      <c r="AQ169" t="s">
        <v>74</v>
      </c>
      <c r="AR169" t="s">
        <v>3702</v>
      </c>
      <c r="AS169" t="s">
        <v>3703</v>
      </c>
      <c r="AT169" t="s">
        <v>3604</v>
      </c>
      <c r="AU169">
        <v>2022</v>
      </c>
      <c r="AV169">
        <v>58</v>
      </c>
      <c r="AW169" t="s">
        <v>74</v>
      </c>
      <c r="AX169" t="s">
        <v>74</v>
      </c>
      <c r="AY169" t="s">
        <v>74</v>
      </c>
      <c r="AZ169" t="s">
        <v>74</v>
      </c>
      <c r="BA169" t="s">
        <v>74</v>
      </c>
      <c r="BB169" t="s">
        <v>74</v>
      </c>
      <c r="BC169" t="s">
        <v>74</v>
      </c>
      <c r="BD169" t="s">
        <v>3704</v>
      </c>
      <c r="BE169" t="s">
        <v>3705</v>
      </c>
      <c r="BF169" t="str">
        <f>HYPERLINK("http://dx.doi.org/10.1017/S0032247422000110","http://dx.doi.org/10.1017/S0032247422000110")</f>
        <v>http://dx.doi.org/10.1017/S0032247422000110</v>
      </c>
      <c r="BG169" t="s">
        <v>74</v>
      </c>
      <c r="BH169" t="s">
        <v>74</v>
      </c>
      <c r="BI169">
        <v>9</v>
      </c>
      <c r="BJ169" t="s">
        <v>2665</v>
      </c>
      <c r="BK169" t="s">
        <v>101</v>
      </c>
      <c r="BL169" t="s">
        <v>840</v>
      </c>
      <c r="BM169" t="s">
        <v>3706</v>
      </c>
      <c r="BN169" t="s">
        <v>74</v>
      </c>
      <c r="BO169" t="s">
        <v>267</v>
      </c>
      <c r="BP169" t="s">
        <v>74</v>
      </c>
      <c r="BQ169" t="s">
        <v>74</v>
      </c>
      <c r="BR169" t="s">
        <v>103</v>
      </c>
      <c r="BS169" t="s">
        <v>3707</v>
      </c>
      <c r="BT169" t="str">
        <f>HYPERLINK("https%3A%2F%2Fwww.webofscience.com%2Fwos%2Fwoscc%2Ffull-record%2FWOS:000800603400001","View Full Record in Web of Science")</f>
        <v>View Full Record in Web of Science</v>
      </c>
    </row>
    <row r="170" spans="1:72" x14ac:dyDescent="0.15">
      <c r="A170" t="s">
        <v>72</v>
      </c>
      <c r="B170" t="s">
        <v>3708</v>
      </c>
      <c r="C170" t="s">
        <v>74</v>
      </c>
      <c r="D170" t="s">
        <v>74</v>
      </c>
      <c r="E170" t="s">
        <v>74</v>
      </c>
      <c r="F170" t="s">
        <v>3709</v>
      </c>
      <c r="G170" t="s">
        <v>74</v>
      </c>
      <c r="H170" t="s">
        <v>74</v>
      </c>
      <c r="I170" t="s">
        <v>3710</v>
      </c>
      <c r="J170" t="s">
        <v>546</v>
      </c>
      <c r="K170" t="s">
        <v>74</v>
      </c>
      <c r="L170" t="s">
        <v>74</v>
      </c>
      <c r="M170" t="s">
        <v>78</v>
      </c>
      <c r="N170" t="s">
        <v>79</v>
      </c>
      <c r="O170" t="s">
        <v>74</v>
      </c>
      <c r="P170" t="s">
        <v>74</v>
      </c>
      <c r="Q170" t="s">
        <v>74</v>
      </c>
      <c r="R170" t="s">
        <v>74</v>
      </c>
      <c r="S170" t="s">
        <v>74</v>
      </c>
      <c r="T170" t="s">
        <v>3711</v>
      </c>
      <c r="U170" t="s">
        <v>3712</v>
      </c>
      <c r="V170" t="s">
        <v>3713</v>
      </c>
      <c r="W170" t="s">
        <v>3714</v>
      </c>
      <c r="X170" t="s">
        <v>3715</v>
      </c>
      <c r="Y170" t="s">
        <v>3716</v>
      </c>
      <c r="Z170" t="s">
        <v>3717</v>
      </c>
      <c r="AA170" t="s">
        <v>3718</v>
      </c>
      <c r="AB170" t="s">
        <v>3719</v>
      </c>
      <c r="AC170" t="s">
        <v>3720</v>
      </c>
      <c r="AD170" t="s">
        <v>3721</v>
      </c>
      <c r="AE170" t="s">
        <v>3722</v>
      </c>
      <c r="AF170" t="s">
        <v>74</v>
      </c>
      <c r="AG170">
        <v>85</v>
      </c>
      <c r="AH170">
        <v>0</v>
      </c>
      <c r="AI170">
        <v>0</v>
      </c>
      <c r="AJ170">
        <v>2</v>
      </c>
      <c r="AK170">
        <v>16</v>
      </c>
      <c r="AL170" t="s">
        <v>285</v>
      </c>
      <c r="AM170" t="s">
        <v>286</v>
      </c>
      <c r="AN170" t="s">
        <v>287</v>
      </c>
      <c r="AO170" t="s">
        <v>74</v>
      </c>
      <c r="AP170" t="s">
        <v>558</v>
      </c>
      <c r="AQ170" t="s">
        <v>74</v>
      </c>
      <c r="AR170" t="s">
        <v>559</v>
      </c>
      <c r="AS170" t="s">
        <v>560</v>
      </c>
      <c r="AT170" t="s">
        <v>3723</v>
      </c>
      <c r="AU170">
        <v>2022</v>
      </c>
      <c r="AV170">
        <v>9</v>
      </c>
      <c r="AW170" t="s">
        <v>74</v>
      </c>
      <c r="AX170" t="s">
        <v>74</v>
      </c>
      <c r="AY170" t="s">
        <v>74</v>
      </c>
      <c r="AZ170" t="s">
        <v>74</v>
      </c>
      <c r="BA170" t="s">
        <v>74</v>
      </c>
      <c r="BB170" t="s">
        <v>74</v>
      </c>
      <c r="BC170" t="s">
        <v>74</v>
      </c>
      <c r="BD170">
        <v>891663</v>
      </c>
      <c r="BE170" t="s">
        <v>3724</v>
      </c>
      <c r="BF170" t="str">
        <f>HYPERLINK("http://dx.doi.org/10.3389/fmars.2022.891663","http://dx.doi.org/10.3389/fmars.2022.891663")</f>
        <v>http://dx.doi.org/10.3389/fmars.2022.891663</v>
      </c>
      <c r="BG170" t="s">
        <v>74</v>
      </c>
      <c r="BH170" t="s">
        <v>74</v>
      </c>
      <c r="BI170">
        <v>15</v>
      </c>
      <c r="BJ170" t="s">
        <v>563</v>
      </c>
      <c r="BK170" t="s">
        <v>101</v>
      </c>
      <c r="BL170" t="s">
        <v>564</v>
      </c>
      <c r="BM170" t="s">
        <v>3725</v>
      </c>
      <c r="BN170" t="s">
        <v>74</v>
      </c>
      <c r="BO170" t="s">
        <v>438</v>
      </c>
      <c r="BP170" t="s">
        <v>74</v>
      </c>
      <c r="BQ170" t="s">
        <v>74</v>
      </c>
      <c r="BR170" t="s">
        <v>103</v>
      </c>
      <c r="BS170" t="s">
        <v>3726</v>
      </c>
      <c r="BT170" t="str">
        <f>HYPERLINK("https%3A%2F%2Fwww.webofscience.com%2Fwos%2Fwoscc%2Ffull-record%2FWOS:000808253300001","View Full Record in Web of Science")</f>
        <v>View Full Record in Web of Science</v>
      </c>
    </row>
    <row r="171" spans="1:72" x14ac:dyDescent="0.15">
      <c r="A171" t="s">
        <v>72</v>
      </c>
      <c r="B171" t="s">
        <v>3727</v>
      </c>
      <c r="C171" t="s">
        <v>74</v>
      </c>
      <c r="D171" t="s">
        <v>74</v>
      </c>
      <c r="E171" t="s">
        <v>74</v>
      </c>
      <c r="F171" t="s">
        <v>3728</v>
      </c>
      <c r="G171" t="s">
        <v>74</v>
      </c>
      <c r="H171" t="s">
        <v>74</v>
      </c>
      <c r="I171" t="s">
        <v>3729</v>
      </c>
      <c r="J171" t="s">
        <v>3730</v>
      </c>
      <c r="K171" t="s">
        <v>74</v>
      </c>
      <c r="L171" t="s">
        <v>74</v>
      </c>
      <c r="M171" t="s">
        <v>78</v>
      </c>
      <c r="N171" t="s">
        <v>79</v>
      </c>
      <c r="O171" t="s">
        <v>74</v>
      </c>
      <c r="P171" t="s">
        <v>74</v>
      </c>
      <c r="Q171" t="s">
        <v>74</v>
      </c>
      <c r="R171" t="s">
        <v>74</v>
      </c>
      <c r="S171" t="s">
        <v>74</v>
      </c>
      <c r="T171" t="s">
        <v>74</v>
      </c>
      <c r="U171" t="s">
        <v>3731</v>
      </c>
      <c r="V171" t="s">
        <v>3732</v>
      </c>
      <c r="W171" t="s">
        <v>3733</v>
      </c>
      <c r="X171" t="s">
        <v>3734</v>
      </c>
      <c r="Y171" t="s">
        <v>3735</v>
      </c>
      <c r="Z171" t="s">
        <v>3736</v>
      </c>
      <c r="AA171" t="s">
        <v>3737</v>
      </c>
      <c r="AB171" t="s">
        <v>3738</v>
      </c>
      <c r="AC171" t="s">
        <v>3739</v>
      </c>
      <c r="AD171" t="s">
        <v>3740</v>
      </c>
      <c r="AE171" t="s">
        <v>3741</v>
      </c>
      <c r="AF171" t="s">
        <v>74</v>
      </c>
      <c r="AG171">
        <v>73</v>
      </c>
      <c r="AH171">
        <v>28</v>
      </c>
      <c r="AI171">
        <v>29</v>
      </c>
      <c r="AJ171">
        <v>24</v>
      </c>
      <c r="AK171">
        <v>101</v>
      </c>
      <c r="AL171" t="s">
        <v>455</v>
      </c>
      <c r="AM171" t="s">
        <v>456</v>
      </c>
      <c r="AN171" t="s">
        <v>457</v>
      </c>
      <c r="AO171" t="s">
        <v>3742</v>
      </c>
      <c r="AP171" t="s">
        <v>3743</v>
      </c>
      <c r="AQ171" t="s">
        <v>74</v>
      </c>
      <c r="AR171" t="s">
        <v>3730</v>
      </c>
      <c r="AS171" t="s">
        <v>3744</v>
      </c>
      <c r="AT171" t="s">
        <v>3723</v>
      </c>
      <c r="AU171">
        <v>2022</v>
      </c>
      <c r="AV171">
        <v>605</v>
      </c>
      <c r="AW171">
        <v>7911</v>
      </c>
      <c r="AX171" t="s">
        <v>74</v>
      </c>
      <c r="AY171" t="s">
        <v>74</v>
      </c>
      <c r="AZ171" t="s">
        <v>74</v>
      </c>
      <c r="BA171" t="s">
        <v>74</v>
      </c>
      <c r="BB171">
        <v>696</v>
      </c>
      <c r="BC171" t="s">
        <v>462</v>
      </c>
      <c r="BD171" t="s">
        <v>74</v>
      </c>
      <c r="BE171" t="s">
        <v>3745</v>
      </c>
      <c r="BF171" t="str">
        <f>HYPERLINK("http://dx.doi.org/10.1038/s41586-022-04687-0","http://dx.doi.org/10.1038/s41586-022-04687-0")</f>
        <v>http://dx.doi.org/10.1038/s41586-022-04687-0</v>
      </c>
      <c r="BG171" t="s">
        <v>74</v>
      </c>
      <c r="BH171" t="s">
        <v>74</v>
      </c>
      <c r="BI171">
        <v>17</v>
      </c>
      <c r="BJ171" t="s">
        <v>657</v>
      </c>
      <c r="BK171" t="s">
        <v>101</v>
      </c>
      <c r="BL171" t="s">
        <v>658</v>
      </c>
      <c r="BM171" t="s">
        <v>3746</v>
      </c>
      <c r="BN171">
        <v>35614245</v>
      </c>
      <c r="BO171" t="s">
        <v>643</v>
      </c>
      <c r="BP171" t="s">
        <v>74</v>
      </c>
      <c r="BQ171" t="s">
        <v>74</v>
      </c>
      <c r="BR171" t="s">
        <v>103</v>
      </c>
      <c r="BS171" t="s">
        <v>3747</v>
      </c>
      <c r="BT171" t="str">
        <f>HYPERLINK("https%3A%2F%2Fwww.webofscience.com%2Fwos%2Fwoscc%2Ffull-record%2FWOS:000802032400020","View Full Record in Web of Science")</f>
        <v>View Full Record in Web of Science</v>
      </c>
    </row>
    <row r="172" spans="1:72" x14ac:dyDescent="0.15">
      <c r="A172" t="s">
        <v>72</v>
      </c>
      <c r="B172" t="s">
        <v>3748</v>
      </c>
      <c r="C172" t="s">
        <v>74</v>
      </c>
      <c r="D172" t="s">
        <v>74</v>
      </c>
      <c r="E172" t="s">
        <v>74</v>
      </c>
      <c r="F172" t="s">
        <v>3749</v>
      </c>
      <c r="G172" t="s">
        <v>74</v>
      </c>
      <c r="H172" t="s">
        <v>74</v>
      </c>
      <c r="I172" t="s">
        <v>3750</v>
      </c>
      <c r="J172" t="s">
        <v>3751</v>
      </c>
      <c r="K172" t="s">
        <v>74</v>
      </c>
      <c r="L172" t="s">
        <v>74</v>
      </c>
      <c r="M172" t="s">
        <v>78</v>
      </c>
      <c r="N172" t="s">
        <v>79</v>
      </c>
      <c r="O172" t="s">
        <v>74</v>
      </c>
      <c r="P172" t="s">
        <v>74</v>
      </c>
      <c r="Q172" t="s">
        <v>74</v>
      </c>
      <c r="R172" t="s">
        <v>74</v>
      </c>
      <c r="S172" t="s">
        <v>74</v>
      </c>
      <c r="T172" t="s">
        <v>3752</v>
      </c>
      <c r="U172" t="s">
        <v>3753</v>
      </c>
      <c r="V172" t="s">
        <v>3754</v>
      </c>
      <c r="W172" t="s">
        <v>3755</v>
      </c>
      <c r="X172" t="s">
        <v>3756</v>
      </c>
      <c r="Y172" t="s">
        <v>3757</v>
      </c>
      <c r="Z172" t="s">
        <v>3758</v>
      </c>
      <c r="AA172" t="s">
        <v>3759</v>
      </c>
      <c r="AB172" t="s">
        <v>3760</v>
      </c>
      <c r="AC172" t="s">
        <v>3761</v>
      </c>
      <c r="AD172" t="s">
        <v>3762</v>
      </c>
      <c r="AE172" t="s">
        <v>3761</v>
      </c>
      <c r="AF172" t="s">
        <v>74</v>
      </c>
      <c r="AG172">
        <v>119</v>
      </c>
      <c r="AH172">
        <v>1</v>
      </c>
      <c r="AI172">
        <v>1</v>
      </c>
      <c r="AJ172">
        <v>1</v>
      </c>
      <c r="AK172">
        <v>3</v>
      </c>
      <c r="AL172" t="s">
        <v>91</v>
      </c>
      <c r="AM172" t="s">
        <v>92</v>
      </c>
      <c r="AN172" t="s">
        <v>93</v>
      </c>
      <c r="AO172" t="s">
        <v>3763</v>
      </c>
      <c r="AP172" t="s">
        <v>3764</v>
      </c>
      <c r="AQ172" t="s">
        <v>74</v>
      </c>
      <c r="AR172" t="s">
        <v>3765</v>
      </c>
      <c r="AS172" t="s">
        <v>3766</v>
      </c>
      <c r="AT172" t="s">
        <v>3767</v>
      </c>
      <c r="AU172">
        <v>2022</v>
      </c>
      <c r="AV172">
        <v>42</v>
      </c>
      <c r="AW172">
        <v>15</v>
      </c>
      <c r="AX172" t="s">
        <v>74</v>
      </c>
      <c r="AY172" t="s">
        <v>74</v>
      </c>
      <c r="AZ172" t="s">
        <v>74</v>
      </c>
      <c r="BA172" t="s">
        <v>74</v>
      </c>
      <c r="BB172">
        <v>7794</v>
      </c>
      <c r="BC172">
        <v>7816</v>
      </c>
      <c r="BD172" t="s">
        <v>74</v>
      </c>
      <c r="BE172" t="s">
        <v>3768</v>
      </c>
      <c r="BF172" t="str">
        <f>HYPERLINK("http://dx.doi.org/10.1002/joc.7678","http://dx.doi.org/10.1002/joc.7678")</f>
        <v>http://dx.doi.org/10.1002/joc.7678</v>
      </c>
      <c r="BG172" t="s">
        <v>74</v>
      </c>
      <c r="BH172" t="s">
        <v>3111</v>
      </c>
      <c r="BI172">
        <v>23</v>
      </c>
      <c r="BJ172" t="s">
        <v>510</v>
      </c>
      <c r="BK172" t="s">
        <v>101</v>
      </c>
      <c r="BL172" t="s">
        <v>510</v>
      </c>
      <c r="BM172" t="s">
        <v>3769</v>
      </c>
      <c r="BN172" t="s">
        <v>74</v>
      </c>
      <c r="BO172" t="s">
        <v>74</v>
      </c>
      <c r="BP172" t="s">
        <v>74</v>
      </c>
      <c r="BQ172" t="s">
        <v>74</v>
      </c>
      <c r="BR172" t="s">
        <v>103</v>
      </c>
      <c r="BS172" t="s">
        <v>3770</v>
      </c>
      <c r="BT172" t="str">
        <f>HYPERLINK("https%3A%2F%2Fwww.webofscience.com%2Fwos%2Fwoscc%2Ffull-record%2FWOS:000800416600001","View Full Record in Web of Science")</f>
        <v>View Full Record in Web of Science</v>
      </c>
    </row>
    <row r="173" spans="1:72" x14ac:dyDescent="0.15">
      <c r="A173" t="s">
        <v>72</v>
      </c>
      <c r="B173" t="s">
        <v>3771</v>
      </c>
      <c r="C173" t="s">
        <v>74</v>
      </c>
      <c r="D173" t="s">
        <v>74</v>
      </c>
      <c r="E173" t="s">
        <v>74</v>
      </c>
      <c r="F173" t="s">
        <v>3772</v>
      </c>
      <c r="G173" t="s">
        <v>74</v>
      </c>
      <c r="H173" t="s">
        <v>74</v>
      </c>
      <c r="I173" t="s">
        <v>3773</v>
      </c>
      <c r="J173" t="s">
        <v>1154</v>
      </c>
      <c r="K173" t="s">
        <v>74</v>
      </c>
      <c r="L173" t="s">
        <v>74</v>
      </c>
      <c r="M173" t="s">
        <v>78</v>
      </c>
      <c r="N173" t="s">
        <v>79</v>
      </c>
      <c r="O173" t="s">
        <v>74</v>
      </c>
      <c r="P173" t="s">
        <v>74</v>
      </c>
      <c r="Q173" t="s">
        <v>74</v>
      </c>
      <c r="R173" t="s">
        <v>74</v>
      </c>
      <c r="S173" t="s">
        <v>74</v>
      </c>
      <c r="T173" t="s">
        <v>3774</v>
      </c>
      <c r="U173" t="s">
        <v>3775</v>
      </c>
      <c r="V173" t="s">
        <v>3776</v>
      </c>
      <c r="W173" t="s">
        <v>3777</v>
      </c>
      <c r="X173" t="s">
        <v>3778</v>
      </c>
      <c r="Y173" t="s">
        <v>3779</v>
      </c>
      <c r="Z173" t="s">
        <v>3780</v>
      </c>
      <c r="AA173" t="s">
        <v>3781</v>
      </c>
      <c r="AB173" t="s">
        <v>3782</v>
      </c>
      <c r="AC173" t="s">
        <v>3783</v>
      </c>
      <c r="AD173" t="s">
        <v>3784</v>
      </c>
      <c r="AE173" t="s">
        <v>3785</v>
      </c>
      <c r="AF173" t="s">
        <v>74</v>
      </c>
      <c r="AG173">
        <v>126</v>
      </c>
      <c r="AH173">
        <v>1</v>
      </c>
      <c r="AI173">
        <v>2</v>
      </c>
      <c r="AJ173">
        <v>3</v>
      </c>
      <c r="AK173">
        <v>13</v>
      </c>
      <c r="AL173" t="s">
        <v>199</v>
      </c>
      <c r="AM173" t="s">
        <v>200</v>
      </c>
      <c r="AN173" t="s">
        <v>201</v>
      </c>
      <c r="AO173" t="s">
        <v>1167</v>
      </c>
      <c r="AP173" t="s">
        <v>1168</v>
      </c>
      <c r="AQ173" t="s">
        <v>74</v>
      </c>
      <c r="AR173" t="s">
        <v>1169</v>
      </c>
      <c r="AS173" t="s">
        <v>1170</v>
      </c>
      <c r="AT173" t="s">
        <v>3234</v>
      </c>
      <c r="AU173">
        <v>2022</v>
      </c>
      <c r="AV173">
        <v>287</v>
      </c>
      <c r="AW173" t="s">
        <v>74</v>
      </c>
      <c r="AX173" t="s">
        <v>74</v>
      </c>
      <c r="AY173" t="s">
        <v>74</v>
      </c>
      <c r="AZ173" t="s">
        <v>74</v>
      </c>
      <c r="BA173" t="s">
        <v>74</v>
      </c>
      <c r="BB173" t="s">
        <v>74</v>
      </c>
      <c r="BC173" t="s">
        <v>74</v>
      </c>
      <c r="BD173">
        <v>107556</v>
      </c>
      <c r="BE173" t="s">
        <v>3786</v>
      </c>
      <c r="BF173" t="str">
        <f>HYPERLINK("http://dx.doi.org/10.1016/j.quascirev.2022.107556","http://dx.doi.org/10.1016/j.quascirev.2022.107556")</f>
        <v>http://dx.doi.org/10.1016/j.quascirev.2022.107556</v>
      </c>
      <c r="BG173" t="s">
        <v>74</v>
      </c>
      <c r="BH173" t="s">
        <v>3111</v>
      </c>
      <c r="BI173">
        <v>14</v>
      </c>
      <c r="BJ173" t="s">
        <v>125</v>
      </c>
      <c r="BK173" t="s">
        <v>101</v>
      </c>
      <c r="BL173" t="s">
        <v>126</v>
      </c>
      <c r="BM173" t="s">
        <v>3787</v>
      </c>
      <c r="BN173" t="s">
        <v>74</v>
      </c>
      <c r="BO173" t="s">
        <v>1448</v>
      </c>
      <c r="BP173" t="s">
        <v>74</v>
      </c>
      <c r="BQ173" t="s">
        <v>74</v>
      </c>
      <c r="BR173" t="s">
        <v>103</v>
      </c>
      <c r="BS173" t="s">
        <v>3788</v>
      </c>
      <c r="BT173" t="str">
        <f>HYPERLINK("https%3A%2F%2Fwww.webofscience.com%2Fwos%2Fwoscc%2Ffull-record%2FWOS:000825397400004","View Full Record in Web of Science")</f>
        <v>View Full Record in Web of Science</v>
      </c>
    </row>
    <row r="174" spans="1:72" x14ac:dyDescent="0.15">
      <c r="A174" t="s">
        <v>72</v>
      </c>
      <c r="B174" t="s">
        <v>3789</v>
      </c>
      <c r="C174" t="s">
        <v>74</v>
      </c>
      <c r="D174" t="s">
        <v>74</v>
      </c>
      <c r="E174" t="s">
        <v>74</v>
      </c>
      <c r="F174" t="s">
        <v>3790</v>
      </c>
      <c r="G174" t="s">
        <v>74</v>
      </c>
      <c r="H174" t="s">
        <v>74</v>
      </c>
      <c r="I174" t="s">
        <v>3791</v>
      </c>
      <c r="J174" t="s">
        <v>3792</v>
      </c>
      <c r="K174" t="s">
        <v>74</v>
      </c>
      <c r="L174" t="s">
        <v>74</v>
      </c>
      <c r="M174" t="s">
        <v>78</v>
      </c>
      <c r="N174" t="s">
        <v>79</v>
      </c>
      <c r="O174" t="s">
        <v>74</v>
      </c>
      <c r="P174" t="s">
        <v>74</v>
      </c>
      <c r="Q174" t="s">
        <v>74</v>
      </c>
      <c r="R174" t="s">
        <v>74</v>
      </c>
      <c r="S174" t="s">
        <v>74</v>
      </c>
      <c r="T174" t="s">
        <v>3793</v>
      </c>
      <c r="U174" t="s">
        <v>3794</v>
      </c>
      <c r="V174" t="s">
        <v>3795</v>
      </c>
      <c r="W174" t="s">
        <v>3796</v>
      </c>
      <c r="X174" t="s">
        <v>3797</v>
      </c>
      <c r="Y174" t="s">
        <v>3798</v>
      </c>
      <c r="Z174" t="s">
        <v>3799</v>
      </c>
      <c r="AA174" t="s">
        <v>3800</v>
      </c>
      <c r="AB174" t="s">
        <v>74</v>
      </c>
      <c r="AC174" t="s">
        <v>3801</v>
      </c>
      <c r="AD174" t="s">
        <v>3801</v>
      </c>
      <c r="AE174" t="s">
        <v>3802</v>
      </c>
      <c r="AF174" t="s">
        <v>74</v>
      </c>
      <c r="AG174">
        <v>49</v>
      </c>
      <c r="AH174">
        <v>4</v>
      </c>
      <c r="AI174">
        <v>4</v>
      </c>
      <c r="AJ174">
        <v>9</v>
      </c>
      <c r="AK174">
        <v>64</v>
      </c>
      <c r="AL174" t="s">
        <v>257</v>
      </c>
      <c r="AM174" t="s">
        <v>258</v>
      </c>
      <c r="AN174" t="s">
        <v>259</v>
      </c>
      <c r="AO174" t="s">
        <v>3803</v>
      </c>
      <c r="AP174" t="s">
        <v>3804</v>
      </c>
      <c r="AQ174" t="s">
        <v>74</v>
      </c>
      <c r="AR174" t="s">
        <v>3805</v>
      </c>
      <c r="AS174" t="s">
        <v>3806</v>
      </c>
      <c r="AT174" t="s">
        <v>206</v>
      </c>
      <c r="AU174">
        <v>2022</v>
      </c>
      <c r="AV174">
        <v>248</v>
      </c>
      <c r="AW174" t="s">
        <v>74</v>
      </c>
      <c r="AX174" t="s">
        <v>74</v>
      </c>
      <c r="AY174" t="s">
        <v>74</v>
      </c>
      <c r="AZ174" t="s">
        <v>74</v>
      </c>
      <c r="BA174" t="s">
        <v>74</v>
      </c>
      <c r="BB174" t="s">
        <v>74</v>
      </c>
      <c r="BC174" t="s">
        <v>74</v>
      </c>
      <c r="BD174">
        <v>106194</v>
      </c>
      <c r="BE174" t="s">
        <v>3807</v>
      </c>
      <c r="BF174" t="str">
        <f>HYPERLINK("http://dx.doi.org/10.1016/j.aquatox.2022.106194","http://dx.doi.org/10.1016/j.aquatox.2022.106194")</f>
        <v>http://dx.doi.org/10.1016/j.aquatox.2022.106194</v>
      </c>
      <c r="BG174" t="s">
        <v>74</v>
      </c>
      <c r="BH174" t="s">
        <v>3111</v>
      </c>
      <c r="BI174">
        <v>9</v>
      </c>
      <c r="BJ174" t="s">
        <v>3808</v>
      </c>
      <c r="BK174" t="s">
        <v>101</v>
      </c>
      <c r="BL174" t="s">
        <v>3808</v>
      </c>
      <c r="BM174" t="s">
        <v>3809</v>
      </c>
      <c r="BN174">
        <v>35623197</v>
      </c>
      <c r="BO174" t="s">
        <v>74</v>
      </c>
      <c r="BP174" t="s">
        <v>74</v>
      </c>
      <c r="BQ174" t="s">
        <v>74</v>
      </c>
      <c r="BR174" t="s">
        <v>103</v>
      </c>
      <c r="BS174" t="s">
        <v>3810</v>
      </c>
      <c r="BT174" t="str">
        <f>HYPERLINK("https%3A%2F%2Fwww.webofscience.com%2Fwos%2Fwoscc%2Ffull-record%2FWOS:000806756300007","View Full Record in Web of Science")</f>
        <v>View Full Record in Web of Science</v>
      </c>
    </row>
    <row r="175" spans="1:72" x14ac:dyDescent="0.15">
      <c r="A175" t="s">
        <v>72</v>
      </c>
      <c r="B175" t="s">
        <v>3811</v>
      </c>
      <c r="C175" t="s">
        <v>74</v>
      </c>
      <c r="D175" t="s">
        <v>74</v>
      </c>
      <c r="E175" t="s">
        <v>74</v>
      </c>
      <c r="F175" t="s">
        <v>3812</v>
      </c>
      <c r="G175" t="s">
        <v>74</v>
      </c>
      <c r="H175" t="s">
        <v>74</v>
      </c>
      <c r="I175" t="s">
        <v>3813</v>
      </c>
      <c r="J175" t="s">
        <v>3814</v>
      </c>
      <c r="K175" t="s">
        <v>74</v>
      </c>
      <c r="L175" t="s">
        <v>74</v>
      </c>
      <c r="M175" t="s">
        <v>78</v>
      </c>
      <c r="N175" t="s">
        <v>79</v>
      </c>
      <c r="O175" t="s">
        <v>74</v>
      </c>
      <c r="P175" t="s">
        <v>74</v>
      </c>
      <c r="Q175" t="s">
        <v>74</v>
      </c>
      <c r="R175" t="s">
        <v>74</v>
      </c>
      <c r="S175" t="s">
        <v>74</v>
      </c>
      <c r="T175" t="s">
        <v>3815</v>
      </c>
      <c r="U175" t="s">
        <v>3816</v>
      </c>
      <c r="V175" t="s">
        <v>3817</v>
      </c>
      <c r="W175" t="s">
        <v>3818</v>
      </c>
      <c r="X175" t="s">
        <v>3819</v>
      </c>
      <c r="Y175" t="s">
        <v>3820</v>
      </c>
      <c r="Z175" t="s">
        <v>3821</v>
      </c>
      <c r="AA175" t="s">
        <v>74</v>
      </c>
      <c r="AB175" t="s">
        <v>74</v>
      </c>
      <c r="AC175" t="s">
        <v>3822</v>
      </c>
      <c r="AD175" t="s">
        <v>3823</v>
      </c>
      <c r="AE175" t="s">
        <v>3824</v>
      </c>
      <c r="AF175" t="s">
        <v>74</v>
      </c>
      <c r="AG175">
        <v>72</v>
      </c>
      <c r="AH175">
        <v>8</v>
      </c>
      <c r="AI175">
        <v>8</v>
      </c>
      <c r="AJ175">
        <v>5</v>
      </c>
      <c r="AK175">
        <v>9</v>
      </c>
      <c r="AL175" t="s">
        <v>400</v>
      </c>
      <c r="AM175" t="s">
        <v>401</v>
      </c>
      <c r="AN175" t="s">
        <v>402</v>
      </c>
      <c r="AO175" t="s">
        <v>3825</v>
      </c>
      <c r="AP175" t="s">
        <v>74</v>
      </c>
      <c r="AQ175" t="s">
        <v>74</v>
      </c>
      <c r="AR175" t="s">
        <v>3826</v>
      </c>
      <c r="AS175" t="s">
        <v>3827</v>
      </c>
      <c r="AT175" t="s">
        <v>3828</v>
      </c>
      <c r="AU175">
        <v>2022</v>
      </c>
      <c r="AV175">
        <v>20</v>
      </c>
      <c r="AW175">
        <v>1</v>
      </c>
      <c r="AX175" t="s">
        <v>74</v>
      </c>
      <c r="AY175" t="s">
        <v>74</v>
      </c>
      <c r="AZ175" t="s">
        <v>74</v>
      </c>
      <c r="BA175" t="s">
        <v>74</v>
      </c>
      <c r="BB175" t="s">
        <v>74</v>
      </c>
      <c r="BC175" t="s">
        <v>74</v>
      </c>
      <c r="BD175">
        <v>81</v>
      </c>
      <c r="BE175" t="s">
        <v>3829</v>
      </c>
      <c r="BF175" t="str">
        <f>HYPERLINK("http://dx.doi.org/10.1186/s43141-022-00356-x","http://dx.doi.org/10.1186/s43141-022-00356-x")</f>
        <v>http://dx.doi.org/10.1186/s43141-022-00356-x</v>
      </c>
      <c r="BG175" t="s">
        <v>74</v>
      </c>
      <c r="BH175" t="s">
        <v>74</v>
      </c>
      <c r="BI175">
        <v>14</v>
      </c>
      <c r="BJ175" t="s">
        <v>3830</v>
      </c>
      <c r="BK175" t="s">
        <v>839</v>
      </c>
      <c r="BL175" t="s">
        <v>3831</v>
      </c>
      <c r="BM175" t="s">
        <v>3832</v>
      </c>
      <c r="BN175">
        <v>35612674</v>
      </c>
      <c r="BO175" t="s">
        <v>295</v>
      </c>
      <c r="BP175" t="s">
        <v>74</v>
      </c>
      <c r="BQ175" t="s">
        <v>74</v>
      </c>
      <c r="BR175" t="s">
        <v>103</v>
      </c>
      <c r="BS175" t="s">
        <v>3833</v>
      </c>
      <c r="BT175" t="str">
        <f>HYPERLINK("https%3A%2F%2Fwww.webofscience.com%2Fwos%2Fwoscc%2Ffull-record%2FWOS:000802335200001","View Full Record in Web of Science")</f>
        <v>View Full Record in Web of Science</v>
      </c>
    </row>
    <row r="176" spans="1:72" x14ac:dyDescent="0.15">
      <c r="A176" t="s">
        <v>72</v>
      </c>
      <c r="B176" t="s">
        <v>3834</v>
      </c>
      <c r="C176" t="s">
        <v>74</v>
      </c>
      <c r="D176" t="s">
        <v>74</v>
      </c>
      <c r="E176" t="s">
        <v>74</v>
      </c>
      <c r="F176" t="s">
        <v>3835</v>
      </c>
      <c r="G176" t="s">
        <v>74</v>
      </c>
      <c r="H176" t="s">
        <v>74</v>
      </c>
      <c r="I176" t="s">
        <v>3836</v>
      </c>
      <c r="J176" t="s">
        <v>3837</v>
      </c>
      <c r="K176" t="s">
        <v>74</v>
      </c>
      <c r="L176" t="s">
        <v>74</v>
      </c>
      <c r="M176" t="s">
        <v>78</v>
      </c>
      <c r="N176" t="s">
        <v>79</v>
      </c>
      <c r="O176" t="s">
        <v>74</v>
      </c>
      <c r="P176" t="s">
        <v>74</v>
      </c>
      <c r="Q176" t="s">
        <v>74</v>
      </c>
      <c r="R176" t="s">
        <v>74</v>
      </c>
      <c r="S176" t="s">
        <v>74</v>
      </c>
      <c r="T176" t="s">
        <v>74</v>
      </c>
      <c r="U176" t="s">
        <v>3838</v>
      </c>
      <c r="V176" t="s">
        <v>3839</v>
      </c>
      <c r="W176" t="s">
        <v>3840</v>
      </c>
      <c r="X176" t="s">
        <v>3841</v>
      </c>
      <c r="Y176" t="s">
        <v>3842</v>
      </c>
      <c r="Z176" t="s">
        <v>3843</v>
      </c>
      <c r="AA176" t="s">
        <v>3844</v>
      </c>
      <c r="AB176" t="s">
        <v>3845</v>
      </c>
      <c r="AC176" t="s">
        <v>3846</v>
      </c>
      <c r="AD176" t="s">
        <v>3847</v>
      </c>
      <c r="AE176" t="s">
        <v>3848</v>
      </c>
      <c r="AF176" t="s">
        <v>74</v>
      </c>
      <c r="AG176">
        <v>83</v>
      </c>
      <c r="AH176">
        <v>30</v>
      </c>
      <c r="AI176">
        <v>30</v>
      </c>
      <c r="AJ176">
        <v>3</v>
      </c>
      <c r="AK176">
        <v>15</v>
      </c>
      <c r="AL176" t="s">
        <v>117</v>
      </c>
      <c r="AM176" t="s">
        <v>118</v>
      </c>
      <c r="AN176" t="s">
        <v>119</v>
      </c>
      <c r="AO176" t="s">
        <v>3849</v>
      </c>
      <c r="AP176" t="s">
        <v>3850</v>
      </c>
      <c r="AQ176" t="s">
        <v>74</v>
      </c>
      <c r="AR176" t="s">
        <v>3851</v>
      </c>
      <c r="AS176" t="s">
        <v>3852</v>
      </c>
      <c r="AT176" t="s">
        <v>3828</v>
      </c>
      <c r="AU176">
        <v>2022</v>
      </c>
      <c r="AV176">
        <v>22</v>
      </c>
      <c r="AW176">
        <v>10</v>
      </c>
      <c r="AX176" t="s">
        <v>74</v>
      </c>
      <c r="AY176" t="s">
        <v>74</v>
      </c>
      <c r="AZ176" t="s">
        <v>74</v>
      </c>
      <c r="BA176" t="s">
        <v>74</v>
      </c>
      <c r="BB176">
        <v>6843</v>
      </c>
      <c r="BC176">
        <v>6859</v>
      </c>
      <c r="BD176" t="s">
        <v>74</v>
      </c>
      <c r="BE176" t="s">
        <v>3853</v>
      </c>
      <c r="BF176" t="str">
        <f>HYPERLINK("http://dx.doi.org/10.5194/acp-22-6843-2022","http://dx.doi.org/10.5194/acp-22-6843-2022")</f>
        <v>http://dx.doi.org/10.5194/acp-22-6843-2022</v>
      </c>
      <c r="BG176" t="s">
        <v>74</v>
      </c>
      <c r="BH176" t="s">
        <v>74</v>
      </c>
      <c r="BI176">
        <v>17</v>
      </c>
      <c r="BJ176" t="s">
        <v>1797</v>
      </c>
      <c r="BK176" t="s">
        <v>101</v>
      </c>
      <c r="BL176" t="s">
        <v>957</v>
      </c>
      <c r="BM176" t="s">
        <v>3854</v>
      </c>
      <c r="BN176" t="s">
        <v>74</v>
      </c>
      <c r="BO176" t="s">
        <v>2841</v>
      </c>
      <c r="BP176" t="s">
        <v>74</v>
      </c>
      <c r="BQ176" t="s">
        <v>74</v>
      </c>
      <c r="BR176" t="s">
        <v>103</v>
      </c>
      <c r="BS176" t="s">
        <v>3855</v>
      </c>
      <c r="BT176" t="str">
        <f>HYPERLINK("https%3A%2F%2Fwww.webofscience.com%2Fwos%2Fwoscc%2Ffull-record%2FWOS:000799919700001","View Full Record in Web of Science")</f>
        <v>View Full Record in Web of Science</v>
      </c>
    </row>
    <row r="177" spans="1:72" x14ac:dyDescent="0.15">
      <c r="A177" t="s">
        <v>72</v>
      </c>
      <c r="B177" t="s">
        <v>3856</v>
      </c>
      <c r="C177" t="s">
        <v>74</v>
      </c>
      <c r="D177" t="s">
        <v>74</v>
      </c>
      <c r="E177" t="s">
        <v>74</v>
      </c>
      <c r="F177" t="s">
        <v>3857</v>
      </c>
      <c r="G177" t="s">
        <v>74</v>
      </c>
      <c r="H177" t="s">
        <v>74</v>
      </c>
      <c r="I177" t="s">
        <v>3858</v>
      </c>
      <c r="J177" t="s">
        <v>1086</v>
      </c>
      <c r="K177" t="s">
        <v>74</v>
      </c>
      <c r="L177" t="s">
        <v>74</v>
      </c>
      <c r="M177" t="s">
        <v>78</v>
      </c>
      <c r="N177" t="s">
        <v>79</v>
      </c>
      <c r="O177" t="s">
        <v>74</v>
      </c>
      <c r="P177" t="s">
        <v>74</v>
      </c>
      <c r="Q177" t="s">
        <v>74</v>
      </c>
      <c r="R177" t="s">
        <v>74</v>
      </c>
      <c r="S177" t="s">
        <v>74</v>
      </c>
      <c r="T177" t="s">
        <v>3859</v>
      </c>
      <c r="U177" t="s">
        <v>3860</v>
      </c>
      <c r="V177" t="s">
        <v>3861</v>
      </c>
      <c r="W177" t="s">
        <v>3862</v>
      </c>
      <c r="X177" t="s">
        <v>3863</v>
      </c>
      <c r="Y177" t="s">
        <v>3864</v>
      </c>
      <c r="Z177" t="s">
        <v>3865</v>
      </c>
      <c r="AA177" t="s">
        <v>74</v>
      </c>
      <c r="AB177" t="s">
        <v>3866</v>
      </c>
      <c r="AC177" t="s">
        <v>3867</v>
      </c>
      <c r="AD177" t="s">
        <v>3867</v>
      </c>
      <c r="AE177" t="s">
        <v>3868</v>
      </c>
      <c r="AF177" t="s">
        <v>74</v>
      </c>
      <c r="AG177">
        <v>123</v>
      </c>
      <c r="AH177">
        <v>11</v>
      </c>
      <c r="AI177">
        <v>11</v>
      </c>
      <c r="AJ177">
        <v>7</v>
      </c>
      <c r="AK177">
        <v>35</v>
      </c>
      <c r="AL177" t="s">
        <v>257</v>
      </c>
      <c r="AM177" t="s">
        <v>258</v>
      </c>
      <c r="AN177" t="s">
        <v>259</v>
      </c>
      <c r="AO177" t="s">
        <v>1098</v>
      </c>
      <c r="AP177" t="s">
        <v>1099</v>
      </c>
      <c r="AQ177" t="s">
        <v>74</v>
      </c>
      <c r="AR177" t="s">
        <v>1100</v>
      </c>
      <c r="AS177" t="s">
        <v>1101</v>
      </c>
      <c r="AT177" t="s">
        <v>1102</v>
      </c>
      <c r="AU177">
        <v>2022</v>
      </c>
      <c r="AV177">
        <v>838</v>
      </c>
      <c r="AW177" t="s">
        <v>74</v>
      </c>
      <c r="AX177">
        <v>1</v>
      </c>
      <c r="AY177" t="s">
        <v>74</v>
      </c>
      <c r="AZ177" t="s">
        <v>74</v>
      </c>
      <c r="BA177" t="s">
        <v>74</v>
      </c>
      <c r="BB177" t="s">
        <v>74</v>
      </c>
      <c r="BC177" t="s">
        <v>74</v>
      </c>
      <c r="BD177">
        <v>155830</v>
      </c>
      <c r="BE177" t="s">
        <v>3869</v>
      </c>
      <c r="BF177" t="str">
        <f>HYPERLINK("http://dx.doi.org/10.1016/j.scitotenv.2022.155830","http://dx.doi.org/10.1016/j.scitotenv.2022.155830")</f>
        <v>http://dx.doi.org/10.1016/j.scitotenv.2022.155830</v>
      </c>
      <c r="BG177" t="s">
        <v>74</v>
      </c>
      <c r="BH177" t="s">
        <v>3111</v>
      </c>
      <c r="BI177">
        <v>10</v>
      </c>
      <c r="BJ177" t="s">
        <v>1104</v>
      </c>
      <c r="BK177" t="s">
        <v>101</v>
      </c>
      <c r="BL177" t="s">
        <v>840</v>
      </c>
      <c r="BM177" t="s">
        <v>3870</v>
      </c>
      <c r="BN177">
        <v>35561917</v>
      </c>
      <c r="BO177" t="s">
        <v>74</v>
      </c>
      <c r="BP177" t="s">
        <v>74</v>
      </c>
      <c r="BQ177" t="s">
        <v>74</v>
      </c>
      <c r="BR177" t="s">
        <v>103</v>
      </c>
      <c r="BS177" t="s">
        <v>3871</v>
      </c>
      <c r="BT177" t="str">
        <f>HYPERLINK("https%3A%2F%2Fwww.webofscience.com%2Fwos%2Fwoscc%2Ffull-record%2FWOS:000812212900001","View Full Record in Web of Science")</f>
        <v>View Full Record in Web of Science</v>
      </c>
    </row>
    <row r="178" spans="1:72" x14ac:dyDescent="0.15">
      <c r="A178" t="s">
        <v>72</v>
      </c>
      <c r="B178" t="s">
        <v>3872</v>
      </c>
      <c r="C178" t="s">
        <v>74</v>
      </c>
      <c r="D178" t="s">
        <v>74</v>
      </c>
      <c r="E178" t="s">
        <v>74</v>
      </c>
      <c r="F178" t="s">
        <v>3873</v>
      </c>
      <c r="G178" t="s">
        <v>74</v>
      </c>
      <c r="H178" t="s">
        <v>74</v>
      </c>
      <c r="I178" t="s">
        <v>3874</v>
      </c>
      <c r="J178" t="s">
        <v>108</v>
      </c>
      <c r="K178" t="s">
        <v>74</v>
      </c>
      <c r="L178" t="s">
        <v>74</v>
      </c>
      <c r="M178" t="s">
        <v>78</v>
      </c>
      <c r="N178" t="s">
        <v>79</v>
      </c>
      <c r="O178" t="s">
        <v>74</v>
      </c>
      <c r="P178" t="s">
        <v>74</v>
      </c>
      <c r="Q178" t="s">
        <v>74</v>
      </c>
      <c r="R178" t="s">
        <v>74</v>
      </c>
      <c r="S178" t="s">
        <v>74</v>
      </c>
      <c r="T178" t="s">
        <v>74</v>
      </c>
      <c r="U178" t="s">
        <v>3875</v>
      </c>
      <c r="V178" t="s">
        <v>3876</v>
      </c>
      <c r="W178" t="s">
        <v>3877</v>
      </c>
      <c r="X178" t="s">
        <v>3878</v>
      </c>
      <c r="Y178" t="s">
        <v>3879</v>
      </c>
      <c r="Z178" t="s">
        <v>3880</v>
      </c>
      <c r="AA178" t="s">
        <v>3881</v>
      </c>
      <c r="AB178" t="s">
        <v>3882</v>
      </c>
      <c r="AC178" t="s">
        <v>3883</v>
      </c>
      <c r="AD178" t="s">
        <v>3883</v>
      </c>
      <c r="AE178" t="s">
        <v>3884</v>
      </c>
      <c r="AF178" t="s">
        <v>74</v>
      </c>
      <c r="AG178">
        <v>82</v>
      </c>
      <c r="AH178">
        <v>2</v>
      </c>
      <c r="AI178">
        <v>3</v>
      </c>
      <c r="AJ178">
        <v>1</v>
      </c>
      <c r="AK178">
        <v>5</v>
      </c>
      <c r="AL178" t="s">
        <v>117</v>
      </c>
      <c r="AM178" t="s">
        <v>118</v>
      </c>
      <c r="AN178" t="s">
        <v>119</v>
      </c>
      <c r="AO178" t="s">
        <v>120</v>
      </c>
      <c r="AP178" t="s">
        <v>121</v>
      </c>
      <c r="AQ178" t="s">
        <v>74</v>
      </c>
      <c r="AR178" t="s">
        <v>108</v>
      </c>
      <c r="AS178" t="s">
        <v>122</v>
      </c>
      <c r="AT178" t="s">
        <v>3885</v>
      </c>
      <c r="AU178">
        <v>2022</v>
      </c>
      <c r="AV178">
        <v>16</v>
      </c>
      <c r="AW178">
        <v>5</v>
      </c>
      <c r="AX178" t="s">
        <v>74</v>
      </c>
      <c r="AY178" t="s">
        <v>74</v>
      </c>
      <c r="AZ178" t="s">
        <v>74</v>
      </c>
      <c r="BA178" t="s">
        <v>74</v>
      </c>
      <c r="BB178">
        <v>1979</v>
      </c>
      <c r="BC178">
        <v>1996</v>
      </c>
      <c r="BD178" t="s">
        <v>74</v>
      </c>
      <c r="BE178" t="s">
        <v>3886</v>
      </c>
      <c r="BF178" t="str">
        <f>HYPERLINK("http://dx.doi.org/10.5194/tc-16-1979-2022","http://dx.doi.org/10.5194/tc-16-1979-2022")</f>
        <v>http://dx.doi.org/10.5194/tc-16-1979-2022</v>
      </c>
      <c r="BG178" t="s">
        <v>74</v>
      </c>
      <c r="BH178" t="s">
        <v>74</v>
      </c>
      <c r="BI178">
        <v>18</v>
      </c>
      <c r="BJ178" t="s">
        <v>125</v>
      </c>
      <c r="BK178" t="s">
        <v>101</v>
      </c>
      <c r="BL178" t="s">
        <v>126</v>
      </c>
      <c r="BM178" t="s">
        <v>3887</v>
      </c>
      <c r="BN178" t="s">
        <v>74</v>
      </c>
      <c r="BO178" t="s">
        <v>2560</v>
      </c>
      <c r="BP178" t="s">
        <v>74</v>
      </c>
      <c r="BQ178" t="s">
        <v>74</v>
      </c>
      <c r="BR178" t="s">
        <v>103</v>
      </c>
      <c r="BS178" t="s">
        <v>3888</v>
      </c>
      <c r="BT178" t="str">
        <f>HYPERLINK("https%3A%2F%2Fwww.webofscience.com%2Fwos%2Fwoscc%2Ffull-record%2FWOS:000801009700001","View Full Record in Web of Science")</f>
        <v>View Full Record in Web of Science</v>
      </c>
    </row>
    <row r="179" spans="1:72" x14ac:dyDescent="0.15">
      <c r="A179" t="s">
        <v>72</v>
      </c>
      <c r="B179" t="s">
        <v>3889</v>
      </c>
      <c r="C179" t="s">
        <v>74</v>
      </c>
      <c r="D179" t="s">
        <v>74</v>
      </c>
      <c r="E179" t="s">
        <v>74</v>
      </c>
      <c r="F179" t="s">
        <v>3890</v>
      </c>
      <c r="G179" t="s">
        <v>74</v>
      </c>
      <c r="H179" t="s">
        <v>74</v>
      </c>
      <c r="I179" t="s">
        <v>3891</v>
      </c>
      <c r="J179" t="s">
        <v>3892</v>
      </c>
      <c r="K179" t="s">
        <v>74</v>
      </c>
      <c r="L179" t="s">
        <v>74</v>
      </c>
      <c r="M179" t="s">
        <v>78</v>
      </c>
      <c r="N179" t="s">
        <v>79</v>
      </c>
      <c r="O179" t="s">
        <v>74</v>
      </c>
      <c r="P179" t="s">
        <v>74</v>
      </c>
      <c r="Q179" t="s">
        <v>74</v>
      </c>
      <c r="R179" t="s">
        <v>74</v>
      </c>
      <c r="S179" t="s">
        <v>74</v>
      </c>
      <c r="T179" t="s">
        <v>3893</v>
      </c>
      <c r="U179" t="s">
        <v>3894</v>
      </c>
      <c r="V179" t="s">
        <v>3895</v>
      </c>
      <c r="W179" t="s">
        <v>3896</v>
      </c>
      <c r="X179" t="s">
        <v>3897</v>
      </c>
      <c r="Y179" t="s">
        <v>3898</v>
      </c>
      <c r="Z179" t="s">
        <v>3899</v>
      </c>
      <c r="AA179" t="s">
        <v>3900</v>
      </c>
      <c r="AB179" t="s">
        <v>3901</v>
      </c>
      <c r="AC179" t="s">
        <v>74</v>
      </c>
      <c r="AD179" t="s">
        <v>74</v>
      </c>
      <c r="AE179" t="s">
        <v>74</v>
      </c>
      <c r="AF179" t="s">
        <v>74</v>
      </c>
      <c r="AG179">
        <v>119</v>
      </c>
      <c r="AH179">
        <v>6</v>
      </c>
      <c r="AI179">
        <v>6</v>
      </c>
      <c r="AJ179">
        <v>9</v>
      </c>
      <c r="AK179">
        <v>18</v>
      </c>
      <c r="AL179" t="s">
        <v>91</v>
      </c>
      <c r="AM179" t="s">
        <v>92</v>
      </c>
      <c r="AN179" t="s">
        <v>93</v>
      </c>
      <c r="AO179" t="s">
        <v>3902</v>
      </c>
      <c r="AP179" t="s">
        <v>3903</v>
      </c>
      <c r="AQ179" t="s">
        <v>74</v>
      </c>
      <c r="AR179" t="s">
        <v>3904</v>
      </c>
      <c r="AS179" t="s">
        <v>3905</v>
      </c>
      <c r="AT179" t="s">
        <v>150</v>
      </c>
      <c r="AU179">
        <v>2022</v>
      </c>
      <c r="AV179">
        <v>23</v>
      </c>
      <c r="AW179">
        <v>5</v>
      </c>
      <c r="AX179" t="s">
        <v>74</v>
      </c>
      <c r="AY179" t="s">
        <v>74</v>
      </c>
      <c r="AZ179" t="s">
        <v>74</v>
      </c>
      <c r="BA179" t="s">
        <v>74</v>
      </c>
      <c r="BB179">
        <v>1180</v>
      </c>
      <c r="BC179">
        <v>1201</v>
      </c>
      <c r="BD179" t="s">
        <v>74</v>
      </c>
      <c r="BE179" t="s">
        <v>3906</v>
      </c>
      <c r="BF179" t="str">
        <f>HYPERLINK("http://dx.doi.org/10.1111/faf.12676","http://dx.doi.org/10.1111/faf.12676")</f>
        <v>http://dx.doi.org/10.1111/faf.12676</v>
      </c>
      <c r="BG179" t="s">
        <v>74</v>
      </c>
      <c r="BH179" t="s">
        <v>3111</v>
      </c>
      <c r="BI179">
        <v>22</v>
      </c>
      <c r="BJ179" t="s">
        <v>3589</v>
      </c>
      <c r="BK179" t="s">
        <v>101</v>
      </c>
      <c r="BL179" t="s">
        <v>3589</v>
      </c>
      <c r="BM179" t="s">
        <v>3907</v>
      </c>
      <c r="BN179" t="s">
        <v>74</v>
      </c>
      <c r="BO179" t="s">
        <v>324</v>
      </c>
      <c r="BP179" t="s">
        <v>74</v>
      </c>
      <c r="BQ179" t="s">
        <v>74</v>
      </c>
      <c r="BR179" t="s">
        <v>103</v>
      </c>
      <c r="BS179" t="s">
        <v>3908</v>
      </c>
      <c r="BT179" t="str">
        <f>HYPERLINK("https%3A%2F%2Fwww.webofscience.com%2Fwos%2Fwoscc%2Ffull-record%2FWOS:000801038600001","View Full Record in Web of Science")</f>
        <v>View Full Record in Web of Science</v>
      </c>
    </row>
    <row r="180" spans="1:72" x14ac:dyDescent="0.15">
      <c r="A180" t="s">
        <v>72</v>
      </c>
      <c r="B180" t="s">
        <v>3909</v>
      </c>
      <c r="C180" t="s">
        <v>74</v>
      </c>
      <c r="D180" t="s">
        <v>74</v>
      </c>
      <c r="E180" t="s">
        <v>74</v>
      </c>
      <c r="F180" t="s">
        <v>3910</v>
      </c>
      <c r="G180" t="s">
        <v>74</v>
      </c>
      <c r="H180" t="s">
        <v>74</v>
      </c>
      <c r="I180" t="s">
        <v>3911</v>
      </c>
      <c r="J180" t="s">
        <v>692</v>
      </c>
      <c r="K180" t="s">
        <v>74</v>
      </c>
      <c r="L180" t="s">
        <v>74</v>
      </c>
      <c r="M180" t="s">
        <v>78</v>
      </c>
      <c r="N180" t="s">
        <v>79</v>
      </c>
      <c r="O180" t="s">
        <v>74</v>
      </c>
      <c r="P180" t="s">
        <v>74</v>
      </c>
      <c r="Q180" t="s">
        <v>74</v>
      </c>
      <c r="R180" t="s">
        <v>74</v>
      </c>
      <c r="S180" t="s">
        <v>74</v>
      </c>
      <c r="T180" t="s">
        <v>3912</v>
      </c>
      <c r="U180" t="s">
        <v>3913</v>
      </c>
      <c r="V180" t="s">
        <v>3914</v>
      </c>
      <c r="W180" t="s">
        <v>3915</v>
      </c>
      <c r="X180" t="s">
        <v>3916</v>
      </c>
      <c r="Y180" t="s">
        <v>3917</v>
      </c>
      <c r="Z180" t="s">
        <v>3918</v>
      </c>
      <c r="AA180" t="s">
        <v>3919</v>
      </c>
      <c r="AB180" t="s">
        <v>3920</v>
      </c>
      <c r="AC180" t="s">
        <v>3921</v>
      </c>
      <c r="AD180" t="s">
        <v>3922</v>
      </c>
      <c r="AE180" t="s">
        <v>3923</v>
      </c>
      <c r="AF180" t="s">
        <v>74</v>
      </c>
      <c r="AG180">
        <v>40</v>
      </c>
      <c r="AH180">
        <v>2</v>
      </c>
      <c r="AI180">
        <v>2</v>
      </c>
      <c r="AJ180">
        <v>3</v>
      </c>
      <c r="AK180">
        <v>6</v>
      </c>
      <c r="AL180" t="s">
        <v>428</v>
      </c>
      <c r="AM180" t="s">
        <v>531</v>
      </c>
      <c r="AN180" t="s">
        <v>748</v>
      </c>
      <c r="AO180" t="s">
        <v>703</v>
      </c>
      <c r="AP180" t="s">
        <v>704</v>
      </c>
      <c r="AQ180" t="s">
        <v>74</v>
      </c>
      <c r="AR180" t="s">
        <v>705</v>
      </c>
      <c r="AS180" t="s">
        <v>706</v>
      </c>
      <c r="AT180" t="s">
        <v>346</v>
      </c>
      <c r="AU180">
        <v>2022</v>
      </c>
      <c r="AV180">
        <v>34</v>
      </c>
      <c r="AW180">
        <v>4</v>
      </c>
      <c r="AX180" t="s">
        <v>74</v>
      </c>
      <c r="AY180" t="s">
        <v>74</v>
      </c>
      <c r="AZ180" t="s">
        <v>74</v>
      </c>
      <c r="BA180" t="s">
        <v>74</v>
      </c>
      <c r="BB180">
        <v>313</v>
      </c>
      <c r="BC180">
        <v>324</v>
      </c>
      <c r="BD180" t="s">
        <v>74</v>
      </c>
      <c r="BE180" t="s">
        <v>3924</v>
      </c>
      <c r="BF180" t="str">
        <f>HYPERLINK("http://dx.doi.org/10.1017/S0954102022000177","http://dx.doi.org/10.1017/S0954102022000177")</f>
        <v>http://dx.doi.org/10.1017/S0954102022000177</v>
      </c>
      <c r="BG180" t="s">
        <v>74</v>
      </c>
      <c r="BH180" t="s">
        <v>3111</v>
      </c>
      <c r="BI180">
        <v>12</v>
      </c>
      <c r="BJ180" t="s">
        <v>708</v>
      </c>
      <c r="BK180" t="s">
        <v>101</v>
      </c>
      <c r="BL180" t="s">
        <v>709</v>
      </c>
      <c r="BM180" t="s">
        <v>710</v>
      </c>
      <c r="BN180" t="s">
        <v>74</v>
      </c>
      <c r="BO180" t="s">
        <v>643</v>
      </c>
      <c r="BP180" t="s">
        <v>74</v>
      </c>
      <c r="BQ180" t="s">
        <v>74</v>
      </c>
      <c r="BR180" t="s">
        <v>103</v>
      </c>
      <c r="BS180" t="s">
        <v>3925</v>
      </c>
      <c r="BT180" t="str">
        <f>HYPERLINK("https%3A%2F%2Fwww.webofscience.com%2Fwos%2Fwoscc%2Ffull-record%2FWOS:000799333200001","View Full Record in Web of Science")</f>
        <v>View Full Record in Web of Science</v>
      </c>
    </row>
    <row r="181" spans="1:72" x14ac:dyDescent="0.15">
      <c r="A181" t="s">
        <v>72</v>
      </c>
      <c r="B181" t="s">
        <v>3926</v>
      </c>
      <c r="C181" t="s">
        <v>74</v>
      </c>
      <c r="D181" t="s">
        <v>74</v>
      </c>
      <c r="E181" t="s">
        <v>74</v>
      </c>
      <c r="F181" t="s">
        <v>3927</v>
      </c>
      <c r="G181" t="s">
        <v>74</v>
      </c>
      <c r="H181" t="s">
        <v>74</v>
      </c>
      <c r="I181" t="s">
        <v>3928</v>
      </c>
      <c r="J181" t="s">
        <v>108</v>
      </c>
      <c r="K181" t="s">
        <v>74</v>
      </c>
      <c r="L181" t="s">
        <v>74</v>
      </c>
      <c r="M181" t="s">
        <v>78</v>
      </c>
      <c r="N181" t="s">
        <v>79</v>
      </c>
      <c r="O181" t="s">
        <v>74</v>
      </c>
      <c r="P181" t="s">
        <v>74</v>
      </c>
      <c r="Q181" t="s">
        <v>74</v>
      </c>
      <c r="R181" t="s">
        <v>74</v>
      </c>
      <c r="S181" t="s">
        <v>74</v>
      </c>
      <c r="T181" t="s">
        <v>74</v>
      </c>
      <c r="U181" t="s">
        <v>3929</v>
      </c>
      <c r="V181" t="s">
        <v>3930</v>
      </c>
      <c r="W181" t="s">
        <v>3931</v>
      </c>
      <c r="X181" t="s">
        <v>3932</v>
      </c>
      <c r="Y181" t="s">
        <v>3933</v>
      </c>
      <c r="Z181" t="s">
        <v>3934</v>
      </c>
      <c r="AA181" t="s">
        <v>3935</v>
      </c>
      <c r="AB181" t="s">
        <v>3936</v>
      </c>
      <c r="AC181" t="s">
        <v>3937</v>
      </c>
      <c r="AD181" t="s">
        <v>3938</v>
      </c>
      <c r="AE181" t="s">
        <v>3939</v>
      </c>
      <c r="AF181" t="s">
        <v>74</v>
      </c>
      <c r="AG181">
        <v>48</v>
      </c>
      <c r="AH181">
        <v>2</v>
      </c>
      <c r="AI181">
        <v>2</v>
      </c>
      <c r="AJ181">
        <v>0</v>
      </c>
      <c r="AK181">
        <v>2</v>
      </c>
      <c r="AL181" t="s">
        <v>117</v>
      </c>
      <c r="AM181" t="s">
        <v>118</v>
      </c>
      <c r="AN181" t="s">
        <v>119</v>
      </c>
      <c r="AO181" t="s">
        <v>120</v>
      </c>
      <c r="AP181" t="s">
        <v>121</v>
      </c>
      <c r="AQ181" t="s">
        <v>74</v>
      </c>
      <c r="AR181" t="s">
        <v>108</v>
      </c>
      <c r="AS181" t="s">
        <v>122</v>
      </c>
      <c r="AT181" t="s">
        <v>3885</v>
      </c>
      <c r="AU181">
        <v>2022</v>
      </c>
      <c r="AV181">
        <v>16</v>
      </c>
      <c r="AW181">
        <v>5</v>
      </c>
      <c r="AX181" t="s">
        <v>74</v>
      </c>
      <c r="AY181" t="s">
        <v>74</v>
      </c>
      <c r="AZ181" t="s">
        <v>74</v>
      </c>
      <c r="BA181" t="s">
        <v>74</v>
      </c>
      <c r="BB181">
        <v>1963</v>
      </c>
      <c r="BC181">
        <v>1977</v>
      </c>
      <c r="BD181" t="s">
        <v>74</v>
      </c>
      <c r="BE181" t="s">
        <v>3940</v>
      </c>
      <c r="BF181" t="str">
        <f>HYPERLINK("http://dx.doi.org/10.5194/tc-16-1963-2022","http://dx.doi.org/10.5194/tc-16-1963-2022")</f>
        <v>http://dx.doi.org/10.5194/tc-16-1963-2022</v>
      </c>
      <c r="BG181" t="s">
        <v>74</v>
      </c>
      <c r="BH181" t="s">
        <v>74</v>
      </c>
      <c r="BI181">
        <v>15</v>
      </c>
      <c r="BJ181" t="s">
        <v>125</v>
      </c>
      <c r="BK181" t="s">
        <v>101</v>
      </c>
      <c r="BL181" t="s">
        <v>126</v>
      </c>
      <c r="BM181" t="s">
        <v>3941</v>
      </c>
      <c r="BN181" t="s">
        <v>74</v>
      </c>
      <c r="BO181" t="s">
        <v>128</v>
      </c>
      <c r="BP181" t="s">
        <v>74</v>
      </c>
      <c r="BQ181" t="s">
        <v>74</v>
      </c>
      <c r="BR181" t="s">
        <v>103</v>
      </c>
      <c r="BS181" t="s">
        <v>3942</v>
      </c>
      <c r="BT181" t="str">
        <f>HYPERLINK("https%3A%2F%2Fwww.webofscience.com%2Fwos%2Fwoscc%2Ffull-record%2FWOS:000799241400001","View Full Record in Web of Science")</f>
        <v>View Full Record in Web of Science</v>
      </c>
    </row>
    <row r="182" spans="1:72" x14ac:dyDescent="0.15">
      <c r="A182" t="s">
        <v>72</v>
      </c>
      <c r="B182" t="s">
        <v>3943</v>
      </c>
      <c r="C182" t="s">
        <v>74</v>
      </c>
      <c r="D182" t="s">
        <v>74</v>
      </c>
      <c r="E182" t="s">
        <v>74</v>
      </c>
      <c r="F182" t="s">
        <v>3944</v>
      </c>
      <c r="G182" t="s">
        <v>74</v>
      </c>
      <c r="H182" t="s">
        <v>74</v>
      </c>
      <c r="I182" t="s">
        <v>3945</v>
      </c>
      <c r="J182" t="s">
        <v>3837</v>
      </c>
      <c r="K182" t="s">
        <v>74</v>
      </c>
      <c r="L182" t="s">
        <v>74</v>
      </c>
      <c r="M182" t="s">
        <v>78</v>
      </c>
      <c r="N182" t="s">
        <v>79</v>
      </c>
      <c r="O182" t="s">
        <v>74</v>
      </c>
      <c r="P182" t="s">
        <v>74</v>
      </c>
      <c r="Q182" t="s">
        <v>74</v>
      </c>
      <c r="R182" t="s">
        <v>74</v>
      </c>
      <c r="S182" t="s">
        <v>74</v>
      </c>
      <c r="T182" t="s">
        <v>74</v>
      </c>
      <c r="U182" t="s">
        <v>3946</v>
      </c>
      <c r="V182" t="s">
        <v>3947</v>
      </c>
      <c r="W182" t="s">
        <v>3948</v>
      </c>
      <c r="X182" t="s">
        <v>3949</v>
      </c>
      <c r="Y182" t="s">
        <v>3950</v>
      </c>
      <c r="Z182" t="s">
        <v>3951</v>
      </c>
      <c r="AA182" t="s">
        <v>3952</v>
      </c>
      <c r="AB182" t="s">
        <v>3953</v>
      </c>
      <c r="AC182" t="s">
        <v>3954</v>
      </c>
      <c r="AD182" t="s">
        <v>3955</v>
      </c>
      <c r="AE182" t="s">
        <v>3956</v>
      </c>
      <c r="AF182" t="s">
        <v>74</v>
      </c>
      <c r="AG182">
        <v>66</v>
      </c>
      <c r="AH182">
        <v>6</v>
      </c>
      <c r="AI182">
        <v>6</v>
      </c>
      <c r="AJ182">
        <v>0</v>
      </c>
      <c r="AK182">
        <v>7</v>
      </c>
      <c r="AL182" t="s">
        <v>117</v>
      </c>
      <c r="AM182" t="s">
        <v>118</v>
      </c>
      <c r="AN182" t="s">
        <v>119</v>
      </c>
      <c r="AO182" t="s">
        <v>3849</v>
      </c>
      <c r="AP182" t="s">
        <v>3850</v>
      </c>
      <c r="AQ182" t="s">
        <v>74</v>
      </c>
      <c r="AR182" t="s">
        <v>3851</v>
      </c>
      <c r="AS182" t="s">
        <v>3852</v>
      </c>
      <c r="AT182" t="s">
        <v>3885</v>
      </c>
      <c r="AU182">
        <v>2022</v>
      </c>
      <c r="AV182">
        <v>22</v>
      </c>
      <c r="AW182">
        <v>10</v>
      </c>
      <c r="AX182" t="s">
        <v>74</v>
      </c>
      <c r="AY182" t="s">
        <v>74</v>
      </c>
      <c r="AZ182" t="s">
        <v>74</v>
      </c>
      <c r="BA182" t="s">
        <v>74</v>
      </c>
      <c r="BB182">
        <v>6703</v>
      </c>
      <c r="BC182">
        <v>6716</v>
      </c>
      <c r="BD182" t="s">
        <v>74</v>
      </c>
      <c r="BE182" t="s">
        <v>3957</v>
      </c>
      <c r="BF182" t="str">
        <f>HYPERLINK("http://dx.doi.org/10.5194/acp-22-6703-2022","http://dx.doi.org/10.5194/acp-22-6703-2022")</f>
        <v>http://dx.doi.org/10.5194/acp-22-6703-2022</v>
      </c>
      <c r="BG182" t="s">
        <v>74</v>
      </c>
      <c r="BH182" t="s">
        <v>74</v>
      </c>
      <c r="BI182">
        <v>14</v>
      </c>
      <c r="BJ182" t="s">
        <v>1797</v>
      </c>
      <c r="BK182" t="s">
        <v>101</v>
      </c>
      <c r="BL182" t="s">
        <v>957</v>
      </c>
      <c r="BM182" t="s">
        <v>3958</v>
      </c>
      <c r="BN182" t="s">
        <v>74</v>
      </c>
      <c r="BO182" t="s">
        <v>3959</v>
      </c>
      <c r="BP182" t="s">
        <v>74</v>
      </c>
      <c r="BQ182" t="s">
        <v>74</v>
      </c>
      <c r="BR182" t="s">
        <v>103</v>
      </c>
      <c r="BS182" t="s">
        <v>3960</v>
      </c>
      <c r="BT182" t="str">
        <f>HYPERLINK("https%3A%2F%2Fwww.webofscience.com%2Fwos%2Fwoscc%2Ffull-record%2FWOS:000799200400001","View Full Record in Web of Science")</f>
        <v>View Full Record in Web of Science</v>
      </c>
    </row>
    <row r="183" spans="1:72" x14ac:dyDescent="0.15">
      <c r="A183" t="s">
        <v>72</v>
      </c>
      <c r="B183" t="s">
        <v>3961</v>
      </c>
      <c r="C183" t="s">
        <v>74</v>
      </c>
      <c r="D183" t="s">
        <v>74</v>
      </c>
      <c r="E183" t="s">
        <v>74</v>
      </c>
      <c r="F183" t="s">
        <v>3962</v>
      </c>
      <c r="G183" t="s">
        <v>74</v>
      </c>
      <c r="H183" t="s">
        <v>74</v>
      </c>
      <c r="I183" t="s">
        <v>3963</v>
      </c>
      <c r="J183" t="s">
        <v>3964</v>
      </c>
      <c r="K183" t="s">
        <v>74</v>
      </c>
      <c r="L183" t="s">
        <v>74</v>
      </c>
      <c r="M183" t="s">
        <v>78</v>
      </c>
      <c r="N183" t="s">
        <v>79</v>
      </c>
      <c r="O183" t="s">
        <v>74</v>
      </c>
      <c r="P183" t="s">
        <v>74</v>
      </c>
      <c r="Q183" t="s">
        <v>74</v>
      </c>
      <c r="R183" t="s">
        <v>74</v>
      </c>
      <c r="S183" t="s">
        <v>74</v>
      </c>
      <c r="T183" t="s">
        <v>3965</v>
      </c>
      <c r="U183" t="s">
        <v>3966</v>
      </c>
      <c r="V183" t="s">
        <v>3967</v>
      </c>
      <c r="W183" t="s">
        <v>3968</v>
      </c>
      <c r="X183" t="s">
        <v>3969</v>
      </c>
      <c r="Y183" t="s">
        <v>3970</v>
      </c>
      <c r="Z183" t="s">
        <v>3971</v>
      </c>
      <c r="AA183" t="s">
        <v>3972</v>
      </c>
      <c r="AB183" t="s">
        <v>3973</v>
      </c>
      <c r="AC183" t="s">
        <v>3974</v>
      </c>
      <c r="AD183" t="s">
        <v>3975</v>
      </c>
      <c r="AE183" t="s">
        <v>3976</v>
      </c>
      <c r="AF183" t="s">
        <v>74</v>
      </c>
      <c r="AG183">
        <v>75</v>
      </c>
      <c r="AH183">
        <v>10</v>
      </c>
      <c r="AI183">
        <v>12</v>
      </c>
      <c r="AJ183">
        <v>2</v>
      </c>
      <c r="AK183">
        <v>32</v>
      </c>
      <c r="AL183" t="s">
        <v>91</v>
      </c>
      <c r="AM183" t="s">
        <v>92</v>
      </c>
      <c r="AN183" t="s">
        <v>93</v>
      </c>
      <c r="AO183" t="s">
        <v>3977</v>
      </c>
      <c r="AP183" t="s">
        <v>3978</v>
      </c>
      <c r="AQ183" t="s">
        <v>74</v>
      </c>
      <c r="AR183" t="s">
        <v>3979</v>
      </c>
      <c r="AS183" t="s">
        <v>3980</v>
      </c>
      <c r="AT183" t="s">
        <v>206</v>
      </c>
      <c r="AU183">
        <v>2022</v>
      </c>
      <c r="AV183">
        <v>25</v>
      </c>
      <c r="AW183">
        <v>7</v>
      </c>
      <c r="AX183" t="s">
        <v>74</v>
      </c>
      <c r="AY183" t="s">
        <v>74</v>
      </c>
      <c r="AZ183" t="s">
        <v>74</v>
      </c>
      <c r="BA183" t="s">
        <v>74</v>
      </c>
      <c r="BB183">
        <v>1640</v>
      </c>
      <c r="BC183">
        <v>1654</v>
      </c>
      <c r="BD183" t="s">
        <v>74</v>
      </c>
      <c r="BE183" t="s">
        <v>3981</v>
      </c>
      <c r="BF183" t="str">
        <f>HYPERLINK("http://dx.doi.org/10.1111/ele.14026","http://dx.doi.org/10.1111/ele.14026")</f>
        <v>http://dx.doi.org/10.1111/ele.14026</v>
      </c>
      <c r="BG183" t="s">
        <v>74</v>
      </c>
      <c r="BH183" t="s">
        <v>3111</v>
      </c>
      <c r="BI183">
        <v>15</v>
      </c>
      <c r="BJ183" t="s">
        <v>2647</v>
      </c>
      <c r="BK183" t="s">
        <v>101</v>
      </c>
      <c r="BL183" t="s">
        <v>840</v>
      </c>
      <c r="BM183" t="s">
        <v>3982</v>
      </c>
      <c r="BN183">
        <v>35610546</v>
      </c>
      <c r="BO183" t="s">
        <v>3983</v>
      </c>
      <c r="BP183" t="s">
        <v>74</v>
      </c>
      <c r="BQ183" t="s">
        <v>74</v>
      </c>
      <c r="BR183" t="s">
        <v>103</v>
      </c>
      <c r="BS183" t="s">
        <v>3984</v>
      </c>
      <c r="BT183" t="str">
        <f>HYPERLINK("https%3A%2F%2Fwww.webofscience.com%2Fwos%2Fwoscc%2Ffull-record%2FWOS:000799661400001","View Full Record in Web of Science")</f>
        <v>View Full Record in Web of Science</v>
      </c>
    </row>
    <row r="184" spans="1:72" x14ac:dyDescent="0.15">
      <c r="A184" t="s">
        <v>72</v>
      </c>
      <c r="B184" t="s">
        <v>3985</v>
      </c>
      <c r="C184" t="s">
        <v>74</v>
      </c>
      <c r="D184" t="s">
        <v>74</v>
      </c>
      <c r="E184" t="s">
        <v>74</v>
      </c>
      <c r="F184" t="s">
        <v>3986</v>
      </c>
      <c r="G184" t="s">
        <v>74</v>
      </c>
      <c r="H184" t="s">
        <v>74</v>
      </c>
      <c r="I184" t="s">
        <v>3987</v>
      </c>
      <c r="J184" t="s">
        <v>1154</v>
      </c>
      <c r="K184" t="s">
        <v>74</v>
      </c>
      <c r="L184" t="s">
        <v>74</v>
      </c>
      <c r="M184" t="s">
        <v>78</v>
      </c>
      <c r="N184" t="s">
        <v>79</v>
      </c>
      <c r="O184" t="s">
        <v>74</v>
      </c>
      <c r="P184" t="s">
        <v>74</v>
      </c>
      <c r="Q184" t="s">
        <v>74</v>
      </c>
      <c r="R184" t="s">
        <v>74</v>
      </c>
      <c r="S184" t="s">
        <v>74</v>
      </c>
      <c r="T184" t="s">
        <v>3988</v>
      </c>
      <c r="U184" t="s">
        <v>3989</v>
      </c>
      <c r="V184" t="s">
        <v>3990</v>
      </c>
      <c r="W184" t="s">
        <v>3991</v>
      </c>
      <c r="X184" t="s">
        <v>3992</v>
      </c>
      <c r="Y184" t="s">
        <v>3993</v>
      </c>
      <c r="Z184" t="s">
        <v>3994</v>
      </c>
      <c r="AA184" t="s">
        <v>74</v>
      </c>
      <c r="AB184" t="s">
        <v>3995</v>
      </c>
      <c r="AC184" t="s">
        <v>3996</v>
      </c>
      <c r="AD184" t="s">
        <v>3997</v>
      </c>
      <c r="AE184" t="s">
        <v>3998</v>
      </c>
      <c r="AF184" t="s">
        <v>74</v>
      </c>
      <c r="AG184">
        <v>113</v>
      </c>
      <c r="AH184">
        <v>3</v>
      </c>
      <c r="AI184">
        <v>3</v>
      </c>
      <c r="AJ184">
        <v>0</v>
      </c>
      <c r="AK184">
        <v>9</v>
      </c>
      <c r="AL184" t="s">
        <v>199</v>
      </c>
      <c r="AM184" t="s">
        <v>200</v>
      </c>
      <c r="AN184" t="s">
        <v>201</v>
      </c>
      <c r="AO184" t="s">
        <v>1167</v>
      </c>
      <c r="AP184" t="s">
        <v>1168</v>
      </c>
      <c r="AQ184" t="s">
        <v>74</v>
      </c>
      <c r="AR184" t="s">
        <v>1169</v>
      </c>
      <c r="AS184" t="s">
        <v>1170</v>
      </c>
      <c r="AT184" t="s">
        <v>3999</v>
      </c>
      <c r="AU184">
        <v>2022</v>
      </c>
      <c r="AV184">
        <v>286</v>
      </c>
      <c r="AW184" t="s">
        <v>74</v>
      </c>
      <c r="AX184" t="s">
        <v>74</v>
      </c>
      <c r="AY184" t="s">
        <v>74</v>
      </c>
      <c r="AZ184" t="s">
        <v>74</v>
      </c>
      <c r="BA184" t="s">
        <v>74</v>
      </c>
      <c r="BB184" t="s">
        <v>74</v>
      </c>
      <c r="BC184" t="s">
        <v>74</v>
      </c>
      <c r="BD184">
        <v>107524</v>
      </c>
      <c r="BE184" t="s">
        <v>4000</v>
      </c>
      <c r="BF184" t="str">
        <f>HYPERLINK("http://dx.doi.org/10.1016/j.quascirev.2022.107524","http://dx.doi.org/10.1016/j.quascirev.2022.107524")</f>
        <v>http://dx.doi.org/10.1016/j.quascirev.2022.107524</v>
      </c>
      <c r="BG184" t="s">
        <v>74</v>
      </c>
      <c r="BH184" t="s">
        <v>3111</v>
      </c>
      <c r="BI184">
        <v>17</v>
      </c>
      <c r="BJ184" t="s">
        <v>125</v>
      </c>
      <c r="BK184" t="s">
        <v>101</v>
      </c>
      <c r="BL184" t="s">
        <v>126</v>
      </c>
      <c r="BM184" t="s">
        <v>4001</v>
      </c>
      <c r="BN184" t="s">
        <v>74</v>
      </c>
      <c r="BO184" t="s">
        <v>74</v>
      </c>
      <c r="BP184" t="s">
        <v>74</v>
      </c>
      <c r="BQ184" t="s">
        <v>74</v>
      </c>
      <c r="BR184" t="s">
        <v>103</v>
      </c>
      <c r="BS184" t="s">
        <v>4002</v>
      </c>
      <c r="BT184" t="str">
        <f>HYPERLINK("https%3A%2F%2Fwww.webofscience.com%2Fwos%2Fwoscc%2Ffull-record%2FWOS:000810116800001","View Full Record in Web of Science")</f>
        <v>View Full Record in Web of Science</v>
      </c>
    </row>
    <row r="185" spans="1:72" x14ac:dyDescent="0.15">
      <c r="A185" t="s">
        <v>72</v>
      </c>
      <c r="B185" t="s">
        <v>4003</v>
      </c>
      <c r="C185" t="s">
        <v>74</v>
      </c>
      <c r="D185" t="s">
        <v>74</v>
      </c>
      <c r="E185" t="s">
        <v>74</v>
      </c>
      <c r="F185" t="s">
        <v>4004</v>
      </c>
      <c r="G185" t="s">
        <v>74</v>
      </c>
      <c r="H185" t="s">
        <v>74</v>
      </c>
      <c r="I185" t="s">
        <v>4005</v>
      </c>
      <c r="J185" t="s">
        <v>4006</v>
      </c>
      <c r="K185" t="s">
        <v>74</v>
      </c>
      <c r="L185" t="s">
        <v>74</v>
      </c>
      <c r="M185" t="s">
        <v>78</v>
      </c>
      <c r="N185" t="s">
        <v>79</v>
      </c>
      <c r="O185" t="s">
        <v>74</v>
      </c>
      <c r="P185" t="s">
        <v>74</v>
      </c>
      <c r="Q185" t="s">
        <v>74</v>
      </c>
      <c r="R185" t="s">
        <v>74</v>
      </c>
      <c r="S185" t="s">
        <v>74</v>
      </c>
      <c r="T185" t="s">
        <v>4007</v>
      </c>
      <c r="U185" t="s">
        <v>4008</v>
      </c>
      <c r="V185" t="s">
        <v>4009</v>
      </c>
      <c r="W185" t="s">
        <v>4010</v>
      </c>
      <c r="X185" t="s">
        <v>4011</v>
      </c>
      <c r="Y185" t="s">
        <v>4012</v>
      </c>
      <c r="Z185" t="s">
        <v>4013</v>
      </c>
      <c r="AA185" t="s">
        <v>4014</v>
      </c>
      <c r="AB185" t="s">
        <v>4015</v>
      </c>
      <c r="AC185" t="s">
        <v>4016</v>
      </c>
      <c r="AD185" t="s">
        <v>4017</v>
      </c>
      <c r="AE185" t="s">
        <v>4018</v>
      </c>
      <c r="AF185" t="s">
        <v>74</v>
      </c>
      <c r="AG185">
        <v>78</v>
      </c>
      <c r="AH185">
        <v>2</v>
      </c>
      <c r="AI185">
        <v>2</v>
      </c>
      <c r="AJ185">
        <v>8</v>
      </c>
      <c r="AK185">
        <v>25</v>
      </c>
      <c r="AL185" t="s">
        <v>91</v>
      </c>
      <c r="AM185" t="s">
        <v>92</v>
      </c>
      <c r="AN185" t="s">
        <v>93</v>
      </c>
      <c r="AO185" t="s">
        <v>4019</v>
      </c>
      <c r="AP185" t="s">
        <v>4020</v>
      </c>
      <c r="AQ185" t="s">
        <v>74</v>
      </c>
      <c r="AR185" t="s">
        <v>4021</v>
      </c>
      <c r="AS185" t="s">
        <v>4022</v>
      </c>
      <c r="AT185" t="s">
        <v>346</v>
      </c>
      <c r="AU185">
        <v>2022</v>
      </c>
      <c r="AV185">
        <v>31</v>
      </c>
      <c r="AW185">
        <v>8</v>
      </c>
      <c r="AX185" t="s">
        <v>74</v>
      </c>
      <c r="AY185" t="s">
        <v>74</v>
      </c>
      <c r="AZ185" t="s">
        <v>74</v>
      </c>
      <c r="BA185" t="s">
        <v>74</v>
      </c>
      <c r="BB185">
        <v>1556</v>
      </c>
      <c r="BC185">
        <v>1570</v>
      </c>
      <c r="BD185" t="s">
        <v>74</v>
      </c>
      <c r="BE185" t="s">
        <v>4023</v>
      </c>
      <c r="BF185" t="str">
        <f>HYPERLINK("http://dx.doi.org/10.1111/geb.13530","http://dx.doi.org/10.1111/geb.13530")</f>
        <v>http://dx.doi.org/10.1111/geb.13530</v>
      </c>
      <c r="BG185" t="s">
        <v>74</v>
      </c>
      <c r="BH185" t="s">
        <v>3111</v>
      </c>
      <c r="BI185">
        <v>15</v>
      </c>
      <c r="BJ185" t="s">
        <v>4024</v>
      </c>
      <c r="BK185" t="s">
        <v>101</v>
      </c>
      <c r="BL185" t="s">
        <v>4025</v>
      </c>
      <c r="BM185" t="s">
        <v>4026</v>
      </c>
      <c r="BN185" t="s">
        <v>74</v>
      </c>
      <c r="BO185" t="s">
        <v>590</v>
      </c>
      <c r="BP185" t="s">
        <v>74</v>
      </c>
      <c r="BQ185" t="s">
        <v>74</v>
      </c>
      <c r="BR185" t="s">
        <v>103</v>
      </c>
      <c r="BS185" t="s">
        <v>4027</v>
      </c>
      <c r="BT185" t="str">
        <f>HYPERLINK("https%3A%2F%2Fwww.webofscience.com%2Fwos%2Fwoscc%2Ffull-record%2FWOS:000798888100001","View Full Record in Web of Science")</f>
        <v>View Full Record in Web of Science</v>
      </c>
    </row>
    <row r="186" spans="1:72" x14ac:dyDescent="0.15">
      <c r="A186" t="s">
        <v>72</v>
      </c>
      <c r="B186" t="s">
        <v>4028</v>
      </c>
      <c r="C186" t="s">
        <v>74</v>
      </c>
      <c r="D186" t="s">
        <v>74</v>
      </c>
      <c r="E186" t="s">
        <v>74</v>
      </c>
      <c r="F186" t="s">
        <v>4029</v>
      </c>
      <c r="G186" t="s">
        <v>74</v>
      </c>
      <c r="H186" t="s">
        <v>74</v>
      </c>
      <c r="I186" t="s">
        <v>4030</v>
      </c>
      <c r="J186" t="s">
        <v>4031</v>
      </c>
      <c r="K186" t="s">
        <v>74</v>
      </c>
      <c r="L186" t="s">
        <v>74</v>
      </c>
      <c r="M186" t="s">
        <v>78</v>
      </c>
      <c r="N186" t="s">
        <v>79</v>
      </c>
      <c r="O186" t="s">
        <v>74</v>
      </c>
      <c r="P186" t="s">
        <v>74</v>
      </c>
      <c r="Q186" t="s">
        <v>74</v>
      </c>
      <c r="R186" t="s">
        <v>74</v>
      </c>
      <c r="S186" t="s">
        <v>74</v>
      </c>
      <c r="T186" t="s">
        <v>4032</v>
      </c>
      <c r="U186" t="s">
        <v>4033</v>
      </c>
      <c r="V186" t="s">
        <v>4034</v>
      </c>
      <c r="W186" t="s">
        <v>4035</v>
      </c>
      <c r="X186" t="s">
        <v>4036</v>
      </c>
      <c r="Y186" t="s">
        <v>4037</v>
      </c>
      <c r="Z186" t="s">
        <v>4038</v>
      </c>
      <c r="AA186" t="s">
        <v>74</v>
      </c>
      <c r="AB186" t="s">
        <v>74</v>
      </c>
      <c r="AC186" t="s">
        <v>4039</v>
      </c>
      <c r="AD186" t="s">
        <v>4039</v>
      </c>
      <c r="AE186" t="s">
        <v>4040</v>
      </c>
      <c r="AF186" t="s">
        <v>74</v>
      </c>
      <c r="AG186">
        <v>59</v>
      </c>
      <c r="AH186">
        <v>2</v>
      </c>
      <c r="AI186">
        <v>2</v>
      </c>
      <c r="AJ186">
        <v>3</v>
      </c>
      <c r="AK186">
        <v>7</v>
      </c>
      <c r="AL186" t="s">
        <v>91</v>
      </c>
      <c r="AM186" t="s">
        <v>92</v>
      </c>
      <c r="AN186" t="s">
        <v>93</v>
      </c>
      <c r="AO186" t="s">
        <v>4041</v>
      </c>
      <c r="AP186" t="s">
        <v>4042</v>
      </c>
      <c r="AQ186" t="s">
        <v>74</v>
      </c>
      <c r="AR186" t="s">
        <v>4043</v>
      </c>
      <c r="AS186" t="s">
        <v>4044</v>
      </c>
      <c r="AT186" t="s">
        <v>206</v>
      </c>
      <c r="AU186">
        <v>2022</v>
      </c>
      <c r="AV186">
        <v>51</v>
      </c>
      <c r="AW186">
        <v>4</v>
      </c>
      <c r="AX186" t="s">
        <v>74</v>
      </c>
      <c r="AY186" t="s">
        <v>74</v>
      </c>
      <c r="AZ186" t="s">
        <v>74</v>
      </c>
      <c r="BA186" t="s">
        <v>74</v>
      </c>
      <c r="BB186">
        <v>460</v>
      </c>
      <c r="BC186">
        <v>477</v>
      </c>
      <c r="BD186" t="s">
        <v>74</v>
      </c>
      <c r="BE186" t="s">
        <v>4045</v>
      </c>
      <c r="BF186" t="str">
        <f>HYPERLINK("http://dx.doi.org/10.1111/zsc.12542","http://dx.doi.org/10.1111/zsc.12542")</f>
        <v>http://dx.doi.org/10.1111/zsc.12542</v>
      </c>
      <c r="BG186" t="s">
        <v>74</v>
      </c>
      <c r="BH186" t="s">
        <v>3111</v>
      </c>
      <c r="BI186">
        <v>18</v>
      </c>
      <c r="BJ186" t="s">
        <v>2793</v>
      </c>
      <c r="BK186" t="s">
        <v>101</v>
      </c>
      <c r="BL186" t="s">
        <v>2793</v>
      </c>
      <c r="BM186" t="s">
        <v>4046</v>
      </c>
      <c r="BN186" t="s">
        <v>74</v>
      </c>
      <c r="BO186" t="s">
        <v>590</v>
      </c>
      <c r="BP186" t="s">
        <v>74</v>
      </c>
      <c r="BQ186" t="s">
        <v>74</v>
      </c>
      <c r="BR186" t="s">
        <v>103</v>
      </c>
      <c r="BS186" t="s">
        <v>4047</v>
      </c>
      <c r="BT186" t="str">
        <f>HYPERLINK("https%3A%2F%2Fwww.webofscience.com%2Fwos%2Fwoscc%2Ffull-record%2FWOS:000798756400001","View Full Record in Web of Science")</f>
        <v>View Full Record in Web of Science</v>
      </c>
    </row>
    <row r="187" spans="1:72" x14ac:dyDescent="0.15">
      <c r="A187" t="s">
        <v>72</v>
      </c>
      <c r="B187" t="s">
        <v>4048</v>
      </c>
      <c r="C187" t="s">
        <v>74</v>
      </c>
      <c r="D187" t="s">
        <v>74</v>
      </c>
      <c r="E187" t="s">
        <v>74</v>
      </c>
      <c r="F187" t="s">
        <v>4049</v>
      </c>
      <c r="G187" t="s">
        <v>74</v>
      </c>
      <c r="H187" t="s">
        <v>74</v>
      </c>
      <c r="I187" t="s">
        <v>4050</v>
      </c>
      <c r="J187" t="s">
        <v>821</v>
      </c>
      <c r="K187" t="s">
        <v>74</v>
      </c>
      <c r="L187" t="s">
        <v>74</v>
      </c>
      <c r="M187" t="s">
        <v>78</v>
      </c>
      <c r="N187" t="s">
        <v>79</v>
      </c>
      <c r="O187" t="s">
        <v>74</v>
      </c>
      <c r="P187" t="s">
        <v>74</v>
      </c>
      <c r="Q187" t="s">
        <v>74</v>
      </c>
      <c r="R187" t="s">
        <v>74</v>
      </c>
      <c r="S187" t="s">
        <v>74</v>
      </c>
      <c r="T187" t="s">
        <v>4051</v>
      </c>
      <c r="U187" t="s">
        <v>4052</v>
      </c>
      <c r="V187" t="s">
        <v>4053</v>
      </c>
      <c r="W187" t="s">
        <v>4054</v>
      </c>
      <c r="X187" t="s">
        <v>4055</v>
      </c>
      <c r="Y187" t="s">
        <v>4056</v>
      </c>
      <c r="Z187" t="s">
        <v>4057</v>
      </c>
      <c r="AA187" t="s">
        <v>4058</v>
      </c>
      <c r="AB187" t="s">
        <v>4059</v>
      </c>
      <c r="AC187" t="s">
        <v>4060</v>
      </c>
      <c r="AD187" t="s">
        <v>4061</v>
      </c>
      <c r="AE187" t="s">
        <v>4062</v>
      </c>
      <c r="AF187" t="s">
        <v>74</v>
      </c>
      <c r="AG187">
        <v>93</v>
      </c>
      <c r="AH187">
        <v>2</v>
      </c>
      <c r="AI187">
        <v>2</v>
      </c>
      <c r="AJ187">
        <v>0</v>
      </c>
      <c r="AK187">
        <v>1</v>
      </c>
      <c r="AL187" t="s">
        <v>285</v>
      </c>
      <c r="AM187" t="s">
        <v>286</v>
      </c>
      <c r="AN187" t="s">
        <v>287</v>
      </c>
      <c r="AO187" t="s">
        <v>74</v>
      </c>
      <c r="AP187" t="s">
        <v>834</v>
      </c>
      <c r="AQ187" t="s">
        <v>74</v>
      </c>
      <c r="AR187" t="s">
        <v>835</v>
      </c>
      <c r="AS187" t="s">
        <v>836</v>
      </c>
      <c r="AT187" t="s">
        <v>4063</v>
      </c>
      <c r="AU187">
        <v>2022</v>
      </c>
      <c r="AV187">
        <v>4</v>
      </c>
      <c r="AW187" t="s">
        <v>74</v>
      </c>
      <c r="AX187" t="s">
        <v>74</v>
      </c>
      <c r="AY187" t="s">
        <v>74</v>
      </c>
      <c r="AZ187" t="s">
        <v>74</v>
      </c>
      <c r="BA187" t="s">
        <v>74</v>
      </c>
      <c r="BB187" t="s">
        <v>74</v>
      </c>
      <c r="BC187" t="s">
        <v>74</v>
      </c>
      <c r="BD187">
        <v>852824</v>
      </c>
      <c r="BE187" t="s">
        <v>4064</v>
      </c>
      <c r="BF187" t="str">
        <f>HYPERLINK("http://dx.doi.org/10.3389/fclim.2022.852824","http://dx.doi.org/10.3389/fclim.2022.852824")</f>
        <v>http://dx.doi.org/10.3389/fclim.2022.852824</v>
      </c>
      <c r="BG187" t="s">
        <v>74</v>
      </c>
      <c r="BH187" t="s">
        <v>74</v>
      </c>
      <c r="BI187">
        <v>19</v>
      </c>
      <c r="BJ187" t="s">
        <v>838</v>
      </c>
      <c r="BK187" t="s">
        <v>839</v>
      </c>
      <c r="BL187" t="s">
        <v>840</v>
      </c>
      <c r="BM187" t="s">
        <v>4065</v>
      </c>
      <c r="BN187" t="s">
        <v>74</v>
      </c>
      <c r="BO187" t="s">
        <v>438</v>
      </c>
      <c r="BP187" t="s">
        <v>74</v>
      </c>
      <c r="BQ187" t="s">
        <v>74</v>
      </c>
      <c r="BR187" t="s">
        <v>103</v>
      </c>
      <c r="BS187" t="s">
        <v>4066</v>
      </c>
      <c r="BT187" t="str">
        <f>HYPERLINK("https%3A%2F%2Fwww.webofscience.com%2Fwos%2Fwoscc%2Ffull-record%2FWOS:001021854300001","View Full Record in Web of Science")</f>
        <v>View Full Record in Web of Science</v>
      </c>
    </row>
    <row r="188" spans="1:72" x14ac:dyDescent="0.15">
      <c r="A188" t="s">
        <v>72</v>
      </c>
      <c r="B188" t="s">
        <v>4067</v>
      </c>
      <c r="C188" t="s">
        <v>74</v>
      </c>
      <c r="D188" t="s">
        <v>74</v>
      </c>
      <c r="E188" t="s">
        <v>74</v>
      </c>
      <c r="F188" t="s">
        <v>4068</v>
      </c>
      <c r="G188" t="s">
        <v>74</v>
      </c>
      <c r="H188" t="s">
        <v>74</v>
      </c>
      <c r="I188" t="s">
        <v>4069</v>
      </c>
      <c r="J188" t="s">
        <v>4070</v>
      </c>
      <c r="K188" t="s">
        <v>74</v>
      </c>
      <c r="L188" t="s">
        <v>74</v>
      </c>
      <c r="M188" t="s">
        <v>78</v>
      </c>
      <c r="N188" t="s">
        <v>79</v>
      </c>
      <c r="O188" t="s">
        <v>74</v>
      </c>
      <c r="P188" t="s">
        <v>74</v>
      </c>
      <c r="Q188" t="s">
        <v>74</v>
      </c>
      <c r="R188" t="s">
        <v>74</v>
      </c>
      <c r="S188" t="s">
        <v>74</v>
      </c>
      <c r="T188" t="s">
        <v>4071</v>
      </c>
      <c r="U188" t="s">
        <v>4072</v>
      </c>
      <c r="V188" t="s">
        <v>4073</v>
      </c>
      <c r="W188" t="s">
        <v>4074</v>
      </c>
      <c r="X188" t="s">
        <v>4075</v>
      </c>
      <c r="Y188" t="s">
        <v>4076</v>
      </c>
      <c r="Z188" t="s">
        <v>4077</v>
      </c>
      <c r="AA188" t="s">
        <v>4078</v>
      </c>
      <c r="AB188" t="s">
        <v>4079</v>
      </c>
      <c r="AC188" t="s">
        <v>4080</v>
      </c>
      <c r="AD188" t="s">
        <v>4081</v>
      </c>
      <c r="AE188" t="s">
        <v>4082</v>
      </c>
      <c r="AF188" t="s">
        <v>74</v>
      </c>
      <c r="AG188">
        <v>79</v>
      </c>
      <c r="AH188">
        <v>4</v>
      </c>
      <c r="AI188">
        <v>4</v>
      </c>
      <c r="AJ188">
        <v>4</v>
      </c>
      <c r="AK188">
        <v>16</v>
      </c>
      <c r="AL188" t="s">
        <v>199</v>
      </c>
      <c r="AM188" t="s">
        <v>200</v>
      </c>
      <c r="AN188" t="s">
        <v>201</v>
      </c>
      <c r="AO188" t="s">
        <v>4083</v>
      </c>
      <c r="AP188" t="s">
        <v>4084</v>
      </c>
      <c r="AQ188" t="s">
        <v>74</v>
      </c>
      <c r="AR188" t="s">
        <v>4085</v>
      </c>
      <c r="AS188" t="s">
        <v>4086</v>
      </c>
      <c r="AT188" t="s">
        <v>3999</v>
      </c>
      <c r="AU188">
        <v>2022</v>
      </c>
      <c r="AV188">
        <v>327</v>
      </c>
      <c r="AW188" t="s">
        <v>74</v>
      </c>
      <c r="AX188" t="s">
        <v>74</v>
      </c>
      <c r="AY188" t="s">
        <v>74</v>
      </c>
      <c r="AZ188" t="s">
        <v>74</v>
      </c>
      <c r="BA188" t="s">
        <v>74</v>
      </c>
      <c r="BB188">
        <v>298</v>
      </c>
      <c r="BC188">
        <v>313</v>
      </c>
      <c r="BD188" t="s">
        <v>74</v>
      </c>
      <c r="BE188" t="s">
        <v>4087</v>
      </c>
      <c r="BF188" t="str">
        <f>HYPERLINK("http://dx.doi.org/10.1016/j.gca.2022.04.010","http://dx.doi.org/10.1016/j.gca.2022.04.010")</f>
        <v>http://dx.doi.org/10.1016/j.gca.2022.04.010</v>
      </c>
      <c r="BG188" t="s">
        <v>74</v>
      </c>
      <c r="BH188" t="s">
        <v>3111</v>
      </c>
      <c r="BI188">
        <v>16</v>
      </c>
      <c r="BJ188" t="s">
        <v>2144</v>
      </c>
      <c r="BK188" t="s">
        <v>101</v>
      </c>
      <c r="BL188" t="s">
        <v>2144</v>
      </c>
      <c r="BM188" t="s">
        <v>4088</v>
      </c>
      <c r="BN188" t="s">
        <v>74</v>
      </c>
      <c r="BO188" t="s">
        <v>643</v>
      </c>
      <c r="BP188" t="s">
        <v>74</v>
      </c>
      <c r="BQ188" t="s">
        <v>74</v>
      </c>
      <c r="BR188" t="s">
        <v>103</v>
      </c>
      <c r="BS188" t="s">
        <v>4089</v>
      </c>
      <c r="BT188" t="str">
        <f>HYPERLINK("https%3A%2F%2Fwww.webofscience.com%2Fwos%2Fwoscc%2Ffull-record%2FWOS:000807737700007","View Full Record in Web of Science")</f>
        <v>View Full Record in Web of Science</v>
      </c>
    </row>
    <row r="189" spans="1:72" x14ac:dyDescent="0.15">
      <c r="A189" t="s">
        <v>72</v>
      </c>
      <c r="B189" t="s">
        <v>4090</v>
      </c>
      <c r="C189" t="s">
        <v>74</v>
      </c>
      <c r="D189" t="s">
        <v>74</v>
      </c>
      <c r="E189" t="s">
        <v>74</v>
      </c>
      <c r="F189" t="s">
        <v>4091</v>
      </c>
      <c r="G189" t="s">
        <v>74</v>
      </c>
      <c r="H189" t="s">
        <v>74</v>
      </c>
      <c r="I189" t="s">
        <v>4092</v>
      </c>
      <c r="J189" t="s">
        <v>329</v>
      </c>
      <c r="K189" t="s">
        <v>74</v>
      </c>
      <c r="L189" t="s">
        <v>74</v>
      </c>
      <c r="M189" t="s">
        <v>78</v>
      </c>
      <c r="N189" t="s">
        <v>79</v>
      </c>
      <c r="O189" t="s">
        <v>74</v>
      </c>
      <c r="P189" t="s">
        <v>74</v>
      </c>
      <c r="Q189" t="s">
        <v>74</v>
      </c>
      <c r="R189" t="s">
        <v>74</v>
      </c>
      <c r="S189" t="s">
        <v>74</v>
      </c>
      <c r="T189" t="s">
        <v>4093</v>
      </c>
      <c r="U189" t="s">
        <v>4094</v>
      </c>
      <c r="V189" t="s">
        <v>4095</v>
      </c>
      <c r="W189" t="s">
        <v>4096</v>
      </c>
      <c r="X189" t="s">
        <v>4097</v>
      </c>
      <c r="Y189" t="s">
        <v>4098</v>
      </c>
      <c r="Z189" t="s">
        <v>4099</v>
      </c>
      <c r="AA189" t="s">
        <v>74</v>
      </c>
      <c r="AB189" t="s">
        <v>4100</v>
      </c>
      <c r="AC189" t="s">
        <v>4101</v>
      </c>
      <c r="AD189" t="s">
        <v>4101</v>
      </c>
      <c r="AE189" t="s">
        <v>4102</v>
      </c>
      <c r="AF189" t="s">
        <v>74</v>
      </c>
      <c r="AG189">
        <v>119</v>
      </c>
      <c r="AH189">
        <v>5</v>
      </c>
      <c r="AI189">
        <v>5</v>
      </c>
      <c r="AJ189">
        <v>5</v>
      </c>
      <c r="AK189">
        <v>23</v>
      </c>
      <c r="AL189" t="s">
        <v>199</v>
      </c>
      <c r="AM189" t="s">
        <v>200</v>
      </c>
      <c r="AN189" t="s">
        <v>201</v>
      </c>
      <c r="AO189" t="s">
        <v>342</v>
      </c>
      <c r="AP189" t="s">
        <v>343</v>
      </c>
      <c r="AQ189" t="s">
        <v>74</v>
      </c>
      <c r="AR189" t="s">
        <v>344</v>
      </c>
      <c r="AS189" t="s">
        <v>345</v>
      </c>
      <c r="AT189" t="s">
        <v>206</v>
      </c>
      <c r="AU189">
        <v>2022</v>
      </c>
      <c r="AV189">
        <v>185</v>
      </c>
      <c r="AW189" t="s">
        <v>74</v>
      </c>
      <c r="AX189" t="s">
        <v>74</v>
      </c>
      <c r="AY189" t="s">
        <v>74</v>
      </c>
      <c r="AZ189" t="s">
        <v>74</v>
      </c>
      <c r="BA189" t="s">
        <v>74</v>
      </c>
      <c r="BB189" t="s">
        <v>74</v>
      </c>
      <c r="BC189" t="s">
        <v>74</v>
      </c>
      <c r="BD189">
        <v>103805</v>
      </c>
      <c r="BE189" t="s">
        <v>4103</v>
      </c>
      <c r="BF189" t="str">
        <f>HYPERLINK("http://dx.doi.org/10.1016/j.dsr.2022.103805","http://dx.doi.org/10.1016/j.dsr.2022.103805")</f>
        <v>http://dx.doi.org/10.1016/j.dsr.2022.103805</v>
      </c>
      <c r="BG189" t="s">
        <v>74</v>
      </c>
      <c r="BH189" t="s">
        <v>3111</v>
      </c>
      <c r="BI189">
        <v>14</v>
      </c>
      <c r="BJ189" t="s">
        <v>208</v>
      </c>
      <c r="BK189" t="s">
        <v>101</v>
      </c>
      <c r="BL189" t="s">
        <v>208</v>
      </c>
      <c r="BM189" t="s">
        <v>4104</v>
      </c>
      <c r="BN189" t="s">
        <v>74</v>
      </c>
      <c r="BO189" t="s">
        <v>74</v>
      </c>
      <c r="BP189" t="s">
        <v>74</v>
      </c>
      <c r="BQ189" t="s">
        <v>74</v>
      </c>
      <c r="BR189" t="s">
        <v>103</v>
      </c>
      <c r="BS189" t="s">
        <v>4105</v>
      </c>
      <c r="BT189" t="str">
        <f>HYPERLINK("https%3A%2F%2Fwww.webofscience.com%2Fwos%2Fwoscc%2Ffull-record%2FWOS:000807848800006","View Full Record in Web of Science")</f>
        <v>View Full Record in Web of Science</v>
      </c>
    </row>
    <row r="190" spans="1:72" x14ac:dyDescent="0.15">
      <c r="A190" t="s">
        <v>72</v>
      </c>
      <c r="B190" t="s">
        <v>4106</v>
      </c>
      <c r="C190" t="s">
        <v>74</v>
      </c>
      <c r="D190" t="s">
        <v>74</v>
      </c>
      <c r="E190" t="s">
        <v>74</v>
      </c>
      <c r="F190" t="s">
        <v>4107</v>
      </c>
      <c r="G190" t="s">
        <v>74</v>
      </c>
      <c r="H190" t="s">
        <v>74</v>
      </c>
      <c r="I190" t="s">
        <v>4108</v>
      </c>
      <c r="J190" t="s">
        <v>4109</v>
      </c>
      <c r="K190" t="s">
        <v>74</v>
      </c>
      <c r="L190" t="s">
        <v>74</v>
      </c>
      <c r="M190" t="s">
        <v>78</v>
      </c>
      <c r="N190" t="s">
        <v>79</v>
      </c>
      <c r="O190" t="s">
        <v>74</v>
      </c>
      <c r="P190" t="s">
        <v>74</v>
      </c>
      <c r="Q190" t="s">
        <v>74</v>
      </c>
      <c r="R190" t="s">
        <v>74</v>
      </c>
      <c r="S190" t="s">
        <v>74</v>
      </c>
      <c r="T190" t="s">
        <v>4110</v>
      </c>
      <c r="U190" t="s">
        <v>4111</v>
      </c>
      <c r="V190" t="s">
        <v>4112</v>
      </c>
      <c r="W190" t="s">
        <v>4113</v>
      </c>
      <c r="X190" t="s">
        <v>4114</v>
      </c>
      <c r="Y190" t="s">
        <v>4115</v>
      </c>
      <c r="Z190" t="s">
        <v>4116</v>
      </c>
      <c r="AA190" t="s">
        <v>74</v>
      </c>
      <c r="AB190" t="s">
        <v>74</v>
      </c>
      <c r="AC190" t="s">
        <v>4117</v>
      </c>
      <c r="AD190" t="s">
        <v>4118</v>
      </c>
      <c r="AE190" t="s">
        <v>4119</v>
      </c>
      <c r="AF190" t="s">
        <v>74</v>
      </c>
      <c r="AG190">
        <v>36</v>
      </c>
      <c r="AH190">
        <v>0</v>
      </c>
      <c r="AI190">
        <v>0</v>
      </c>
      <c r="AJ190">
        <v>2</v>
      </c>
      <c r="AK190">
        <v>11</v>
      </c>
      <c r="AL190" t="s">
        <v>4120</v>
      </c>
      <c r="AM190" t="s">
        <v>4121</v>
      </c>
      <c r="AN190" t="s">
        <v>4122</v>
      </c>
      <c r="AO190" t="s">
        <v>4123</v>
      </c>
      <c r="AP190" t="s">
        <v>4124</v>
      </c>
      <c r="AQ190" t="s">
        <v>74</v>
      </c>
      <c r="AR190" t="s">
        <v>4125</v>
      </c>
      <c r="AS190" t="s">
        <v>4126</v>
      </c>
      <c r="AT190" t="s">
        <v>4127</v>
      </c>
      <c r="AU190">
        <v>2023</v>
      </c>
      <c r="AV190">
        <v>41</v>
      </c>
      <c r="AW190">
        <v>11</v>
      </c>
      <c r="AX190" t="s">
        <v>74</v>
      </c>
      <c r="AY190" t="s">
        <v>74</v>
      </c>
      <c r="AZ190" t="s">
        <v>74</v>
      </c>
      <c r="BA190" t="s">
        <v>74</v>
      </c>
      <c r="BB190">
        <v>5138</v>
      </c>
      <c r="BC190">
        <v>5151</v>
      </c>
      <c r="BD190" t="s">
        <v>74</v>
      </c>
      <c r="BE190" t="s">
        <v>4128</v>
      </c>
      <c r="BF190" t="str">
        <f>HYPERLINK("http://dx.doi.org/10.1080/07391102.2022.2080115","http://dx.doi.org/10.1080/07391102.2022.2080115")</f>
        <v>http://dx.doi.org/10.1080/07391102.2022.2080115</v>
      </c>
      <c r="BG190" t="s">
        <v>74</v>
      </c>
      <c r="BH190" t="s">
        <v>3111</v>
      </c>
      <c r="BI190">
        <v>14</v>
      </c>
      <c r="BJ190" t="s">
        <v>4129</v>
      </c>
      <c r="BK190" t="s">
        <v>101</v>
      </c>
      <c r="BL190" t="s">
        <v>4129</v>
      </c>
      <c r="BM190" t="s">
        <v>4130</v>
      </c>
      <c r="BN190">
        <v>35612882</v>
      </c>
      <c r="BO190" t="s">
        <v>74</v>
      </c>
      <c r="BP190" t="s">
        <v>74</v>
      </c>
      <c r="BQ190" t="s">
        <v>74</v>
      </c>
      <c r="BR190" t="s">
        <v>103</v>
      </c>
      <c r="BS190" t="s">
        <v>4131</v>
      </c>
      <c r="BT190" t="str">
        <f>HYPERLINK("https%3A%2F%2Fwww.webofscience.com%2Fwos%2Fwoscc%2Ffull-record%2FWOS:000800229400001","View Full Record in Web of Science")</f>
        <v>View Full Record in Web of Science</v>
      </c>
    </row>
    <row r="191" spans="1:72" x14ac:dyDescent="0.15">
      <c r="A191" t="s">
        <v>72</v>
      </c>
      <c r="B191" t="s">
        <v>4132</v>
      </c>
      <c r="C191" t="s">
        <v>74</v>
      </c>
      <c r="D191" t="s">
        <v>74</v>
      </c>
      <c r="E191" t="s">
        <v>74</v>
      </c>
      <c r="F191" t="s">
        <v>4133</v>
      </c>
      <c r="G191" t="s">
        <v>74</v>
      </c>
      <c r="H191" t="s">
        <v>74</v>
      </c>
      <c r="I191" t="s">
        <v>4134</v>
      </c>
      <c r="J191" t="s">
        <v>4135</v>
      </c>
      <c r="K191" t="s">
        <v>74</v>
      </c>
      <c r="L191" t="s">
        <v>74</v>
      </c>
      <c r="M191" t="s">
        <v>78</v>
      </c>
      <c r="N191" t="s">
        <v>79</v>
      </c>
      <c r="O191" t="s">
        <v>74</v>
      </c>
      <c r="P191" t="s">
        <v>74</v>
      </c>
      <c r="Q191" t="s">
        <v>74</v>
      </c>
      <c r="R191" t="s">
        <v>74</v>
      </c>
      <c r="S191" t="s">
        <v>74</v>
      </c>
      <c r="T191" t="s">
        <v>74</v>
      </c>
      <c r="U191" t="s">
        <v>4136</v>
      </c>
      <c r="V191" t="s">
        <v>4137</v>
      </c>
      <c r="W191" t="s">
        <v>4138</v>
      </c>
      <c r="X191" t="s">
        <v>4139</v>
      </c>
      <c r="Y191" t="s">
        <v>4140</v>
      </c>
      <c r="Z191" t="s">
        <v>4141</v>
      </c>
      <c r="AA191" t="s">
        <v>4142</v>
      </c>
      <c r="AB191" t="s">
        <v>4143</v>
      </c>
      <c r="AC191" t="s">
        <v>4144</v>
      </c>
      <c r="AD191" t="s">
        <v>4145</v>
      </c>
      <c r="AE191" t="s">
        <v>4146</v>
      </c>
      <c r="AF191" t="s">
        <v>74</v>
      </c>
      <c r="AG191">
        <v>87</v>
      </c>
      <c r="AH191">
        <v>16</v>
      </c>
      <c r="AI191">
        <v>17</v>
      </c>
      <c r="AJ191">
        <v>2</v>
      </c>
      <c r="AK191">
        <v>7</v>
      </c>
      <c r="AL191" t="s">
        <v>1023</v>
      </c>
      <c r="AM191" t="s">
        <v>1024</v>
      </c>
      <c r="AN191" t="s">
        <v>1025</v>
      </c>
      <c r="AO191" t="s">
        <v>4147</v>
      </c>
      <c r="AP191" t="s">
        <v>4148</v>
      </c>
      <c r="AQ191" t="s">
        <v>74</v>
      </c>
      <c r="AR191" t="s">
        <v>4149</v>
      </c>
      <c r="AS191" t="s">
        <v>4150</v>
      </c>
      <c r="AT191" t="s">
        <v>4151</v>
      </c>
      <c r="AU191">
        <v>2022</v>
      </c>
      <c r="AV191">
        <v>62</v>
      </c>
      <c r="AW191">
        <v>4</v>
      </c>
      <c r="AX191" t="s">
        <v>74</v>
      </c>
      <c r="AY191" t="s">
        <v>74</v>
      </c>
      <c r="AZ191" t="s">
        <v>74</v>
      </c>
      <c r="BA191" t="s">
        <v>74</v>
      </c>
      <c r="BB191">
        <v>1061</v>
      </c>
      <c r="BC191">
        <v>1075</v>
      </c>
      <c r="BD191" t="s">
        <v>74</v>
      </c>
      <c r="BE191" t="s">
        <v>4152</v>
      </c>
      <c r="BF191" t="str">
        <f>HYPERLINK("http://dx.doi.org/10.1093/icb/icac043","http://dx.doi.org/10.1093/icb/icac043")</f>
        <v>http://dx.doi.org/10.1093/icb/icac043</v>
      </c>
      <c r="BG191" t="s">
        <v>74</v>
      </c>
      <c r="BH191" t="s">
        <v>3111</v>
      </c>
      <c r="BI191">
        <v>15</v>
      </c>
      <c r="BJ191" t="s">
        <v>1054</v>
      </c>
      <c r="BK191" t="s">
        <v>101</v>
      </c>
      <c r="BL191" t="s">
        <v>1054</v>
      </c>
      <c r="BM191" t="s">
        <v>4153</v>
      </c>
      <c r="BN191">
        <v>35595471</v>
      </c>
      <c r="BO191" t="s">
        <v>4154</v>
      </c>
      <c r="BP191" t="s">
        <v>74</v>
      </c>
      <c r="BQ191" t="s">
        <v>74</v>
      </c>
      <c r="BR191" t="s">
        <v>103</v>
      </c>
      <c r="BS191" t="s">
        <v>4155</v>
      </c>
      <c r="BT191" t="str">
        <f>HYPERLINK("https%3A%2F%2Fwww.webofscience.com%2Fwos%2Fwoscc%2Ffull-record%2FWOS:000856547100001","View Full Record in Web of Science")</f>
        <v>View Full Record in Web of Science</v>
      </c>
    </row>
    <row r="192" spans="1:72" x14ac:dyDescent="0.15">
      <c r="A192" t="s">
        <v>72</v>
      </c>
      <c r="B192" t="s">
        <v>4156</v>
      </c>
      <c r="C192" t="s">
        <v>74</v>
      </c>
      <c r="D192" t="s">
        <v>74</v>
      </c>
      <c r="E192" t="s">
        <v>74</v>
      </c>
      <c r="F192" t="s">
        <v>4157</v>
      </c>
      <c r="G192" t="s">
        <v>74</v>
      </c>
      <c r="H192" t="s">
        <v>74</v>
      </c>
      <c r="I192" t="s">
        <v>4158</v>
      </c>
      <c r="J192" t="s">
        <v>4159</v>
      </c>
      <c r="K192" t="s">
        <v>74</v>
      </c>
      <c r="L192" t="s">
        <v>74</v>
      </c>
      <c r="M192" t="s">
        <v>78</v>
      </c>
      <c r="N192" t="s">
        <v>79</v>
      </c>
      <c r="O192" t="s">
        <v>74</v>
      </c>
      <c r="P192" t="s">
        <v>74</v>
      </c>
      <c r="Q192" t="s">
        <v>74</v>
      </c>
      <c r="R192" t="s">
        <v>74</v>
      </c>
      <c r="S192" t="s">
        <v>74</v>
      </c>
      <c r="T192" t="s">
        <v>4160</v>
      </c>
      <c r="U192" t="s">
        <v>4161</v>
      </c>
      <c r="V192" t="s">
        <v>4162</v>
      </c>
      <c r="W192" t="s">
        <v>4163</v>
      </c>
      <c r="X192" t="s">
        <v>4164</v>
      </c>
      <c r="Y192" t="s">
        <v>4165</v>
      </c>
      <c r="Z192" t="s">
        <v>4166</v>
      </c>
      <c r="AA192" t="s">
        <v>74</v>
      </c>
      <c r="AB192" t="s">
        <v>4167</v>
      </c>
      <c r="AC192" t="s">
        <v>4168</v>
      </c>
      <c r="AD192" t="s">
        <v>4169</v>
      </c>
      <c r="AE192" t="s">
        <v>4170</v>
      </c>
      <c r="AF192" t="s">
        <v>74</v>
      </c>
      <c r="AG192">
        <v>58</v>
      </c>
      <c r="AH192">
        <v>4</v>
      </c>
      <c r="AI192">
        <v>4</v>
      </c>
      <c r="AJ192">
        <v>6</v>
      </c>
      <c r="AK192">
        <v>22</v>
      </c>
      <c r="AL192" t="s">
        <v>313</v>
      </c>
      <c r="AM192" t="s">
        <v>314</v>
      </c>
      <c r="AN192" t="s">
        <v>315</v>
      </c>
      <c r="AO192" t="s">
        <v>4171</v>
      </c>
      <c r="AP192" t="s">
        <v>4172</v>
      </c>
      <c r="AQ192" t="s">
        <v>74</v>
      </c>
      <c r="AR192" t="s">
        <v>4173</v>
      </c>
      <c r="AS192" t="s">
        <v>4174</v>
      </c>
      <c r="AT192" t="s">
        <v>150</v>
      </c>
      <c r="AU192">
        <v>2022</v>
      </c>
      <c r="AV192">
        <v>212</v>
      </c>
      <c r="AW192" t="s">
        <v>74</v>
      </c>
      <c r="AX192" t="s">
        <v>4175</v>
      </c>
      <c r="AY192" t="s">
        <v>74</v>
      </c>
      <c r="AZ192" t="s">
        <v>74</v>
      </c>
      <c r="BA192" t="s">
        <v>74</v>
      </c>
      <c r="BB192" t="s">
        <v>74</v>
      </c>
      <c r="BC192" t="s">
        <v>74</v>
      </c>
      <c r="BD192">
        <v>113481</v>
      </c>
      <c r="BE192" t="s">
        <v>4176</v>
      </c>
      <c r="BF192" t="str">
        <f>HYPERLINK("http://dx.doi.org/10.1016/j.envres.2022.113481","http://dx.doi.org/10.1016/j.envres.2022.113481")</f>
        <v>http://dx.doi.org/10.1016/j.envres.2022.113481</v>
      </c>
      <c r="BG192" t="s">
        <v>74</v>
      </c>
      <c r="BH192" t="s">
        <v>3111</v>
      </c>
      <c r="BI192">
        <v>12</v>
      </c>
      <c r="BJ192" t="s">
        <v>4177</v>
      </c>
      <c r="BK192" t="s">
        <v>101</v>
      </c>
      <c r="BL192" t="s">
        <v>4178</v>
      </c>
      <c r="BM192" t="s">
        <v>4179</v>
      </c>
      <c r="BN192">
        <v>35588776</v>
      </c>
      <c r="BO192" t="s">
        <v>267</v>
      </c>
      <c r="BP192" t="s">
        <v>74</v>
      </c>
      <c r="BQ192" t="s">
        <v>74</v>
      </c>
      <c r="BR192" t="s">
        <v>103</v>
      </c>
      <c r="BS192" t="s">
        <v>4180</v>
      </c>
      <c r="BT192" t="str">
        <f>HYPERLINK("https%3A%2F%2Fwww.webofscience.com%2Fwos%2Fwoscc%2Ffull-record%2FWOS:000808352500002","View Full Record in Web of Science")</f>
        <v>View Full Record in Web of Science</v>
      </c>
    </row>
    <row r="193" spans="1:72" x14ac:dyDescent="0.15">
      <c r="A193" t="s">
        <v>72</v>
      </c>
      <c r="B193" t="s">
        <v>4181</v>
      </c>
      <c r="C193" t="s">
        <v>74</v>
      </c>
      <c r="D193" t="s">
        <v>74</v>
      </c>
      <c r="E193" t="s">
        <v>74</v>
      </c>
      <c r="F193" t="s">
        <v>4182</v>
      </c>
      <c r="G193" t="s">
        <v>74</v>
      </c>
      <c r="H193" t="s">
        <v>74</v>
      </c>
      <c r="I193" t="s">
        <v>4183</v>
      </c>
      <c r="J193" t="s">
        <v>4184</v>
      </c>
      <c r="K193" t="s">
        <v>74</v>
      </c>
      <c r="L193" t="s">
        <v>74</v>
      </c>
      <c r="M193" t="s">
        <v>78</v>
      </c>
      <c r="N193" t="s">
        <v>79</v>
      </c>
      <c r="O193" t="s">
        <v>74</v>
      </c>
      <c r="P193" t="s">
        <v>74</v>
      </c>
      <c r="Q193" t="s">
        <v>74</v>
      </c>
      <c r="R193" t="s">
        <v>74</v>
      </c>
      <c r="S193" t="s">
        <v>74</v>
      </c>
      <c r="T193" t="s">
        <v>4185</v>
      </c>
      <c r="U193" t="s">
        <v>4186</v>
      </c>
      <c r="V193" t="s">
        <v>4187</v>
      </c>
      <c r="W193" t="s">
        <v>4188</v>
      </c>
      <c r="X193" t="s">
        <v>4189</v>
      </c>
      <c r="Y193" t="s">
        <v>4190</v>
      </c>
      <c r="Z193" t="s">
        <v>4191</v>
      </c>
      <c r="AA193" t="s">
        <v>74</v>
      </c>
      <c r="AB193" t="s">
        <v>4192</v>
      </c>
      <c r="AC193" t="s">
        <v>4193</v>
      </c>
      <c r="AD193" t="s">
        <v>4194</v>
      </c>
      <c r="AE193" t="s">
        <v>4195</v>
      </c>
      <c r="AF193" t="s">
        <v>74</v>
      </c>
      <c r="AG193">
        <v>81</v>
      </c>
      <c r="AH193">
        <v>6</v>
      </c>
      <c r="AI193">
        <v>6</v>
      </c>
      <c r="AJ193">
        <v>12</v>
      </c>
      <c r="AK193">
        <v>38</v>
      </c>
      <c r="AL193" t="s">
        <v>3228</v>
      </c>
      <c r="AM193" t="s">
        <v>200</v>
      </c>
      <c r="AN193" t="s">
        <v>3229</v>
      </c>
      <c r="AO193" t="s">
        <v>4196</v>
      </c>
      <c r="AP193" t="s">
        <v>74</v>
      </c>
      <c r="AQ193" t="s">
        <v>74</v>
      </c>
      <c r="AR193" t="s">
        <v>4184</v>
      </c>
      <c r="AS193" t="s">
        <v>4197</v>
      </c>
      <c r="AT193" t="s">
        <v>537</v>
      </c>
      <c r="AU193">
        <v>2022</v>
      </c>
      <c r="AV193">
        <v>38</v>
      </c>
      <c r="AW193" t="s">
        <v>74</v>
      </c>
      <c r="AX193" t="s">
        <v>74</v>
      </c>
      <c r="AY193" t="s">
        <v>74</v>
      </c>
      <c r="AZ193" t="s">
        <v>74</v>
      </c>
      <c r="BA193" t="s">
        <v>74</v>
      </c>
      <c r="BB193" t="s">
        <v>74</v>
      </c>
      <c r="BC193" t="s">
        <v>74</v>
      </c>
      <c r="BD193">
        <v>100340</v>
      </c>
      <c r="BE193" t="s">
        <v>4198</v>
      </c>
      <c r="BF193" t="str">
        <f>HYPERLINK("http://dx.doi.org/10.1016/j.ancene.2022.100340","http://dx.doi.org/10.1016/j.ancene.2022.100340")</f>
        <v>http://dx.doi.org/10.1016/j.ancene.2022.100340</v>
      </c>
      <c r="BG193" t="s">
        <v>74</v>
      </c>
      <c r="BH193" t="s">
        <v>3111</v>
      </c>
      <c r="BI193">
        <v>9</v>
      </c>
      <c r="BJ193" t="s">
        <v>708</v>
      </c>
      <c r="BK193" t="s">
        <v>101</v>
      </c>
      <c r="BL193" t="s">
        <v>709</v>
      </c>
      <c r="BM193" t="s">
        <v>4199</v>
      </c>
      <c r="BN193" t="s">
        <v>74</v>
      </c>
      <c r="BO193" t="s">
        <v>74</v>
      </c>
      <c r="BP193" t="s">
        <v>74</v>
      </c>
      <c r="BQ193" t="s">
        <v>74</v>
      </c>
      <c r="BR193" t="s">
        <v>103</v>
      </c>
      <c r="BS193" t="s">
        <v>4200</v>
      </c>
      <c r="BT193" t="str">
        <f>HYPERLINK("https%3A%2F%2Fwww.webofscience.com%2Fwos%2Fwoscc%2Ffull-record%2FWOS:000806498200004","View Full Record in Web of Science")</f>
        <v>View Full Record in Web of Science</v>
      </c>
    </row>
    <row r="194" spans="1:72" x14ac:dyDescent="0.15">
      <c r="A194" t="s">
        <v>72</v>
      </c>
      <c r="B194" t="s">
        <v>4201</v>
      </c>
      <c r="C194" t="s">
        <v>74</v>
      </c>
      <c r="D194" t="s">
        <v>74</v>
      </c>
      <c r="E194" t="s">
        <v>74</v>
      </c>
      <c r="F194" t="s">
        <v>4202</v>
      </c>
      <c r="G194" t="s">
        <v>74</v>
      </c>
      <c r="H194" t="s">
        <v>74</v>
      </c>
      <c r="I194" t="s">
        <v>4203</v>
      </c>
      <c r="J194" t="s">
        <v>3150</v>
      </c>
      <c r="K194" t="s">
        <v>74</v>
      </c>
      <c r="L194" t="s">
        <v>74</v>
      </c>
      <c r="M194" t="s">
        <v>78</v>
      </c>
      <c r="N194" t="s">
        <v>79</v>
      </c>
      <c r="O194" t="s">
        <v>74</v>
      </c>
      <c r="P194" t="s">
        <v>74</v>
      </c>
      <c r="Q194" t="s">
        <v>74</v>
      </c>
      <c r="R194" t="s">
        <v>74</v>
      </c>
      <c r="S194" t="s">
        <v>74</v>
      </c>
      <c r="T194" t="s">
        <v>4204</v>
      </c>
      <c r="U194" t="s">
        <v>4205</v>
      </c>
      <c r="V194" t="s">
        <v>4206</v>
      </c>
      <c r="W194" t="s">
        <v>4207</v>
      </c>
      <c r="X194" t="s">
        <v>4208</v>
      </c>
      <c r="Y194" t="s">
        <v>4209</v>
      </c>
      <c r="Z194" t="s">
        <v>4210</v>
      </c>
      <c r="AA194" t="s">
        <v>4211</v>
      </c>
      <c r="AB194" t="s">
        <v>4212</v>
      </c>
      <c r="AC194" t="s">
        <v>4213</v>
      </c>
      <c r="AD194" t="s">
        <v>4213</v>
      </c>
      <c r="AE194" t="s">
        <v>4214</v>
      </c>
      <c r="AF194" t="s">
        <v>74</v>
      </c>
      <c r="AG194">
        <v>38</v>
      </c>
      <c r="AH194">
        <v>1</v>
      </c>
      <c r="AI194">
        <v>1</v>
      </c>
      <c r="AJ194">
        <v>3</v>
      </c>
      <c r="AK194">
        <v>10</v>
      </c>
      <c r="AL194" t="s">
        <v>530</v>
      </c>
      <c r="AM194" t="s">
        <v>531</v>
      </c>
      <c r="AN194" t="s">
        <v>532</v>
      </c>
      <c r="AO194" t="s">
        <v>3162</v>
      </c>
      <c r="AP194" t="s">
        <v>3163</v>
      </c>
      <c r="AQ194" t="s">
        <v>74</v>
      </c>
      <c r="AR194" t="s">
        <v>3164</v>
      </c>
      <c r="AS194" t="s">
        <v>3165</v>
      </c>
      <c r="AT194" t="s">
        <v>3166</v>
      </c>
      <c r="AU194">
        <v>2023</v>
      </c>
      <c r="AV194">
        <v>60</v>
      </c>
      <c r="AW194" t="s">
        <v>3167</v>
      </c>
      <c r="AX194" t="s">
        <v>74</v>
      </c>
      <c r="AY194" t="s">
        <v>74</v>
      </c>
      <c r="AZ194" t="s">
        <v>74</v>
      </c>
      <c r="BA194" t="s">
        <v>74</v>
      </c>
      <c r="BB194">
        <v>227</v>
      </c>
      <c r="BC194">
        <v>238</v>
      </c>
      <c r="BD194" t="s">
        <v>74</v>
      </c>
      <c r="BE194" t="s">
        <v>4215</v>
      </c>
      <c r="BF194" t="str">
        <f>HYPERLINK("http://dx.doi.org/10.1007/s00382-022-06319-9","http://dx.doi.org/10.1007/s00382-022-06319-9")</f>
        <v>http://dx.doi.org/10.1007/s00382-022-06319-9</v>
      </c>
      <c r="BG194" t="s">
        <v>74</v>
      </c>
      <c r="BH194" t="s">
        <v>3111</v>
      </c>
      <c r="BI194">
        <v>12</v>
      </c>
      <c r="BJ194" t="s">
        <v>510</v>
      </c>
      <c r="BK194" t="s">
        <v>101</v>
      </c>
      <c r="BL194" t="s">
        <v>510</v>
      </c>
      <c r="BM194" t="s">
        <v>3169</v>
      </c>
      <c r="BN194" t="s">
        <v>74</v>
      </c>
      <c r="BO194" t="s">
        <v>267</v>
      </c>
      <c r="BP194" t="s">
        <v>74</v>
      </c>
      <c r="BQ194" t="s">
        <v>74</v>
      </c>
      <c r="BR194" t="s">
        <v>103</v>
      </c>
      <c r="BS194" t="s">
        <v>4216</v>
      </c>
      <c r="BT194" t="str">
        <f>HYPERLINK("https%3A%2F%2Fwww.webofscience.com%2Fwos%2Fwoscc%2Ffull-record%2FWOS:000800814700006","View Full Record in Web of Science")</f>
        <v>View Full Record in Web of Science</v>
      </c>
    </row>
    <row r="195" spans="1:72" x14ac:dyDescent="0.15">
      <c r="A195" t="s">
        <v>72</v>
      </c>
      <c r="B195" t="s">
        <v>4217</v>
      </c>
      <c r="C195" t="s">
        <v>74</v>
      </c>
      <c r="D195" t="s">
        <v>74</v>
      </c>
      <c r="E195" t="s">
        <v>74</v>
      </c>
      <c r="F195" t="s">
        <v>4218</v>
      </c>
      <c r="G195" t="s">
        <v>74</v>
      </c>
      <c r="H195" t="s">
        <v>74</v>
      </c>
      <c r="I195" t="s">
        <v>4219</v>
      </c>
      <c r="J195" t="s">
        <v>648</v>
      </c>
      <c r="K195" t="s">
        <v>74</v>
      </c>
      <c r="L195" t="s">
        <v>74</v>
      </c>
      <c r="M195" t="s">
        <v>78</v>
      </c>
      <c r="N195" t="s">
        <v>79</v>
      </c>
      <c r="O195" t="s">
        <v>74</v>
      </c>
      <c r="P195" t="s">
        <v>74</v>
      </c>
      <c r="Q195" t="s">
        <v>74</v>
      </c>
      <c r="R195" t="s">
        <v>74</v>
      </c>
      <c r="S195" t="s">
        <v>74</v>
      </c>
      <c r="T195" t="s">
        <v>74</v>
      </c>
      <c r="U195" t="s">
        <v>4220</v>
      </c>
      <c r="V195" t="s">
        <v>4221</v>
      </c>
      <c r="W195" t="s">
        <v>4222</v>
      </c>
      <c r="X195" t="s">
        <v>4223</v>
      </c>
      <c r="Y195" t="s">
        <v>4224</v>
      </c>
      <c r="Z195" t="s">
        <v>4225</v>
      </c>
      <c r="AA195" t="s">
        <v>4226</v>
      </c>
      <c r="AB195" t="s">
        <v>4227</v>
      </c>
      <c r="AC195" t="s">
        <v>4228</v>
      </c>
      <c r="AD195" t="s">
        <v>4229</v>
      </c>
      <c r="AE195" t="s">
        <v>4230</v>
      </c>
      <c r="AF195" t="s">
        <v>74</v>
      </c>
      <c r="AG195">
        <v>68</v>
      </c>
      <c r="AH195">
        <v>6</v>
      </c>
      <c r="AI195">
        <v>6</v>
      </c>
      <c r="AJ195">
        <v>7</v>
      </c>
      <c r="AK195">
        <v>25</v>
      </c>
      <c r="AL195" t="s">
        <v>455</v>
      </c>
      <c r="AM195" t="s">
        <v>456</v>
      </c>
      <c r="AN195" t="s">
        <v>457</v>
      </c>
      <c r="AO195" t="s">
        <v>74</v>
      </c>
      <c r="AP195" t="s">
        <v>652</v>
      </c>
      <c r="AQ195" t="s">
        <v>74</v>
      </c>
      <c r="AR195" t="s">
        <v>653</v>
      </c>
      <c r="AS195" t="s">
        <v>654</v>
      </c>
      <c r="AT195" t="s">
        <v>4231</v>
      </c>
      <c r="AU195">
        <v>2022</v>
      </c>
      <c r="AV195">
        <v>13</v>
      </c>
      <c r="AW195">
        <v>1</v>
      </c>
      <c r="AX195" t="s">
        <v>74</v>
      </c>
      <c r="AY195" t="s">
        <v>74</v>
      </c>
      <c r="AZ195" t="s">
        <v>74</v>
      </c>
      <c r="BA195" t="s">
        <v>74</v>
      </c>
      <c r="BB195" t="s">
        <v>74</v>
      </c>
      <c r="BC195" t="s">
        <v>74</v>
      </c>
      <c r="BD195">
        <v>2434</v>
      </c>
      <c r="BE195" t="s">
        <v>4232</v>
      </c>
      <c r="BF195" t="str">
        <f>HYPERLINK("http://dx.doi.org/10.1038/s41467-022-30076-2","http://dx.doi.org/10.1038/s41467-022-30076-2")</f>
        <v>http://dx.doi.org/10.1038/s41467-022-30076-2</v>
      </c>
      <c r="BG195" t="s">
        <v>74</v>
      </c>
      <c r="BH195" t="s">
        <v>74</v>
      </c>
      <c r="BI195">
        <v>9</v>
      </c>
      <c r="BJ195" t="s">
        <v>657</v>
      </c>
      <c r="BK195" t="s">
        <v>101</v>
      </c>
      <c r="BL195" t="s">
        <v>658</v>
      </c>
      <c r="BM195" t="s">
        <v>4233</v>
      </c>
      <c r="BN195">
        <v>35595753</v>
      </c>
      <c r="BO195" t="s">
        <v>295</v>
      </c>
      <c r="BP195" t="s">
        <v>74</v>
      </c>
      <c r="BQ195" t="s">
        <v>74</v>
      </c>
      <c r="BR195" t="s">
        <v>103</v>
      </c>
      <c r="BS195" t="s">
        <v>4234</v>
      </c>
      <c r="BT195" t="str">
        <f>HYPERLINK("https%3A%2F%2Fwww.webofscience.com%2Fwos%2Fwoscc%2Ffull-record%2FWOS:000799632400016","View Full Record in Web of Science")</f>
        <v>View Full Record in Web of Science</v>
      </c>
    </row>
    <row r="196" spans="1:72" x14ac:dyDescent="0.15">
      <c r="A196" t="s">
        <v>72</v>
      </c>
      <c r="B196" t="s">
        <v>4235</v>
      </c>
      <c r="C196" t="s">
        <v>74</v>
      </c>
      <c r="D196" t="s">
        <v>74</v>
      </c>
      <c r="E196" t="s">
        <v>74</v>
      </c>
      <c r="F196" t="s">
        <v>4236</v>
      </c>
      <c r="G196" t="s">
        <v>74</v>
      </c>
      <c r="H196" t="s">
        <v>74</v>
      </c>
      <c r="I196" t="s">
        <v>4237</v>
      </c>
      <c r="J196" t="s">
        <v>108</v>
      </c>
      <c r="K196" t="s">
        <v>74</v>
      </c>
      <c r="L196" t="s">
        <v>74</v>
      </c>
      <c r="M196" t="s">
        <v>78</v>
      </c>
      <c r="N196" t="s">
        <v>79</v>
      </c>
      <c r="O196" t="s">
        <v>74</v>
      </c>
      <c r="P196" t="s">
        <v>74</v>
      </c>
      <c r="Q196" t="s">
        <v>74</v>
      </c>
      <c r="R196" t="s">
        <v>74</v>
      </c>
      <c r="S196" t="s">
        <v>74</v>
      </c>
      <c r="T196" t="s">
        <v>74</v>
      </c>
      <c r="U196" t="s">
        <v>4238</v>
      </c>
      <c r="V196" t="s">
        <v>4239</v>
      </c>
      <c r="W196" t="s">
        <v>4240</v>
      </c>
      <c r="X196" t="s">
        <v>4241</v>
      </c>
      <c r="Y196" t="s">
        <v>4242</v>
      </c>
      <c r="Z196" t="s">
        <v>4243</v>
      </c>
      <c r="AA196" t="s">
        <v>4244</v>
      </c>
      <c r="AB196" t="s">
        <v>4245</v>
      </c>
      <c r="AC196" t="s">
        <v>4246</v>
      </c>
      <c r="AD196" t="s">
        <v>4247</v>
      </c>
      <c r="AE196" t="s">
        <v>4248</v>
      </c>
      <c r="AF196" t="s">
        <v>74</v>
      </c>
      <c r="AG196">
        <v>42</v>
      </c>
      <c r="AH196">
        <v>7</v>
      </c>
      <c r="AI196">
        <v>8</v>
      </c>
      <c r="AJ196">
        <v>9</v>
      </c>
      <c r="AK196">
        <v>28</v>
      </c>
      <c r="AL196" t="s">
        <v>117</v>
      </c>
      <c r="AM196" t="s">
        <v>118</v>
      </c>
      <c r="AN196" t="s">
        <v>119</v>
      </c>
      <c r="AO196" t="s">
        <v>120</v>
      </c>
      <c r="AP196" t="s">
        <v>121</v>
      </c>
      <c r="AQ196" t="s">
        <v>74</v>
      </c>
      <c r="AR196" t="s">
        <v>108</v>
      </c>
      <c r="AS196" t="s">
        <v>122</v>
      </c>
      <c r="AT196" t="s">
        <v>4231</v>
      </c>
      <c r="AU196">
        <v>2022</v>
      </c>
      <c r="AV196">
        <v>16</v>
      </c>
      <c r="AW196">
        <v>5</v>
      </c>
      <c r="AX196" t="s">
        <v>74</v>
      </c>
      <c r="AY196" t="s">
        <v>74</v>
      </c>
      <c r="AZ196" t="s">
        <v>74</v>
      </c>
      <c r="BA196" t="s">
        <v>74</v>
      </c>
      <c r="BB196">
        <v>1941</v>
      </c>
      <c r="BC196">
        <v>1961</v>
      </c>
      <c r="BD196" t="s">
        <v>74</v>
      </c>
      <c r="BE196" t="s">
        <v>4249</v>
      </c>
      <c r="BF196" t="str">
        <f>HYPERLINK("http://dx.doi.org/10.5194/tc-16-1941-2022","http://dx.doi.org/10.5194/tc-16-1941-2022")</f>
        <v>http://dx.doi.org/10.5194/tc-16-1941-2022</v>
      </c>
      <c r="BG196" t="s">
        <v>74</v>
      </c>
      <c r="BH196" t="s">
        <v>74</v>
      </c>
      <c r="BI196">
        <v>21</v>
      </c>
      <c r="BJ196" t="s">
        <v>125</v>
      </c>
      <c r="BK196" t="s">
        <v>101</v>
      </c>
      <c r="BL196" t="s">
        <v>126</v>
      </c>
      <c r="BM196" t="s">
        <v>4250</v>
      </c>
      <c r="BN196" t="s">
        <v>74</v>
      </c>
      <c r="BO196" t="s">
        <v>128</v>
      </c>
      <c r="BP196" t="s">
        <v>74</v>
      </c>
      <c r="BQ196" t="s">
        <v>74</v>
      </c>
      <c r="BR196" t="s">
        <v>103</v>
      </c>
      <c r="BS196" t="s">
        <v>4251</v>
      </c>
      <c r="BT196" t="str">
        <f>HYPERLINK("https%3A%2F%2Fwww.webofscience.com%2Fwos%2Fwoscc%2Ffull-record%2FWOS:000797963100001","View Full Record in Web of Science")</f>
        <v>View Full Record in Web of Science</v>
      </c>
    </row>
    <row r="197" spans="1:72" x14ac:dyDescent="0.15">
      <c r="A197" t="s">
        <v>72</v>
      </c>
      <c r="B197" t="s">
        <v>4252</v>
      </c>
      <c r="C197" t="s">
        <v>74</v>
      </c>
      <c r="D197" t="s">
        <v>74</v>
      </c>
      <c r="E197" t="s">
        <v>74</v>
      </c>
      <c r="F197" t="s">
        <v>4253</v>
      </c>
      <c r="G197" t="s">
        <v>74</v>
      </c>
      <c r="H197" t="s">
        <v>74</v>
      </c>
      <c r="I197" t="s">
        <v>4254</v>
      </c>
      <c r="J197" t="s">
        <v>4255</v>
      </c>
      <c r="K197" t="s">
        <v>74</v>
      </c>
      <c r="L197" t="s">
        <v>74</v>
      </c>
      <c r="M197" t="s">
        <v>78</v>
      </c>
      <c r="N197" t="s">
        <v>190</v>
      </c>
      <c r="O197" t="s">
        <v>74</v>
      </c>
      <c r="P197" t="s">
        <v>74</v>
      </c>
      <c r="Q197" t="s">
        <v>74</v>
      </c>
      <c r="R197" t="s">
        <v>74</v>
      </c>
      <c r="S197" t="s">
        <v>74</v>
      </c>
      <c r="T197" t="s">
        <v>4256</v>
      </c>
      <c r="U197" t="s">
        <v>4257</v>
      </c>
      <c r="V197" t="s">
        <v>74</v>
      </c>
      <c r="W197" t="s">
        <v>4258</v>
      </c>
      <c r="X197" t="s">
        <v>4259</v>
      </c>
      <c r="Y197" t="s">
        <v>4260</v>
      </c>
      <c r="Z197" t="s">
        <v>4261</v>
      </c>
      <c r="AA197" t="s">
        <v>4262</v>
      </c>
      <c r="AB197" t="s">
        <v>4263</v>
      </c>
      <c r="AC197" t="s">
        <v>74</v>
      </c>
      <c r="AD197" t="s">
        <v>74</v>
      </c>
      <c r="AE197" t="s">
        <v>74</v>
      </c>
      <c r="AF197" t="s">
        <v>74</v>
      </c>
      <c r="AG197">
        <v>18</v>
      </c>
      <c r="AH197">
        <v>3</v>
      </c>
      <c r="AI197">
        <v>3</v>
      </c>
      <c r="AJ197">
        <v>3</v>
      </c>
      <c r="AK197">
        <v>8</v>
      </c>
      <c r="AL197" t="s">
        <v>91</v>
      </c>
      <c r="AM197" t="s">
        <v>92</v>
      </c>
      <c r="AN197" t="s">
        <v>93</v>
      </c>
      <c r="AO197" t="s">
        <v>4264</v>
      </c>
      <c r="AP197" t="s">
        <v>4265</v>
      </c>
      <c r="AQ197" t="s">
        <v>74</v>
      </c>
      <c r="AR197" t="s">
        <v>4266</v>
      </c>
      <c r="AS197" t="s">
        <v>4267</v>
      </c>
      <c r="AT197" t="s">
        <v>484</v>
      </c>
      <c r="AU197">
        <v>2022</v>
      </c>
      <c r="AV197">
        <v>36</v>
      </c>
      <c r="AW197">
        <v>5</v>
      </c>
      <c r="AX197" t="s">
        <v>74</v>
      </c>
      <c r="AY197" t="s">
        <v>74</v>
      </c>
      <c r="AZ197" t="s">
        <v>74</v>
      </c>
      <c r="BA197" t="s">
        <v>74</v>
      </c>
      <c r="BB197" t="s">
        <v>74</v>
      </c>
      <c r="BC197" t="s">
        <v>74</v>
      </c>
      <c r="BD197" t="s">
        <v>4268</v>
      </c>
      <c r="BE197" t="s">
        <v>4269</v>
      </c>
      <c r="BF197" t="str">
        <f>HYPERLINK("http://dx.doi.org/10.1111/cobi.13925","http://dx.doi.org/10.1111/cobi.13925")</f>
        <v>http://dx.doi.org/10.1111/cobi.13925</v>
      </c>
      <c r="BG197" t="s">
        <v>74</v>
      </c>
      <c r="BH197" t="s">
        <v>3111</v>
      </c>
      <c r="BI197">
        <v>4</v>
      </c>
      <c r="BJ197" t="s">
        <v>4270</v>
      </c>
      <c r="BK197" t="s">
        <v>101</v>
      </c>
      <c r="BL197" t="s">
        <v>540</v>
      </c>
      <c r="BM197" t="s">
        <v>4271</v>
      </c>
      <c r="BN197">
        <v>35451530</v>
      </c>
      <c r="BO197" t="s">
        <v>590</v>
      </c>
      <c r="BP197" t="s">
        <v>74</v>
      </c>
      <c r="BQ197" t="s">
        <v>74</v>
      </c>
      <c r="BR197" t="s">
        <v>103</v>
      </c>
      <c r="BS197" t="s">
        <v>4272</v>
      </c>
      <c r="BT197" t="str">
        <f>HYPERLINK("https%3A%2F%2Fwww.webofscience.com%2Fwos%2Fwoscc%2Ffull-record%2FWOS:000798051800001","View Full Record in Web of Science")</f>
        <v>View Full Record in Web of Science</v>
      </c>
    </row>
    <row r="198" spans="1:72" x14ac:dyDescent="0.15">
      <c r="A198" t="s">
        <v>72</v>
      </c>
      <c r="B198" t="s">
        <v>4273</v>
      </c>
      <c r="C198" t="s">
        <v>74</v>
      </c>
      <c r="D198" t="s">
        <v>74</v>
      </c>
      <c r="E198" t="s">
        <v>74</v>
      </c>
      <c r="F198" t="s">
        <v>4274</v>
      </c>
      <c r="G198" t="s">
        <v>74</v>
      </c>
      <c r="H198" t="s">
        <v>74</v>
      </c>
      <c r="I198" t="s">
        <v>4275</v>
      </c>
      <c r="J198" t="s">
        <v>3573</v>
      </c>
      <c r="K198" t="s">
        <v>74</v>
      </c>
      <c r="L198" t="s">
        <v>74</v>
      </c>
      <c r="M198" t="s">
        <v>78</v>
      </c>
      <c r="N198" t="s">
        <v>79</v>
      </c>
      <c r="O198" t="s">
        <v>74</v>
      </c>
      <c r="P198" t="s">
        <v>74</v>
      </c>
      <c r="Q198" t="s">
        <v>74</v>
      </c>
      <c r="R198" t="s">
        <v>74</v>
      </c>
      <c r="S198" t="s">
        <v>74</v>
      </c>
      <c r="T198" t="s">
        <v>4276</v>
      </c>
      <c r="U198" t="s">
        <v>4277</v>
      </c>
      <c r="V198" t="s">
        <v>4278</v>
      </c>
      <c r="W198" t="s">
        <v>4279</v>
      </c>
      <c r="X198" t="s">
        <v>4280</v>
      </c>
      <c r="Y198" t="s">
        <v>4281</v>
      </c>
      <c r="Z198" t="s">
        <v>4282</v>
      </c>
      <c r="AA198" t="s">
        <v>4283</v>
      </c>
      <c r="AB198" t="s">
        <v>4284</v>
      </c>
      <c r="AC198" t="s">
        <v>4285</v>
      </c>
      <c r="AD198" t="s">
        <v>4286</v>
      </c>
      <c r="AE198" t="s">
        <v>4287</v>
      </c>
      <c r="AF198" t="s">
        <v>74</v>
      </c>
      <c r="AG198">
        <v>55</v>
      </c>
      <c r="AH198">
        <v>5</v>
      </c>
      <c r="AI198">
        <v>5</v>
      </c>
      <c r="AJ198">
        <v>1</v>
      </c>
      <c r="AK198">
        <v>16</v>
      </c>
      <c r="AL198" t="s">
        <v>257</v>
      </c>
      <c r="AM198" t="s">
        <v>258</v>
      </c>
      <c r="AN198" t="s">
        <v>259</v>
      </c>
      <c r="AO198" t="s">
        <v>3584</v>
      </c>
      <c r="AP198" t="s">
        <v>3585</v>
      </c>
      <c r="AQ198" t="s">
        <v>74</v>
      </c>
      <c r="AR198" t="s">
        <v>3586</v>
      </c>
      <c r="AS198" t="s">
        <v>3587</v>
      </c>
      <c r="AT198" t="s">
        <v>150</v>
      </c>
      <c r="AU198">
        <v>2022</v>
      </c>
      <c r="AV198">
        <v>253</v>
      </c>
      <c r="AW198" t="s">
        <v>74</v>
      </c>
      <c r="AX198" t="s">
        <v>74</v>
      </c>
      <c r="AY198" t="s">
        <v>74</v>
      </c>
      <c r="AZ198" t="s">
        <v>74</v>
      </c>
      <c r="BA198" t="s">
        <v>74</v>
      </c>
      <c r="BB198" t="s">
        <v>74</v>
      </c>
      <c r="BC198" t="s">
        <v>74</v>
      </c>
      <c r="BD198">
        <v>106366</v>
      </c>
      <c r="BE198" t="s">
        <v>4288</v>
      </c>
      <c r="BF198" t="str">
        <f>HYPERLINK("http://dx.doi.org/10.1016/j.fishres.2022.106366","http://dx.doi.org/10.1016/j.fishres.2022.106366")</f>
        <v>http://dx.doi.org/10.1016/j.fishres.2022.106366</v>
      </c>
      <c r="BG198" t="s">
        <v>74</v>
      </c>
      <c r="BH198" t="s">
        <v>3111</v>
      </c>
      <c r="BI198">
        <v>10</v>
      </c>
      <c r="BJ198" t="s">
        <v>3589</v>
      </c>
      <c r="BK198" t="s">
        <v>101</v>
      </c>
      <c r="BL198" t="s">
        <v>3589</v>
      </c>
      <c r="BM198" t="s">
        <v>4289</v>
      </c>
      <c r="BN198" t="s">
        <v>74</v>
      </c>
      <c r="BO198" t="s">
        <v>74</v>
      </c>
      <c r="BP198" t="s">
        <v>74</v>
      </c>
      <c r="BQ198" t="s">
        <v>74</v>
      </c>
      <c r="BR198" t="s">
        <v>103</v>
      </c>
      <c r="BS198" t="s">
        <v>4290</v>
      </c>
      <c r="BT198" t="str">
        <f>HYPERLINK("https%3A%2F%2Fwww.webofscience.com%2Fwos%2Fwoscc%2Ffull-record%2FWOS:000807100000002","View Full Record in Web of Science")</f>
        <v>View Full Record in Web of Science</v>
      </c>
    </row>
    <row r="199" spans="1:72" x14ac:dyDescent="0.15">
      <c r="A199" t="s">
        <v>72</v>
      </c>
      <c r="B199" t="s">
        <v>4291</v>
      </c>
      <c r="C199" t="s">
        <v>74</v>
      </c>
      <c r="D199" t="s">
        <v>74</v>
      </c>
      <c r="E199" t="s">
        <v>74</v>
      </c>
      <c r="F199" t="s">
        <v>4292</v>
      </c>
      <c r="G199" t="s">
        <v>74</v>
      </c>
      <c r="H199" t="s">
        <v>74</v>
      </c>
      <c r="I199" t="s">
        <v>4293</v>
      </c>
      <c r="J199" t="s">
        <v>4294</v>
      </c>
      <c r="K199" t="s">
        <v>74</v>
      </c>
      <c r="L199" t="s">
        <v>74</v>
      </c>
      <c r="M199" t="s">
        <v>78</v>
      </c>
      <c r="N199" t="s">
        <v>79</v>
      </c>
      <c r="O199" t="s">
        <v>74</v>
      </c>
      <c r="P199" t="s">
        <v>74</v>
      </c>
      <c r="Q199" t="s">
        <v>74</v>
      </c>
      <c r="R199" t="s">
        <v>74</v>
      </c>
      <c r="S199" t="s">
        <v>74</v>
      </c>
      <c r="T199" t="s">
        <v>74</v>
      </c>
      <c r="U199" t="s">
        <v>4295</v>
      </c>
      <c r="V199" t="s">
        <v>4296</v>
      </c>
      <c r="W199" t="s">
        <v>4297</v>
      </c>
      <c r="X199" t="s">
        <v>4298</v>
      </c>
      <c r="Y199" t="s">
        <v>4299</v>
      </c>
      <c r="Z199" t="s">
        <v>4300</v>
      </c>
      <c r="AA199" t="s">
        <v>4301</v>
      </c>
      <c r="AB199" t="s">
        <v>4302</v>
      </c>
      <c r="AC199" t="s">
        <v>4303</v>
      </c>
      <c r="AD199" t="s">
        <v>4304</v>
      </c>
      <c r="AE199" t="s">
        <v>4305</v>
      </c>
      <c r="AF199" t="s">
        <v>74</v>
      </c>
      <c r="AG199">
        <v>53</v>
      </c>
      <c r="AH199">
        <v>8</v>
      </c>
      <c r="AI199">
        <v>9</v>
      </c>
      <c r="AJ199">
        <v>5</v>
      </c>
      <c r="AK199">
        <v>18</v>
      </c>
      <c r="AL199" t="s">
        <v>455</v>
      </c>
      <c r="AM199" t="s">
        <v>456</v>
      </c>
      <c r="AN199" t="s">
        <v>457</v>
      </c>
      <c r="AO199" t="s">
        <v>4306</v>
      </c>
      <c r="AP199" t="s">
        <v>74</v>
      </c>
      <c r="AQ199" t="s">
        <v>74</v>
      </c>
      <c r="AR199" t="s">
        <v>4307</v>
      </c>
      <c r="AS199" t="s">
        <v>4308</v>
      </c>
      <c r="AT199" t="s">
        <v>4309</v>
      </c>
      <c r="AU199">
        <v>2022</v>
      </c>
      <c r="AV199">
        <v>12</v>
      </c>
      <c r="AW199">
        <v>1</v>
      </c>
      <c r="AX199" t="s">
        <v>74</v>
      </c>
      <c r="AY199" t="s">
        <v>74</v>
      </c>
      <c r="AZ199" t="s">
        <v>74</v>
      </c>
      <c r="BA199" t="s">
        <v>74</v>
      </c>
      <c r="BB199" t="s">
        <v>74</v>
      </c>
      <c r="BC199" t="s">
        <v>74</v>
      </c>
      <c r="BD199">
        <v>8407</v>
      </c>
      <c r="BE199" t="s">
        <v>4310</v>
      </c>
      <c r="BF199" t="str">
        <f>HYPERLINK("http://dx.doi.org/10.1038/s41598-022-12290-6","http://dx.doi.org/10.1038/s41598-022-12290-6")</f>
        <v>http://dx.doi.org/10.1038/s41598-022-12290-6</v>
      </c>
      <c r="BG199" t="s">
        <v>74</v>
      </c>
      <c r="BH199" t="s">
        <v>74</v>
      </c>
      <c r="BI199">
        <v>8</v>
      </c>
      <c r="BJ199" t="s">
        <v>657</v>
      </c>
      <c r="BK199" t="s">
        <v>101</v>
      </c>
      <c r="BL199" t="s">
        <v>658</v>
      </c>
      <c r="BM199" t="s">
        <v>4311</v>
      </c>
      <c r="BN199">
        <v>35589789</v>
      </c>
      <c r="BO199" t="s">
        <v>4312</v>
      </c>
      <c r="BP199" t="s">
        <v>74</v>
      </c>
      <c r="BQ199" t="s">
        <v>74</v>
      </c>
      <c r="BR199" t="s">
        <v>103</v>
      </c>
      <c r="BS199" t="s">
        <v>4313</v>
      </c>
      <c r="BT199" t="str">
        <f>HYPERLINK("https%3A%2F%2Fwww.webofscience.com%2Fwos%2Fwoscc%2Ffull-record%2FWOS:000798064600036","View Full Record in Web of Science")</f>
        <v>View Full Record in Web of Science</v>
      </c>
    </row>
    <row r="200" spans="1:72" x14ac:dyDescent="0.15">
      <c r="A200" t="s">
        <v>72</v>
      </c>
      <c r="B200" t="s">
        <v>4314</v>
      </c>
      <c r="C200" t="s">
        <v>74</v>
      </c>
      <c r="D200" t="s">
        <v>74</v>
      </c>
      <c r="E200" t="s">
        <v>74</v>
      </c>
      <c r="F200" t="s">
        <v>4315</v>
      </c>
      <c r="G200" t="s">
        <v>74</v>
      </c>
      <c r="H200" t="s">
        <v>74</v>
      </c>
      <c r="I200" t="s">
        <v>4316</v>
      </c>
      <c r="J200" t="s">
        <v>4294</v>
      </c>
      <c r="K200" t="s">
        <v>74</v>
      </c>
      <c r="L200" t="s">
        <v>74</v>
      </c>
      <c r="M200" t="s">
        <v>78</v>
      </c>
      <c r="N200" t="s">
        <v>79</v>
      </c>
      <c r="O200" t="s">
        <v>74</v>
      </c>
      <c r="P200" t="s">
        <v>74</v>
      </c>
      <c r="Q200" t="s">
        <v>74</v>
      </c>
      <c r="R200" t="s">
        <v>74</v>
      </c>
      <c r="S200" t="s">
        <v>74</v>
      </c>
      <c r="T200" t="s">
        <v>74</v>
      </c>
      <c r="U200" t="s">
        <v>4317</v>
      </c>
      <c r="V200" t="s">
        <v>4318</v>
      </c>
      <c r="W200" t="s">
        <v>4319</v>
      </c>
      <c r="X200" t="s">
        <v>4320</v>
      </c>
      <c r="Y200" t="s">
        <v>4321</v>
      </c>
      <c r="Z200" t="s">
        <v>4322</v>
      </c>
      <c r="AA200" t="s">
        <v>4323</v>
      </c>
      <c r="AB200" t="s">
        <v>74</v>
      </c>
      <c r="AC200" t="s">
        <v>4324</v>
      </c>
      <c r="AD200" t="s">
        <v>4325</v>
      </c>
      <c r="AE200" t="s">
        <v>4326</v>
      </c>
      <c r="AF200" t="s">
        <v>74</v>
      </c>
      <c r="AG200">
        <v>59</v>
      </c>
      <c r="AH200">
        <v>3</v>
      </c>
      <c r="AI200">
        <v>3</v>
      </c>
      <c r="AJ200">
        <v>0</v>
      </c>
      <c r="AK200">
        <v>5</v>
      </c>
      <c r="AL200" t="s">
        <v>455</v>
      </c>
      <c r="AM200" t="s">
        <v>456</v>
      </c>
      <c r="AN200" t="s">
        <v>457</v>
      </c>
      <c r="AO200" t="s">
        <v>4306</v>
      </c>
      <c r="AP200" t="s">
        <v>74</v>
      </c>
      <c r="AQ200" t="s">
        <v>74</v>
      </c>
      <c r="AR200" t="s">
        <v>4307</v>
      </c>
      <c r="AS200" t="s">
        <v>4308</v>
      </c>
      <c r="AT200" t="s">
        <v>4309</v>
      </c>
      <c r="AU200">
        <v>2022</v>
      </c>
      <c r="AV200">
        <v>12</v>
      </c>
      <c r="AW200">
        <v>1</v>
      </c>
      <c r="AX200" t="s">
        <v>74</v>
      </c>
      <c r="AY200" t="s">
        <v>74</v>
      </c>
      <c r="AZ200" t="s">
        <v>74</v>
      </c>
      <c r="BA200" t="s">
        <v>74</v>
      </c>
      <c r="BB200" t="s">
        <v>74</v>
      </c>
      <c r="BC200" t="s">
        <v>74</v>
      </c>
      <c r="BD200">
        <v>62</v>
      </c>
      <c r="BE200" t="s">
        <v>4327</v>
      </c>
      <c r="BF200" t="str">
        <f>HYPERLINK("http://dx.doi.org/10.1038/s41598-022-12109-4","http://dx.doi.org/10.1038/s41598-022-12109-4")</f>
        <v>http://dx.doi.org/10.1038/s41598-022-12109-4</v>
      </c>
      <c r="BG200" t="s">
        <v>74</v>
      </c>
      <c r="BH200" t="s">
        <v>74</v>
      </c>
      <c r="BI200">
        <v>11</v>
      </c>
      <c r="BJ200" t="s">
        <v>657</v>
      </c>
      <c r="BK200" t="s">
        <v>101</v>
      </c>
      <c r="BL200" t="s">
        <v>658</v>
      </c>
      <c r="BM200" t="s">
        <v>4311</v>
      </c>
      <c r="BN200">
        <v>35589760</v>
      </c>
      <c r="BO200" t="s">
        <v>4328</v>
      </c>
      <c r="BP200" t="s">
        <v>74</v>
      </c>
      <c r="BQ200" t="s">
        <v>74</v>
      </c>
      <c r="BR200" t="s">
        <v>103</v>
      </c>
      <c r="BS200" t="s">
        <v>4329</v>
      </c>
      <c r="BT200" t="str">
        <f>HYPERLINK("https%3A%2F%2Fwww.webofscience.com%2Fwos%2Fwoscc%2Ffull-record%2FWOS:000798064600154","View Full Record in Web of Science")</f>
        <v>View Full Record in Web of Science</v>
      </c>
    </row>
    <row r="201" spans="1:72" x14ac:dyDescent="0.15">
      <c r="A201" t="s">
        <v>72</v>
      </c>
      <c r="B201" t="s">
        <v>4330</v>
      </c>
      <c r="C201" t="s">
        <v>74</v>
      </c>
      <c r="D201" t="s">
        <v>74</v>
      </c>
      <c r="E201" t="s">
        <v>74</v>
      </c>
      <c r="F201" t="s">
        <v>4331</v>
      </c>
      <c r="G201" t="s">
        <v>74</v>
      </c>
      <c r="H201" t="s">
        <v>74</v>
      </c>
      <c r="I201" t="s">
        <v>4332</v>
      </c>
      <c r="J201" t="s">
        <v>388</v>
      </c>
      <c r="K201" t="s">
        <v>74</v>
      </c>
      <c r="L201" t="s">
        <v>74</v>
      </c>
      <c r="M201" t="s">
        <v>78</v>
      </c>
      <c r="N201" t="s">
        <v>79</v>
      </c>
      <c r="O201" t="s">
        <v>74</v>
      </c>
      <c r="P201" t="s">
        <v>74</v>
      </c>
      <c r="Q201" t="s">
        <v>74</v>
      </c>
      <c r="R201" t="s">
        <v>74</v>
      </c>
      <c r="S201" t="s">
        <v>74</v>
      </c>
      <c r="T201" t="s">
        <v>74</v>
      </c>
      <c r="U201" t="s">
        <v>4333</v>
      </c>
      <c r="V201" t="s">
        <v>4334</v>
      </c>
      <c r="W201" t="s">
        <v>4335</v>
      </c>
      <c r="X201" t="s">
        <v>4336</v>
      </c>
      <c r="Y201" t="s">
        <v>4337</v>
      </c>
      <c r="Z201" t="s">
        <v>4338</v>
      </c>
      <c r="AA201" t="s">
        <v>4339</v>
      </c>
      <c r="AB201" t="s">
        <v>4340</v>
      </c>
      <c r="AC201" t="s">
        <v>4341</v>
      </c>
      <c r="AD201" t="s">
        <v>4342</v>
      </c>
      <c r="AE201" t="s">
        <v>4343</v>
      </c>
      <c r="AF201" t="s">
        <v>74</v>
      </c>
      <c r="AG201">
        <v>34</v>
      </c>
      <c r="AH201">
        <v>5</v>
      </c>
      <c r="AI201">
        <v>6</v>
      </c>
      <c r="AJ201">
        <v>1</v>
      </c>
      <c r="AK201">
        <v>8</v>
      </c>
      <c r="AL201" t="s">
        <v>400</v>
      </c>
      <c r="AM201" t="s">
        <v>401</v>
      </c>
      <c r="AN201" t="s">
        <v>402</v>
      </c>
      <c r="AO201" t="s">
        <v>74</v>
      </c>
      <c r="AP201" t="s">
        <v>403</v>
      </c>
      <c r="AQ201" t="s">
        <v>74</v>
      </c>
      <c r="AR201" t="s">
        <v>404</v>
      </c>
      <c r="AS201" t="s">
        <v>405</v>
      </c>
      <c r="AT201" t="s">
        <v>4309</v>
      </c>
      <c r="AU201">
        <v>2022</v>
      </c>
      <c r="AV201">
        <v>3</v>
      </c>
      <c r="AW201">
        <v>1</v>
      </c>
      <c r="AX201" t="s">
        <v>74</v>
      </c>
      <c r="AY201" t="s">
        <v>74</v>
      </c>
      <c r="AZ201" t="s">
        <v>74</v>
      </c>
      <c r="BA201" t="s">
        <v>74</v>
      </c>
      <c r="BB201" t="s">
        <v>74</v>
      </c>
      <c r="BC201" t="s">
        <v>74</v>
      </c>
      <c r="BD201">
        <v>120</v>
      </c>
      <c r="BE201" t="s">
        <v>4344</v>
      </c>
      <c r="BF201" t="str">
        <f>HYPERLINK("http://dx.doi.org/10.1038/s43247-022-00445-2","http://dx.doi.org/10.1038/s43247-022-00445-2")</f>
        <v>http://dx.doi.org/10.1038/s43247-022-00445-2</v>
      </c>
      <c r="BG201" t="s">
        <v>74</v>
      </c>
      <c r="BH201" t="s">
        <v>74</v>
      </c>
      <c r="BI201">
        <v>9</v>
      </c>
      <c r="BJ201" t="s">
        <v>407</v>
      </c>
      <c r="BK201" t="s">
        <v>101</v>
      </c>
      <c r="BL201" t="s">
        <v>408</v>
      </c>
      <c r="BM201" t="s">
        <v>4345</v>
      </c>
      <c r="BN201" t="s">
        <v>74</v>
      </c>
      <c r="BO201" t="s">
        <v>2560</v>
      </c>
      <c r="BP201" t="s">
        <v>74</v>
      </c>
      <c r="BQ201" t="s">
        <v>74</v>
      </c>
      <c r="BR201" t="s">
        <v>103</v>
      </c>
      <c r="BS201" t="s">
        <v>4346</v>
      </c>
      <c r="BT201" t="str">
        <f>HYPERLINK("https%3A%2F%2Fwww.webofscience.com%2Fwos%2Fwoscc%2Ffull-record%2FWOS:000800772800001","View Full Record in Web of Science")</f>
        <v>View Full Record in Web of Science</v>
      </c>
    </row>
    <row r="202" spans="1:72" x14ac:dyDescent="0.15">
      <c r="A202" t="s">
        <v>72</v>
      </c>
      <c r="B202" t="s">
        <v>4347</v>
      </c>
      <c r="C202" t="s">
        <v>74</v>
      </c>
      <c r="D202" t="s">
        <v>74</v>
      </c>
      <c r="E202" t="s">
        <v>74</v>
      </c>
      <c r="F202" t="s">
        <v>4348</v>
      </c>
      <c r="G202" t="s">
        <v>74</v>
      </c>
      <c r="H202" t="s">
        <v>74</v>
      </c>
      <c r="I202" t="s">
        <v>4349</v>
      </c>
      <c r="J202" t="s">
        <v>4350</v>
      </c>
      <c r="K202" t="s">
        <v>74</v>
      </c>
      <c r="L202" t="s">
        <v>74</v>
      </c>
      <c r="M202" t="s">
        <v>78</v>
      </c>
      <c r="N202" t="s">
        <v>79</v>
      </c>
      <c r="O202" t="s">
        <v>74</v>
      </c>
      <c r="P202" t="s">
        <v>74</v>
      </c>
      <c r="Q202" t="s">
        <v>74</v>
      </c>
      <c r="R202" t="s">
        <v>74</v>
      </c>
      <c r="S202" t="s">
        <v>74</v>
      </c>
      <c r="T202" t="s">
        <v>4351</v>
      </c>
      <c r="U202" t="s">
        <v>4352</v>
      </c>
      <c r="V202" t="s">
        <v>4353</v>
      </c>
      <c r="W202" t="s">
        <v>4354</v>
      </c>
      <c r="X202" t="s">
        <v>4355</v>
      </c>
      <c r="Y202" t="s">
        <v>4356</v>
      </c>
      <c r="Z202" t="s">
        <v>4357</v>
      </c>
      <c r="AA202" t="s">
        <v>74</v>
      </c>
      <c r="AB202" t="s">
        <v>4358</v>
      </c>
      <c r="AC202" t="s">
        <v>4359</v>
      </c>
      <c r="AD202" t="s">
        <v>4360</v>
      </c>
      <c r="AE202" t="s">
        <v>4361</v>
      </c>
      <c r="AF202" t="s">
        <v>74</v>
      </c>
      <c r="AG202">
        <v>50</v>
      </c>
      <c r="AH202">
        <v>2</v>
      </c>
      <c r="AI202">
        <v>2</v>
      </c>
      <c r="AJ202">
        <v>4</v>
      </c>
      <c r="AK202">
        <v>4</v>
      </c>
      <c r="AL202" t="s">
        <v>633</v>
      </c>
      <c r="AM202" t="s">
        <v>200</v>
      </c>
      <c r="AN202" t="s">
        <v>634</v>
      </c>
      <c r="AO202" t="s">
        <v>4362</v>
      </c>
      <c r="AP202" t="s">
        <v>4363</v>
      </c>
      <c r="AQ202" t="s">
        <v>74</v>
      </c>
      <c r="AR202" t="s">
        <v>4364</v>
      </c>
      <c r="AS202" t="s">
        <v>4365</v>
      </c>
      <c r="AT202" t="s">
        <v>4309</v>
      </c>
      <c r="AU202">
        <v>2022</v>
      </c>
      <c r="AV202">
        <v>6</v>
      </c>
      <c r="AW202" t="s">
        <v>74</v>
      </c>
      <c r="AX202" t="s">
        <v>74</v>
      </c>
      <c r="AY202" t="s">
        <v>74</v>
      </c>
      <c r="AZ202" t="s">
        <v>74</v>
      </c>
      <c r="BA202" t="s">
        <v>74</v>
      </c>
      <c r="BB202" t="s">
        <v>74</v>
      </c>
      <c r="BC202" t="s">
        <v>74</v>
      </c>
      <c r="BD202" t="s">
        <v>4366</v>
      </c>
      <c r="BE202" t="s">
        <v>4367</v>
      </c>
      <c r="BF202" t="str">
        <f>HYPERLINK("http://dx.doi.org/10.1093/fqsafe/fyac006","http://dx.doi.org/10.1093/fqsafe/fyac006")</f>
        <v>http://dx.doi.org/10.1093/fqsafe/fyac006</v>
      </c>
      <c r="BG202" t="s">
        <v>74</v>
      </c>
      <c r="BH202" t="s">
        <v>74</v>
      </c>
      <c r="BI202">
        <v>12</v>
      </c>
      <c r="BJ202" t="s">
        <v>774</v>
      </c>
      <c r="BK202" t="s">
        <v>101</v>
      </c>
      <c r="BL202" t="s">
        <v>774</v>
      </c>
      <c r="BM202" t="s">
        <v>4368</v>
      </c>
      <c r="BN202" t="s">
        <v>74</v>
      </c>
      <c r="BO202" t="s">
        <v>438</v>
      </c>
      <c r="BP202" t="s">
        <v>74</v>
      </c>
      <c r="BQ202" t="s">
        <v>74</v>
      </c>
      <c r="BR202" t="s">
        <v>103</v>
      </c>
      <c r="BS202" t="s">
        <v>4369</v>
      </c>
      <c r="BT202" t="str">
        <f>HYPERLINK("https%3A%2F%2Fwww.webofscience.com%2Fwos%2Fwoscc%2Ffull-record%2FWOS:000797639300003","View Full Record in Web of Science")</f>
        <v>View Full Record in Web of Science</v>
      </c>
    </row>
    <row r="203" spans="1:72" x14ac:dyDescent="0.15">
      <c r="A203" t="s">
        <v>72</v>
      </c>
      <c r="B203" t="s">
        <v>4370</v>
      </c>
      <c r="C203" t="s">
        <v>74</v>
      </c>
      <c r="D203" t="s">
        <v>74</v>
      </c>
      <c r="E203" t="s">
        <v>74</v>
      </c>
      <c r="F203" t="s">
        <v>4371</v>
      </c>
      <c r="G203" t="s">
        <v>74</v>
      </c>
      <c r="H203" t="s">
        <v>74</v>
      </c>
      <c r="I203" t="s">
        <v>4372</v>
      </c>
      <c r="J203" t="s">
        <v>4373</v>
      </c>
      <c r="K203" t="s">
        <v>74</v>
      </c>
      <c r="L203" t="s">
        <v>74</v>
      </c>
      <c r="M203" t="s">
        <v>78</v>
      </c>
      <c r="N203" t="s">
        <v>79</v>
      </c>
      <c r="O203" t="s">
        <v>74</v>
      </c>
      <c r="P203" t="s">
        <v>74</v>
      </c>
      <c r="Q203" t="s">
        <v>74</v>
      </c>
      <c r="R203" t="s">
        <v>74</v>
      </c>
      <c r="S203" t="s">
        <v>74</v>
      </c>
      <c r="T203" t="s">
        <v>4374</v>
      </c>
      <c r="U203" t="s">
        <v>4375</v>
      </c>
      <c r="V203" t="s">
        <v>4376</v>
      </c>
      <c r="W203" t="s">
        <v>4377</v>
      </c>
      <c r="X203" t="s">
        <v>4378</v>
      </c>
      <c r="Y203" t="s">
        <v>4379</v>
      </c>
      <c r="Z203" t="s">
        <v>4380</v>
      </c>
      <c r="AA203" t="s">
        <v>4381</v>
      </c>
      <c r="AB203" t="s">
        <v>4382</v>
      </c>
      <c r="AC203" t="s">
        <v>4383</v>
      </c>
      <c r="AD203" t="s">
        <v>4384</v>
      </c>
      <c r="AE203" t="s">
        <v>4385</v>
      </c>
      <c r="AF203" t="s">
        <v>74</v>
      </c>
      <c r="AG203">
        <v>29</v>
      </c>
      <c r="AH203">
        <v>1</v>
      </c>
      <c r="AI203">
        <v>1</v>
      </c>
      <c r="AJ203">
        <v>0</v>
      </c>
      <c r="AK203">
        <v>8</v>
      </c>
      <c r="AL203" t="s">
        <v>199</v>
      </c>
      <c r="AM203" t="s">
        <v>200</v>
      </c>
      <c r="AN203" t="s">
        <v>201</v>
      </c>
      <c r="AO203" t="s">
        <v>4386</v>
      </c>
      <c r="AP203" t="s">
        <v>4387</v>
      </c>
      <c r="AQ203" t="s">
        <v>74</v>
      </c>
      <c r="AR203" t="s">
        <v>4388</v>
      </c>
      <c r="AS203" t="s">
        <v>4389</v>
      </c>
      <c r="AT203" t="s">
        <v>206</v>
      </c>
      <c r="AU203">
        <v>2022</v>
      </c>
      <c r="AV203">
        <v>180</v>
      </c>
      <c r="AW203" t="s">
        <v>74</v>
      </c>
      <c r="AX203" t="s">
        <v>74</v>
      </c>
      <c r="AY203" t="s">
        <v>74</v>
      </c>
      <c r="AZ203" t="s">
        <v>74</v>
      </c>
      <c r="BA203" t="s">
        <v>74</v>
      </c>
      <c r="BB203" t="s">
        <v>74</v>
      </c>
      <c r="BC203" t="s">
        <v>74</v>
      </c>
      <c r="BD203">
        <v>113751</v>
      </c>
      <c r="BE203" t="s">
        <v>4390</v>
      </c>
      <c r="BF203" t="str">
        <f>HYPERLINK("http://dx.doi.org/10.1016/j.marpolbul.2022.113751","http://dx.doi.org/10.1016/j.marpolbul.2022.113751")</f>
        <v>http://dx.doi.org/10.1016/j.marpolbul.2022.113751</v>
      </c>
      <c r="BG203" t="s">
        <v>74</v>
      </c>
      <c r="BH203" t="s">
        <v>3111</v>
      </c>
      <c r="BI203">
        <v>4</v>
      </c>
      <c r="BJ203" t="s">
        <v>563</v>
      </c>
      <c r="BK203" t="s">
        <v>101</v>
      </c>
      <c r="BL203" t="s">
        <v>564</v>
      </c>
      <c r="BM203" t="s">
        <v>4391</v>
      </c>
      <c r="BN203">
        <v>35597002</v>
      </c>
      <c r="BO203" t="s">
        <v>74</v>
      </c>
      <c r="BP203" t="s">
        <v>74</v>
      </c>
      <c r="BQ203" t="s">
        <v>74</v>
      </c>
      <c r="BR203" t="s">
        <v>103</v>
      </c>
      <c r="BS203" t="s">
        <v>4392</v>
      </c>
      <c r="BT203" t="str">
        <f>HYPERLINK("https%3A%2F%2Fwww.webofscience.com%2Fwos%2Fwoscc%2Ffull-record%2FWOS:000809914000012","View Full Record in Web of Science")</f>
        <v>View Full Record in Web of Science</v>
      </c>
    </row>
    <row r="204" spans="1:72" x14ac:dyDescent="0.15">
      <c r="A204" t="s">
        <v>72</v>
      </c>
      <c r="B204" t="s">
        <v>4393</v>
      </c>
      <c r="C204" t="s">
        <v>74</v>
      </c>
      <c r="D204" t="s">
        <v>74</v>
      </c>
      <c r="E204" t="s">
        <v>74</v>
      </c>
      <c r="F204" t="s">
        <v>4394</v>
      </c>
      <c r="G204" t="s">
        <v>74</v>
      </c>
      <c r="H204" t="s">
        <v>74</v>
      </c>
      <c r="I204" t="s">
        <v>4395</v>
      </c>
      <c r="J204" t="s">
        <v>546</v>
      </c>
      <c r="K204" t="s">
        <v>74</v>
      </c>
      <c r="L204" t="s">
        <v>74</v>
      </c>
      <c r="M204" t="s">
        <v>78</v>
      </c>
      <c r="N204" t="s">
        <v>79</v>
      </c>
      <c r="O204" t="s">
        <v>74</v>
      </c>
      <c r="P204" t="s">
        <v>74</v>
      </c>
      <c r="Q204" t="s">
        <v>74</v>
      </c>
      <c r="R204" t="s">
        <v>74</v>
      </c>
      <c r="S204" t="s">
        <v>74</v>
      </c>
      <c r="T204" t="s">
        <v>4396</v>
      </c>
      <c r="U204" t="s">
        <v>4397</v>
      </c>
      <c r="V204" t="s">
        <v>4398</v>
      </c>
      <c r="W204" t="s">
        <v>4399</v>
      </c>
      <c r="X204" t="s">
        <v>4400</v>
      </c>
      <c r="Y204" t="s">
        <v>4401</v>
      </c>
      <c r="Z204" t="s">
        <v>4402</v>
      </c>
      <c r="AA204" t="s">
        <v>4403</v>
      </c>
      <c r="AB204" t="s">
        <v>4404</v>
      </c>
      <c r="AC204" t="s">
        <v>4405</v>
      </c>
      <c r="AD204" t="s">
        <v>4406</v>
      </c>
      <c r="AE204" t="s">
        <v>4407</v>
      </c>
      <c r="AF204" t="s">
        <v>74</v>
      </c>
      <c r="AG204">
        <v>90</v>
      </c>
      <c r="AH204">
        <v>3</v>
      </c>
      <c r="AI204">
        <v>3</v>
      </c>
      <c r="AJ204">
        <v>1</v>
      </c>
      <c r="AK204">
        <v>11</v>
      </c>
      <c r="AL204" t="s">
        <v>285</v>
      </c>
      <c r="AM204" t="s">
        <v>286</v>
      </c>
      <c r="AN204" t="s">
        <v>287</v>
      </c>
      <c r="AO204" t="s">
        <v>74</v>
      </c>
      <c r="AP204" t="s">
        <v>558</v>
      </c>
      <c r="AQ204" t="s">
        <v>74</v>
      </c>
      <c r="AR204" t="s">
        <v>559</v>
      </c>
      <c r="AS204" t="s">
        <v>560</v>
      </c>
      <c r="AT204" t="s">
        <v>4408</v>
      </c>
      <c r="AU204">
        <v>2022</v>
      </c>
      <c r="AV204">
        <v>9</v>
      </c>
      <c r="AW204" t="s">
        <v>74</v>
      </c>
      <c r="AX204" t="s">
        <v>74</v>
      </c>
      <c r="AY204" t="s">
        <v>74</v>
      </c>
      <c r="AZ204" t="s">
        <v>74</v>
      </c>
      <c r="BA204" t="s">
        <v>74</v>
      </c>
      <c r="BB204" t="s">
        <v>74</v>
      </c>
      <c r="BC204" t="s">
        <v>74</v>
      </c>
      <c r="BD204">
        <v>782923</v>
      </c>
      <c r="BE204" t="s">
        <v>4409</v>
      </c>
      <c r="BF204" t="str">
        <f>HYPERLINK("http://dx.doi.org/10.3389/fmars.2022.782923","http://dx.doi.org/10.3389/fmars.2022.782923")</f>
        <v>http://dx.doi.org/10.3389/fmars.2022.782923</v>
      </c>
      <c r="BG204" t="s">
        <v>74</v>
      </c>
      <c r="BH204" t="s">
        <v>74</v>
      </c>
      <c r="BI204">
        <v>15</v>
      </c>
      <c r="BJ204" t="s">
        <v>563</v>
      </c>
      <c r="BK204" t="s">
        <v>101</v>
      </c>
      <c r="BL204" t="s">
        <v>564</v>
      </c>
      <c r="BM204" t="s">
        <v>4410</v>
      </c>
      <c r="BN204" t="s">
        <v>74</v>
      </c>
      <c r="BO204" t="s">
        <v>3044</v>
      </c>
      <c r="BP204" t="s">
        <v>74</v>
      </c>
      <c r="BQ204" t="s">
        <v>74</v>
      </c>
      <c r="BR204" t="s">
        <v>103</v>
      </c>
      <c r="BS204" t="s">
        <v>4411</v>
      </c>
      <c r="BT204" t="str">
        <f>HYPERLINK("https%3A%2F%2Fwww.webofscience.com%2Fwos%2Fwoscc%2Ffull-record%2FWOS:000806132900001","View Full Record in Web of Science")</f>
        <v>View Full Record in Web of Science</v>
      </c>
    </row>
    <row r="205" spans="1:72" x14ac:dyDescent="0.15">
      <c r="A205" t="s">
        <v>72</v>
      </c>
      <c r="B205" t="s">
        <v>4412</v>
      </c>
      <c r="C205" t="s">
        <v>74</v>
      </c>
      <c r="D205" t="s">
        <v>74</v>
      </c>
      <c r="E205" t="s">
        <v>74</v>
      </c>
      <c r="F205" t="s">
        <v>4413</v>
      </c>
      <c r="G205" t="s">
        <v>74</v>
      </c>
      <c r="H205" t="s">
        <v>74</v>
      </c>
      <c r="I205" t="s">
        <v>4414</v>
      </c>
      <c r="J205" t="s">
        <v>4415</v>
      </c>
      <c r="K205" t="s">
        <v>74</v>
      </c>
      <c r="L205" t="s">
        <v>74</v>
      </c>
      <c r="M205" t="s">
        <v>78</v>
      </c>
      <c r="N205" t="s">
        <v>79</v>
      </c>
      <c r="O205" t="s">
        <v>74</v>
      </c>
      <c r="P205" t="s">
        <v>74</v>
      </c>
      <c r="Q205" t="s">
        <v>74</v>
      </c>
      <c r="R205" t="s">
        <v>74</v>
      </c>
      <c r="S205" t="s">
        <v>74</v>
      </c>
      <c r="T205" t="s">
        <v>4416</v>
      </c>
      <c r="U205" t="s">
        <v>4417</v>
      </c>
      <c r="V205" t="s">
        <v>4418</v>
      </c>
      <c r="W205" t="s">
        <v>4419</v>
      </c>
      <c r="X205" t="s">
        <v>4420</v>
      </c>
      <c r="Y205" t="s">
        <v>4421</v>
      </c>
      <c r="Z205" t="s">
        <v>4422</v>
      </c>
      <c r="AA205" t="s">
        <v>74</v>
      </c>
      <c r="AB205" t="s">
        <v>4423</v>
      </c>
      <c r="AC205" t="s">
        <v>74</v>
      </c>
      <c r="AD205" t="s">
        <v>74</v>
      </c>
      <c r="AE205" t="s">
        <v>74</v>
      </c>
      <c r="AF205" t="s">
        <v>74</v>
      </c>
      <c r="AG205">
        <v>113</v>
      </c>
      <c r="AH205">
        <v>15</v>
      </c>
      <c r="AI205">
        <v>15</v>
      </c>
      <c r="AJ205">
        <v>8</v>
      </c>
      <c r="AK205">
        <v>61</v>
      </c>
      <c r="AL205" t="s">
        <v>3228</v>
      </c>
      <c r="AM205" t="s">
        <v>200</v>
      </c>
      <c r="AN205" t="s">
        <v>3229</v>
      </c>
      <c r="AO205" t="s">
        <v>4424</v>
      </c>
      <c r="AP205" t="s">
        <v>4425</v>
      </c>
      <c r="AQ205" t="s">
        <v>74</v>
      </c>
      <c r="AR205" t="s">
        <v>4426</v>
      </c>
      <c r="AS205" t="s">
        <v>4427</v>
      </c>
      <c r="AT205" t="s">
        <v>320</v>
      </c>
      <c r="AU205">
        <v>2022</v>
      </c>
      <c r="AV205">
        <v>306</v>
      </c>
      <c r="AW205" t="s">
        <v>74</v>
      </c>
      <c r="AX205" t="s">
        <v>74</v>
      </c>
      <c r="AY205" t="s">
        <v>74</v>
      </c>
      <c r="AZ205" t="s">
        <v>74</v>
      </c>
      <c r="BA205" t="s">
        <v>74</v>
      </c>
      <c r="BB205" t="s">
        <v>74</v>
      </c>
      <c r="BC205" t="s">
        <v>74</v>
      </c>
      <c r="BD205">
        <v>119379</v>
      </c>
      <c r="BE205" t="s">
        <v>4428</v>
      </c>
      <c r="BF205" t="str">
        <f>HYPERLINK("http://dx.doi.org/10.1016/j.envpol.2022.119379","http://dx.doi.org/10.1016/j.envpol.2022.119379")</f>
        <v>http://dx.doi.org/10.1016/j.envpol.2022.119379</v>
      </c>
      <c r="BG205" t="s">
        <v>74</v>
      </c>
      <c r="BH205" t="s">
        <v>3111</v>
      </c>
      <c r="BI205">
        <v>9</v>
      </c>
      <c r="BJ205" t="s">
        <v>1104</v>
      </c>
      <c r="BK205" t="s">
        <v>101</v>
      </c>
      <c r="BL205" t="s">
        <v>840</v>
      </c>
      <c r="BM205" t="s">
        <v>4429</v>
      </c>
      <c r="BN205">
        <v>35500714</v>
      </c>
      <c r="BO205" t="s">
        <v>324</v>
      </c>
      <c r="BP205" t="s">
        <v>74</v>
      </c>
      <c r="BQ205" t="s">
        <v>74</v>
      </c>
      <c r="BR205" t="s">
        <v>103</v>
      </c>
      <c r="BS205" t="s">
        <v>4430</v>
      </c>
      <c r="BT205" t="str">
        <f>HYPERLINK("https%3A%2F%2Fwww.webofscience.com%2Fwos%2Fwoscc%2Ffull-record%2FWOS:000804982100003","View Full Record in Web of Science")</f>
        <v>View Full Record in Web of Science</v>
      </c>
    </row>
    <row r="206" spans="1:72" x14ac:dyDescent="0.15">
      <c r="A206" t="s">
        <v>72</v>
      </c>
      <c r="B206" t="s">
        <v>4431</v>
      </c>
      <c r="C206" t="s">
        <v>74</v>
      </c>
      <c r="D206" t="s">
        <v>74</v>
      </c>
      <c r="E206" t="s">
        <v>74</v>
      </c>
      <c r="F206" t="s">
        <v>4432</v>
      </c>
      <c r="G206" t="s">
        <v>74</v>
      </c>
      <c r="H206" t="s">
        <v>74</v>
      </c>
      <c r="I206" t="s">
        <v>4433</v>
      </c>
      <c r="J206" t="s">
        <v>1154</v>
      </c>
      <c r="K206" t="s">
        <v>74</v>
      </c>
      <c r="L206" t="s">
        <v>74</v>
      </c>
      <c r="M206" t="s">
        <v>78</v>
      </c>
      <c r="N206" t="s">
        <v>79</v>
      </c>
      <c r="O206" t="s">
        <v>74</v>
      </c>
      <c r="P206" t="s">
        <v>74</v>
      </c>
      <c r="Q206" t="s">
        <v>74</v>
      </c>
      <c r="R206" t="s">
        <v>74</v>
      </c>
      <c r="S206" t="s">
        <v>74</v>
      </c>
      <c r="T206" t="s">
        <v>4434</v>
      </c>
      <c r="U206" t="s">
        <v>4435</v>
      </c>
      <c r="V206" t="s">
        <v>4436</v>
      </c>
      <c r="W206" t="s">
        <v>4437</v>
      </c>
      <c r="X206" t="s">
        <v>4438</v>
      </c>
      <c r="Y206" t="s">
        <v>4439</v>
      </c>
      <c r="Z206" t="s">
        <v>4440</v>
      </c>
      <c r="AA206" t="s">
        <v>4441</v>
      </c>
      <c r="AB206" t="s">
        <v>4442</v>
      </c>
      <c r="AC206" t="s">
        <v>4443</v>
      </c>
      <c r="AD206" t="s">
        <v>4444</v>
      </c>
      <c r="AE206" t="s">
        <v>4445</v>
      </c>
      <c r="AF206" t="s">
        <v>74</v>
      </c>
      <c r="AG206">
        <v>95</v>
      </c>
      <c r="AH206">
        <v>6</v>
      </c>
      <c r="AI206">
        <v>6</v>
      </c>
      <c r="AJ206">
        <v>1</v>
      </c>
      <c r="AK206">
        <v>7</v>
      </c>
      <c r="AL206" t="s">
        <v>199</v>
      </c>
      <c r="AM206" t="s">
        <v>200</v>
      </c>
      <c r="AN206" t="s">
        <v>201</v>
      </c>
      <c r="AO206" t="s">
        <v>1167</v>
      </c>
      <c r="AP206" t="s">
        <v>1168</v>
      </c>
      <c r="AQ206" t="s">
        <v>74</v>
      </c>
      <c r="AR206" t="s">
        <v>1169</v>
      </c>
      <c r="AS206" t="s">
        <v>1170</v>
      </c>
      <c r="AT206" t="s">
        <v>3999</v>
      </c>
      <c r="AU206">
        <v>2022</v>
      </c>
      <c r="AV206">
        <v>286</v>
      </c>
      <c r="AW206" t="s">
        <v>74</v>
      </c>
      <c r="AX206" t="s">
        <v>74</v>
      </c>
      <c r="AY206" t="s">
        <v>74</v>
      </c>
      <c r="AZ206" t="s">
        <v>74</v>
      </c>
      <c r="BA206" t="s">
        <v>74</v>
      </c>
      <c r="BB206" t="s">
        <v>74</v>
      </c>
      <c r="BC206" t="s">
        <v>74</v>
      </c>
      <c r="BD206">
        <v>107560</v>
      </c>
      <c r="BE206" t="s">
        <v>4446</v>
      </c>
      <c r="BF206" t="str">
        <f>HYPERLINK("http://dx.doi.org/10.1016/j.quascirev.2022.107560","http://dx.doi.org/10.1016/j.quascirev.2022.107560")</f>
        <v>http://dx.doi.org/10.1016/j.quascirev.2022.107560</v>
      </c>
      <c r="BG206" t="s">
        <v>74</v>
      </c>
      <c r="BH206" t="s">
        <v>3111</v>
      </c>
      <c r="BI206">
        <v>15</v>
      </c>
      <c r="BJ206" t="s">
        <v>125</v>
      </c>
      <c r="BK206" t="s">
        <v>101</v>
      </c>
      <c r="BL206" t="s">
        <v>126</v>
      </c>
      <c r="BM206" t="s">
        <v>4447</v>
      </c>
      <c r="BN206" t="s">
        <v>74</v>
      </c>
      <c r="BO206" t="s">
        <v>4448</v>
      </c>
      <c r="BP206" t="s">
        <v>74</v>
      </c>
      <c r="BQ206" t="s">
        <v>74</v>
      </c>
      <c r="BR206" t="s">
        <v>103</v>
      </c>
      <c r="BS206" t="s">
        <v>4449</v>
      </c>
      <c r="BT206" t="str">
        <f>HYPERLINK("https%3A%2F%2Fwww.webofscience.com%2Fwos%2Fwoscc%2Ffull-record%2FWOS:000803958000001","View Full Record in Web of Science")</f>
        <v>View Full Record in Web of Science</v>
      </c>
    </row>
    <row r="207" spans="1:72" x14ac:dyDescent="0.15">
      <c r="A207" t="s">
        <v>72</v>
      </c>
      <c r="B207" t="s">
        <v>4450</v>
      </c>
      <c r="C207" t="s">
        <v>74</v>
      </c>
      <c r="D207" t="s">
        <v>74</v>
      </c>
      <c r="E207" t="s">
        <v>74</v>
      </c>
      <c r="F207" t="s">
        <v>4451</v>
      </c>
      <c r="G207" t="s">
        <v>74</v>
      </c>
      <c r="H207" t="s">
        <v>74</v>
      </c>
      <c r="I207" t="s">
        <v>4452</v>
      </c>
      <c r="J207" t="s">
        <v>4453</v>
      </c>
      <c r="K207" t="s">
        <v>74</v>
      </c>
      <c r="L207" t="s">
        <v>74</v>
      </c>
      <c r="M207" t="s">
        <v>78</v>
      </c>
      <c r="N207" t="s">
        <v>4454</v>
      </c>
      <c r="O207" t="s">
        <v>74</v>
      </c>
      <c r="P207" t="s">
        <v>74</v>
      </c>
      <c r="Q207" t="s">
        <v>74</v>
      </c>
      <c r="R207" t="s">
        <v>74</v>
      </c>
      <c r="S207" t="s">
        <v>74</v>
      </c>
      <c r="T207" t="s">
        <v>74</v>
      </c>
      <c r="U207" t="s">
        <v>74</v>
      </c>
      <c r="V207" t="s">
        <v>74</v>
      </c>
      <c r="W207" t="s">
        <v>4455</v>
      </c>
      <c r="X207" t="s">
        <v>4456</v>
      </c>
      <c r="Y207" t="s">
        <v>4457</v>
      </c>
      <c r="Z207" t="s">
        <v>4458</v>
      </c>
      <c r="AA207" t="s">
        <v>4459</v>
      </c>
      <c r="AB207" t="s">
        <v>4460</v>
      </c>
      <c r="AC207" t="s">
        <v>74</v>
      </c>
      <c r="AD207" t="s">
        <v>74</v>
      </c>
      <c r="AE207" t="s">
        <v>74</v>
      </c>
      <c r="AF207" t="s">
        <v>74</v>
      </c>
      <c r="AG207">
        <v>1</v>
      </c>
      <c r="AH207">
        <v>0</v>
      </c>
      <c r="AI207">
        <v>0</v>
      </c>
      <c r="AJ207">
        <v>0</v>
      </c>
      <c r="AK207">
        <v>0</v>
      </c>
      <c r="AL207" t="s">
        <v>4461</v>
      </c>
      <c r="AM207" t="s">
        <v>4462</v>
      </c>
      <c r="AN207" t="s">
        <v>4463</v>
      </c>
      <c r="AO207" t="s">
        <v>4464</v>
      </c>
      <c r="AP207" t="s">
        <v>4465</v>
      </c>
      <c r="AQ207" t="s">
        <v>74</v>
      </c>
      <c r="AR207" t="s">
        <v>4466</v>
      </c>
      <c r="AS207" t="s">
        <v>4467</v>
      </c>
      <c r="AT207" t="s">
        <v>4468</v>
      </c>
      <c r="AU207">
        <v>2022</v>
      </c>
      <c r="AV207">
        <v>122</v>
      </c>
      <c r="AW207" t="s">
        <v>2187</v>
      </c>
      <c r="AX207" t="s">
        <v>74</v>
      </c>
      <c r="AY207" t="s">
        <v>74</v>
      </c>
      <c r="AZ207" t="s">
        <v>74</v>
      </c>
      <c r="BA207" t="s">
        <v>74</v>
      </c>
      <c r="BB207">
        <v>288</v>
      </c>
      <c r="BC207">
        <v>289</v>
      </c>
      <c r="BD207" t="s">
        <v>74</v>
      </c>
      <c r="BE207" t="s">
        <v>4469</v>
      </c>
      <c r="BF207" t="str">
        <f>HYPERLINK("http://dx.doi.org/10.1080/01584197.2022.2071122","http://dx.doi.org/10.1080/01584197.2022.2071122")</f>
        <v>http://dx.doi.org/10.1080/01584197.2022.2071122</v>
      </c>
      <c r="BG207" t="s">
        <v>74</v>
      </c>
      <c r="BH207" t="s">
        <v>3111</v>
      </c>
      <c r="BI207">
        <v>2</v>
      </c>
      <c r="BJ207" t="s">
        <v>4470</v>
      </c>
      <c r="BK207" t="s">
        <v>101</v>
      </c>
      <c r="BL207" t="s">
        <v>1054</v>
      </c>
      <c r="BM207" t="s">
        <v>4471</v>
      </c>
      <c r="BN207" t="s">
        <v>74</v>
      </c>
      <c r="BO207" t="s">
        <v>74</v>
      </c>
      <c r="BP207" t="s">
        <v>74</v>
      </c>
      <c r="BQ207" t="s">
        <v>74</v>
      </c>
      <c r="BR207" t="s">
        <v>103</v>
      </c>
      <c r="BS207" t="s">
        <v>4472</v>
      </c>
      <c r="BT207" t="str">
        <f>HYPERLINK("https%3A%2F%2Fwww.webofscience.com%2Fwos%2Fwoscc%2Ffull-record%2FWOS:000797447200001","View Full Record in Web of Science")</f>
        <v>View Full Record in Web of Science</v>
      </c>
    </row>
    <row r="208" spans="1:72" x14ac:dyDescent="0.15">
      <c r="A208" t="s">
        <v>72</v>
      </c>
      <c r="B208" t="s">
        <v>4473</v>
      </c>
      <c r="C208" t="s">
        <v>74</v>
      </c>
      <c r="D208" t="s">
        <v>74</v>
      </c>
      <c r="E208" t="s">
        <v>74</v>
      </c>
      <c r="F208" t="s">
        <v>4474</v>
      </c>
      <c r="G208" t="s">
        <v>74</v>
      </c>
      <c r="H208" t="s">
        <v>74</v>
      </c>
      <c r="I208" t="s">
        <v>4475</v>
      </c>
      <c r="J208" t="s">
        <v>4476</v>
      </c>
      <c r="K208" t="s">
        <v>74</v>
      </c>
      <c r="L208" t="s">
        <v>74</v>
      </c>
      <c r="M208" t="s">
        <v>78</v>
      </c>
      <c r="N208" t="s">
        <v>161</v>
      </c>
      <c r="O208" t="s">
        <v>74</v>
      </c>
      <c r="P208" t="s">
        <v>74</v>
      </c>
      <c r="Q208" t="s">
        <v>74</v>
      </c>
      <c r="R208" t="s">
        <v>74</v>
      </c>
      <c r="S208" t="s">
        <v>74</v>
      </c>
      <c r="T208" t="s">
        <v>4477</v>
      </c>
      <c r="U208" t="s">
        <v>4478</v>
      </c>
      <c r="V208" t="s">
        <v>4479</v>
      </c>
      <c r="W208" t="s">
        <v>4480</v>
      </c>
      <c r="X208" t="s">
        <v>4481</v>
      </c>
      <c r="Y208" t="s">
        <v>4482</v>
      </c>
      <c r="Z208" t="s">
        <v>4483</v>
      </c>
      <c r="AA208" t="s">
        <v>4484</v>
      </c>
      <c r="AB208" t="s">
        <v>4485</v>
      </c>
      <c r="AC208" t="s">
        <v>74</v>
      </c>
      <c r="AD208" t="s">
        <v>74</v>
      </c>
      <c r="AE208" t="s">
        <v>74</v>
      </c>
      <c r="AF208" t="s">
        <v>74</v>
      </c>
      <c r="AG208">
        <v>162</v>
      </c>
      <c r="AH208">
        <v>5</v>
      </c>
      <c r="AI208">
        <v>5</v>
      </c>
      <c r="AJ208">
        <v>4</v>
      </c>
      <c r="AK208">
        <v>32</v>
      </c>
      <c r="AL208" t="s">
        <v>633</v>
      </c>
      <c r="AM208" t="s">
        <v>200</v>
      </c>
      <c r="AN208" t="s">
        <v>634</v>
      </c>
      <c r="AO208" t="s">
        <v>4486</v>
      </c>
      <c r="AP208" t="s">
        <v>4487</v>
      </c>
      <c r="AQ208" t="s">
        <v>74</v>
      </c>
      <c r="AR208" t="s">
        <v>4488</v>
      </c>
      <c r="AS208" t="s">
        <v>4489</v>
      </c>
      <c r="AT208" t="s">
        <v>4490</v>
      </c>
      <c r="AU208">
        <v>2022</v>
      </c>
      <c r="AV208">
        <v>73</v>
      </c>
      <c r="AW208">
        <v>13</v>
      </c>
      <c r="AX208" t="s">
        <v>74</v>
      </c>
      <c r="AY208" t="s">
        <v>74</v>
      </c>
      <c r="AZ208" t="s">
        <v>772</v>
      </c>
      <c r="BA208" t="s">
        <v>74</v>
      </c>
      <c r="BB208">
        <v>4562</v>
      </c>
      <c r="BC208">
        <v>4575</v>
      </c>
      <c r="BD208" t="s">
        <v>74</v>
      </c>
      <c r="BE208" t="s">
        <v>4491</v>
      </c>
      <c r="BF208" t="str">
        <f>HYPERLINK("http://dx.doi.org/10.1093/jxb/erac104","http://dx.doi.org/10.1093/jxb/erac104")</f>
        <v>http://dx.doi.org/10.1093/jxb/erac104</v>
      </c>
      <c r="BG208" t="s">
        <v>74</v>
      </c>
      <c r="BH208" t="s">
        <v>3111</v>
      </c>
      <c r="BI208">
        <v>14</v>
      </c>
      <c r="BJ208" t="s">
        <v>1649</v>
      </c>
      <c r="BK208" t="s">
        <v>101</v>
      </c>
      <c r="BL208" t="s">
        <v>1649</v>
      </c>
      <c r="BM208" t="s">
        <v>4492</v>
      </c>
      <c r="BN208">
        <v>35298628</v>
      </c>
      <c r="BO208" t="s">
        <v>74</v>
      </c>
      <c r="BP208" t="s">
        <v>74</v>
      </c>
      <c r="BQ208" t="s">
        <v>74</v>
      </c>
      <c r="BR208" t="s">
        <v>103</v>
      </c>
      <c r="BS208" t="s">
        <v>4493</v>
      </c>
      <c r="BT208" t="str">
        <f>HYPERLINK("https%3A%2F%2Fwww.webofscience.com%2Fwos%2Fwoscc%2Ffull-record%2FWOS:000797063100001","View Full Record in Web of Science")</f>
        <v>View Full Record in Web of Science</v>
      </c>
    </row>
    <row r="209" spans="1:72" x14ac:dyDescent="0.15">
      <c r="A209" t="s">
        <v>72</v>
      </c>
      <c r="B209" t="s">
        <v>4494</v>
      </c>
      <c r="C209" t="s">
        <v>74</v>
      </c>
      <c r="D209" t="s">
        <v>74</v>
      </c>
      <c r="E209" t="s">
        <v>74</v>
      </c>
      <c r="F209" t="s">
        <v>4495</v>
      </c>
      <c r="G209" t="s">
        <v>74</v>
      </c>
      <c r="H209" t="s">
        <v>74</v>
      </c>
      <c r="I209" t="s">
        <v>4496</v>
      </c>
      <c r="J209" t="s">
        <v>4497</v>
      </c>
      <c r="K209" t="s">
        <v>74</v>
      </c>
      <c r="L209" t="s">
        <v>74</v>
      </c>
      <c r="M209" t="s">
        <v>78</v>
      </c>
      <c r="N209" t="s">
        <v>79</v>
      </c>
      <c r="O209" t="s">
        <v>74</v>
      </c>
      <c r="P209" t="s">
        <v>74</v>
      </c>
      <c r="Q209" t="s">
        <v>74</v>
      </c>
      <c r="R209" t="s">
        <v>74</v>
      </c>
      <c r="S209" t="s">
        <v>74</v>
      </c>
      <c r="T209" t="s">
        <v>4498</v>
      </c>
      <c r="U209" t="s">
        <v>4499</v>
      </c>
      <c r="V209" t="s">
        <v>4500</v>
      </c>
      <c r="W209" t="s">
        <v>4501</v>
      </c>
      <c r="X209" t="s">
        <v>4502</v>
      </c>
      <c r="Y209" t="s">
        <v>4503</v>
      </c>
      <c r="Z209" t="s">
        <v>4504</v>
      </c>
      <c r="AA209" t="s">
        <v>4505</v>
      </c>
      <c r="AB209" t="s">
        <v>4506</v>
      </c>
      <c r="AC209" t="s">
        <v>4507</v>
      </c>
      <c r="AD209" t="s">
        <v>4508</v>
      </c>
      <c r="AE209" t="s">
        <v>4509</v>
      </c>
      <c r="AF209" t="s">
        <v>74</v>
      </c>
      <c r="AG209">
        <v>63</v>
      </c>
      <c r="AH209">
        <v>15</v>
      </c>
      <c r="AI209">
        <v>16</v>
      </c>
      <c r="AJ209">
        <v>32</v>
      </c>
      <c r="AK209">
        <v>173</v>
      </c>
      <c r="AL209" t="s">
        <v>4510</v>
      </c>
      <c r="AM209" t="s">
        <v>2043</v>
      </c>
      <c r="AN209" t="s">
        <v>4511</v>
      </c>
      <c r="AO209" t="s">
        <v>4512</v>
      </c>
      <c r="AP209" t="s">
        <v>4513</v>
      </c>
      <c r="AQ209" t="s">
        <v>74</v>
      </c>
      <c r="AR209" t="s">
        <v>4514</v>
      </c>
      <c r="AS209" t="s">
        <v>4515</v>
      </c>
      <c r="AT209" t="s">
        <v>4516</v>
      </c>
      <c r="AU209">
        <v>2022</v>
      </c>
      <c r="AV209">
        <v>56</v>
      </c>
      <c r="AW209">
        <v>10</v>
      </c>
      <c r="AX209" t="s">
        <v>74</v>
      </c>
      <c r="AY209" t="s">
        <v>74</v>
      </c>
      <c r="AZ209" t="s">
        <v>74</v>
      </c>
      <c r="BA209" t="s">
        <v>74</v>
      </c>
      <c r="BB209">
        <v>6253</v>
      </c>
      <c r="BC209">
        <v>6261</v>
      </c>
      <c r="BD209" t="s">
        <v>74</v>
      </c>
      <c r="BE209" t="s">
        <v>4517</v>
      </c>
      <c r="BF209" t="str">
        <f>HYPERLINK("http://dx.doi.org/10.1021/acs.est.1c08429","http://dx.doi.org/10.1021/acs.est.1c08429")</f>
        <v>http://dx.doi.org/10.1021/acs.est.1c08429</v>
      </c>
      <c r="BG209" t="s">
        <v>74</v>
      </c>
      <c r="BH209" t="s">
        <v>74</v>
      </c>
      <c r="BI209">
        <v>9</v>
      </c>
      <c r="BJ209" t="s">
        <v>4518</v>
      </c>
      <c r="BK209" t="s">
        <v>101</v>
      </c>
      <c r="BL209" t="s">
        <v>4519</v>
      </c>
      <c r="BM209" t="s">
        <v>4520</v>
      </c>
      <c r="BN209">
        <v>35476391</v>
      </c>
      <c r="BO209" t="s">
        <v>74</v>
      </c>
      <c r="BP209" t="s">
        <v>74</v>
      </c>
      <c r="BQ209" t="s">
        <v>74</v>
      </c>
      <c r="BR209" t="s">
        <v>103</v>
      </c>
      <c r="BS209" t="s">
        <v>4521</v>
      </c>
      <c r="BT209" t="str">
        <f>HYPERLINK("https%3A%2F%2Fwww.webofscience.com%2Fwos%2Fwoscc%2Ffull-record%2FWOS:000804806300026","View Full Record in Web of Science")</f>
        <v>View Full Record in Web of Science</v>
      </c>
    </row>
    <row r="210" spans="1:72" x14ac:dyDescent="0.15">
      <c r="A210" t="s">
        <v>72</v>
      </c>
      <c r="B210" t="s">
        <v>4522</v>
      </c>
      <c r="C210" t="s">
        <v>74</v>
      </c>
      <c r="D210" t="s">
        <v>74</v>
      </c>
      <c r="E210" t="s">
        <v>74</v>
      </c>
      <c r="F210" t="s">
        <v>4523</v>
      </c>
      <c r="G210" t="s">
        <v>74</v>
      </c>
      <c r="H210" t="s">
        <v>74</v>
      </c>
      <c r="I210" t="s">
        <v>4524</v>
      </c>
      <c r="J210" t="s">
        <v>1154</v>
      </c>
      <c r="K210" t="s">
        <v>74</v>
      </c>
      <c r="L210" t="s">
        <v>74</v>
      </c>
      <c r="M210" t="s">
        <v>78</v>
      </c>
      <c r="N210" t="s">
        <v>79</v>
      </c>
      <c r="O210" t="s">
        <v>74</v>
      </c>
      <c r="P210" t="s">
        <v>74</v>
      </c>
      <c r="Q210" t="s">
        <v>74</v>
      </c>
      <c r="R210" t="s">
        <v>74</v>
      </c>
      <c r="S210" t="s">
        <v>74</v>
      </c>
      <c r="T210" t="s">
        <v>4525</v>
      </c>
      <c r="U210" t="s">
        <v>4526</v>
      </c>
      <c r="V210" t="s">
        <v>4527</v>
      </c>
      <c r="W210" t="s">
        <v>4528</v>
      </c>
      <c r="X210" t="s">
        <v>4529</v>
      </c>
      <c r="Y210" t="s">
        <v>4530</v>
      </c>
      <c r="Z210" t="s">
        <v>4531</v>
      </c>
      <c r="AA210" t="s">
        <v>4532</v>
      </c>
      <c r="AB210" t="s">
        <v>4533</v>
      </c>
      <c r="AC210" t="s">
        <v>4534</v>
      </c>
      <c r="AD210" t="s">
        <v>4535</v>
      </c>
      <c r="AE210" t="s">
        <v>4536</v>
      </c>
      <c r="AF210" t="s">
        <v>74</v>
      </c>
      <c r="AG210">
        <v>74</v>
      </c>
      <c r="AH210">
        <v>0</v>
      </c>
      <c r="AI210">
        <v>0</v>
      </c>
      <c r="AJ210">
        <v>2</v>
      </c>
      <c r="AK210">
        <v>8</v>
      </c>
      <c r="AL210" t="s">
        <v>199</v>
      </c>
      <c r="AM210" t="s">
        <v>200</v>
      </c>
      <c r="AN210" t="s">
        <v>201</v>
      </c>
      <c r="AO210" t="s">
        <v>1167</v>
      </c>
      <c r="AP210" t="s">
        <v>1168</v>
      </c>
      <c r="AQ210" t="s">
        <v>74</v>
      </c>
      <c r="AR210" t="s">
        <v>1169</v>
      </c>
      <c r="AS210" t="s">
        <v>1170</v>
      </c>
      <c r="AT210" t="s">
        <v>3999</v>
      </c>
      <c r="AU210">
        <v>2022</v>
      </c>
      <c r="AV210">
        <v>286</v>
      </c>
      <c r="AW210" t="s">
        <v>74</v>
      </c>
      <c r="AX210" t="s">
        <v>74</v>
      </c>
      <c r="AY210" t="s">
        <v>74</v>
      </c>
      <c r="AZ210" t="s">
        <v>74</v>
      </c>
      <c r="BA210" t="s">
        <v>74</v>
      </c>
      <c r="BB210" t="s">
        <v>74</v>
      </c>
      <c r="BC210" t="s">
        <v>74</v>
      </c>
      <c r="BD210">
        <v>107508</v>
      </c>
      <c r="BE210" t="s">
        <v>4537</v>
      </c>
      <c r="BF210" t="str">
        <f>HYPERLINK("http://dx.doi.org/10.1016/j.quascirev.2022.107508","http://dx.doi.org/10.1016/j.quascirev.2022.107508")</f>
        <v>http://dx.doi.org/10.1016/j.quascirev.2022.107508</v>
      </c>
      <c r="BG210" t="s">
        <v>74</v>
      </c>
      <c r="BH210" t="s">
        <v>3111</v>
      </c>
      <c r="BI210">
        <v>15</v>
      </c>
      <c r="BJ210" t="s">
        <v>125</v>
      </c>
      <c r="BK210" t="s">
        <v>101</v>
      </c>
      <c r="BL210" t="s">
        <v>126</v>
      </c>
      <c r="BM210" t="s">
        <v>4538</v>
      </c>
      <c r="BN210" t="s">
        <v>74</v>
      </c>
      <c r="BO210" t="s">
        <v>74</v>
      </c>
      <c r="BP210" t="s">
        <v>74</v>
      </c>
      <c r="BQ210" t="s">
        <v>74</v>
      </c>
      <c r="BR210" t="s">
        <v>103</v>
      </c>
      <c r="BS210" t="s">
        <v>4539</v>
      </c>
      <c r="BT210" t="str">
        <f>HYPERLINK("https%3A%2F%2Fwww.webofscience.com%2Fwos%2Fwoscc%2Ffull-record%2FWOS:000803954700008","View Full Record in Web of Science")</f>
        <v>View Full Record in Web of Science</v>
      </c>
    </row>
    <row r="211" spans="1:72" x14ac:dyDescent="0.15">
      <c r="A211" t="s">
        <v>72</v>
      </c>
      <c r="B211" t="s">
        <v>4540</v>
      </c>
      <c r="C211" t="s">
        <v>74</v>
      </c>
      <c r="D211" t="s">
        <v>74</v>
      </c>
      <c r="E211" t="s">
        <v>74</v>
      </c>
      <c r="F211" t="s">
        <v>4541</v>
      </c>
      <c r="G211" t="s">
        <v>74</v>
      </c>
      <c r="H211" t="s">
        <v>74</v>
      </c>
      <c r="I211" t="s">
        <v>4542</v>
      </c>
      <c r="J211" t="s">
        <v>4543</v>
      </c>
      <c r="K211" t="s">
        <v>74</v>
      </c>
      <c r="L211" t="s">
        <v>74</v>
      </c>
      <c r="M211" t="s">
        <v>78</v>
      </c>
      <c r="N211" t="s">
        <v>79</v>
      </c>
      <c r="O211" t="s">
        <v>74</v>
      </c>
      <c r="P211" t="s">
        <v>74</v>
      </c>
      <c r="Q211" t="s">
        <v>74</v>
      </c>
      <c r="R211" t="s">
        <v>74</v>
      </c>
      <c r="S211" t="s">
        <v>74</v>
      </c>
      <c r="T211" t="s">
        <v>4544</v>
      </c>
      <c r="U211" t="s">
        <v>4545</v>
      </c>
      <c r="V211" t="s">
        <v>4546</v>
      </c>
      <c r="W211" t="s">
        <v>4547</v>
      </c>
      <c r="X211" t="s">
        <v>4548</v>
      </c>
      <c r="Y211" t="s">
        <v>4549</v>
      </c>
      <c r="Z211" t="s">
        <v>4550</v>
      </c>
      <c r="AA211" t="s">
        <v>4551</v>
      </c>
      <c r="AB211" t="s">
        <v>4552</v>
      </c>
      <c r="AC211" t="s">
        <v>4553</v>
      </c>
      <c r="AD211" t="s">
        <v>4554</v>
      </c>
      <c r="AE211" t="s">
        <v>4555</v>
      </c>
      <c r="AF211" t="s">
        <v>74</v>
      </c>
      <c r="AG211">
        <v>72</v>
      </c>
      <c r="AH211">
        <v>9</v>
      </c>
      <c r="AI211">
        <v>9</v>
      </c>
      <c r="AJ211">
        <v>6</v>
      </c>
      <c r="AK211">
        <v>17</v>
      </c>
      <c r="AL211" t="s">
        <v>199</v>
      </c>
      <c r="AM211" t="s">
        <v>200</v>
      </c>
      <c r="AN211" t="s">
        <v>201</v>
      </c>
      <c r="AO211" t="s">
        <v>4556</v>
      </c>
      <c r="AP211" t="s">
        <v>4557</v>
      </c>
      <c r="AQ211" t="s">
        <v>74</v>
      </c>
      <c r="AR211" t="s">
        <v>4558</v>
      </c>
      <c r="AS211" t="s">
        <v>4559</v>
      </c>
      <c r="AT211" t="s">
        <v>346</v>
      </c>
      <c r="AU211">
        <v>2022</v>
      </c>
      <c r="AV211">
        <v>200</v>
      </c>
      <c r="AW211" t="s">
        <v>74</v>
      </c>
      <c r="AX211" t="s">
        <v>74</v>
      </c>
      <c r="AY211" t="s">
        <v>74</v>
      </c>
      <c r="AZ211" t="s">
        <v>74</v>
      </c>
      <c r="BA211" t="s">
        <v>74</v>
      </c>
      <c r="BB211" t="s">
        <v>74</v>
      </c>
      <c r="BC211" t="s">
        <v>74</v>
      </c>
      <c r="BD211">
        <v>104913</v>
      </c>
      <c r="BE211" t="s">
        <v>4560</v>
      </c>
      <c r="BF211" t="str">
        <f>HYPERLINK("http://dx.doi.org/10.1016/j.envexpbot.2022.104913","http://dx.doi.org/10.1016/j.envexpbot.2022.104913")</f>
        <v>http://dx.doi.org/10.1016/j.envexpbot.2022.104913</v>
      </c>
      <c r="BG211" t="s">
        <v>74</v>
      </c>
      <c r="BH211" t="s">
        <v>3111</v>
      </c>
      <c r="BI211">
        <v>12</v>
      </c>
      <c r="BJ211" t="s">
        <v>4561</v>
      </c>
      <c r="BK211" t="s">
        <v>101</v>
      </c>
      <c r="BL211" t="s">
        <v>153</v>
      </c>
      <c r="BM211" t="s">
        <v>4562</v>
      </c>
      <c r="BN211" t="s">
        <v>74</v>
      </c>
      <c r="BO211" t="s">
        <v>267</v>
      </c>
      <c r="BP211" t="s">
        <v>74</v>
      </c>
      <c r="BQ211" t="s">
        <v>74</v>
      </c>
      <c r="BR211" t="s">
        <v>103</v>
      </c>
      <c r="BS211" t="s">
        <v>4563</v>
      </c>
      <c r="BT211" t="str">
        <f>HYPERLINK("https%3A%2F%2Fwww.webofscience.com%2Fwos%2Fwoscc%2Ffull-record%2FWOS:000803781700001","View Full Record in Web of Science")</f>
        <v>View Full Record in Web of Science</v>
      </c>
    </row>
    <row r="212" spans="1:72" x14ac:dyDescent="0.15">
      <c r="A212" t="s">
        <v>72</v>
      </c>
      <c r="B212" t="s">
        <v>4564</v>
      </c>
      <c r="C212" t="s">
        <v>74</v>
      </c>
      <c r="D212" t="s">
        <v>74</v>
      </c>
      <c r="E212" t="s">
        <v>74</v>
      </c>
      <c r="F212" t="s">
        <v>4565</v>
      </c>
      <c r="G212" t="s">
        <v>74</v>
      </c>
      <c r="H212" t="s">
        <v>74</v>
      </c>
      <c r="I212" t="s">
        <v>4566</v>
      </c>
      <c r="J212" t="s">
        <v>3064</v>
      </c>
      <c r="K212" t="s">
        <v>74</v>
      </c>
      <c r="L212" t="s">
        <v>74</v>
      </c>
      <c r="M212" t="s">
        <v>78</v>
      </c>
      <c r="N212" t="s">
        <v>79</v>
      </c>
      <c r="O212" t="s">
        <v>74</v>
      </c>
      <c r="P212" t="s">
        <v>74</v>
      </c>
      <c r="Q212" t="s">
        <v>74</v>
      </c>
      <c r="R212" t="s">
        <v>74</v>
      </c>
      <c r="S212" t="s">
        <v>74</v>
      </c>
      <c r="T212" t="s">
        <v>4567</v>
      </c>
      <c r="U212" t="s">
        <v>74</v>
      </c>
      <c r="V212" t="s">
        <v>4568</v>
      </c>
      <c r="W212" t="s">
        <v>4569</v>
      </c>
      <c r="X212" t="s">
        <v>4570</v>
      </c>
      <c r="Y212" t="s">
        <v>4571</v>
      </c>
      <c r="Z212" t="s">
        <v>4572</v>
      </c>
      <c r="AA212" t="s">
        <v>74</v>
      </c>
      <c r="AB212" t="s">
        <v>74</v>
      </c>
      <c r="AC212" t="s">
        <v>4573</v>
      </c>
      <c r="AD212" t="s">
        <v>4574</v>
      </c>
      <c r="AE212" t="s">
        <v>4575</v>
      </c>
      <c r="AF212" t="s">
        <v>74</v>
      </c>
      <c r="AG212">
        <v>18</v>
      </c>
      <c r="AH212">
        <v>1</v>
      </c>
      <c r="AI212">
        <v>1</v>
      </c>
      <c r="AJ212">
        <v>1</v>
      </c>
      <c r="AK212">
        <v>14</v>
      </c>
      <c r="AL212" t="s">
        <v>285</v>
      </c>
      <c r="AM212" t="s">
        <v>286</v>
      </c>
      <c r="AN212" t="s">
        <v>287</v>
      </c>
      <c r="AO212" t="s">
        <v>74</v>
      </c>
      <c r="AP212" t="s">
        <v>3072</v>
      </c>
      <c r="AQ212" t="s">
        <v>74</v>
      </c>
      <c r="AR212" t="s">
        <v>3073</v>
      </c>
      <c r="AS212" t="s">
        <v>3074</v>
      </c>
      <c r="AT212" t="s">
        <v>4516</v>
      </c>
      <c r="AU212">
        <v>2022</v>
      </c>
      <c r="AV212">
        <v>10</v>
      </c>
      <c r="AW212" t="s">
        <v>74</v>
      </c>
      <c r="AX212" t="s">
        <v>74</v>
      </c>
      <c r="AY212" t="s">
        <v>74</v>
      </c>
      <c r="AZ212" t="s">
        <v>74</v>
      </c>
      <c r="BA212" t="s">
        <v>74</v>
      </c>
      <c r="BB212" t="s">
        <v>74</v>
      </c>
      <c r="BC212" t="s">
        <v>74</v>
      </c>
      <c r="BD212">
        <v>875399</v>
      </c>
      <c r="BE212" t="s">
        <v>4576</v>
      </c>
      <c r="BF212" t="str">
        <f>HYPERLINK("http://dx.doi.org/10.3389/fenvs.2022.875399","http://dx.doi.org/10.3389/fenvs.2022.875399")</f>
        <v>http://dx.doi.org/10.3389/fenvs.2022.875399</v>
      </c>
      <c r="BG212" t="s">
        <v>74</v>
      </c>
      <c r="BH212" t="s">
        <v>74</v>
      </c>
      <c r="BI212">
        <v>11</v>
      </c>
      <c r="BJ212" t="s">
        <v>1104</v>
      </c>
      <c r="BK212" t="s">
        <v>101</v>
      </c>
      <c r="BL212" t="s">
        <v>840</v>
      </c>
      <c r="BM212" t="s">
        <v>4577</v>
      </c>
      <c r="BN212" t="s">
        <v>74</v>
      </c>
      <c r="BO212" t="s">
        <v>438</v>
      </c>
      <c r="BP212" t="s">
        <v>74</v>
      </c>
      <c r="BQ212" t="s">
        <v>74</v>
      </c>
      <c r="BR212" t="s">
        <v>103</v>
      </c>
      <c r="BS212" t="s">
        <v>4578</v>
      </c>
      <c r="BT212" t="str">
        <f>HYPERLINK("https%3A%2F%2Fwww.webofscience.com%2Fwos%2Fwoscc%2Ffull-record%2FWOS:000805115500001","View Full Record in Web of Science")</f>
        <v>View Full Record in Web of Science</v>
      </c>
    </row>
    <row r="213" spans="1:72" x14ac:dyDescent="0.15">
      <c r="A213" t="s">
        <v>72</v>
      </c>
      <c r="B213" t="s">
        <v>4579</v>
      </c>
      <c r="C213" t="s">
        <v>74</v>
      </c>
      <c r="D213" t="s">
        <v>74</v>
      </c>
      <c r="E213" t="s">
        <v>74</v>
      </c>
      <c r="F213" t="s">
        <v>4580</v>
      </c>
      <c r="G213" t="s">
        <v>74</v>
      </c>
      <c r="H213" t="s">
        <v>74</v>
      </c>
      <c r="I213" t="s">
        <v>4581</v>
      </c>
      <c r="J213" t="s">
        <v>272</v>
      </c>
      <c r="K213" t="s">
        <v>74</v>
      </c>
      <c r="L213" t="s">
        <v>74</v>
      </c>
      <c r="M213" t="s">
        <v>78</v>
      </c>
      <c r="N213" t="s">
        <v>79</v>
      </c>
      <c r="O213" t="s">
        <v>74</v>
      </c>
      <c r="P213" t="s">
        <v>74</v>
      </c>
      <c r="Q213" t="s">
        <v>74</v>
      </c>
      <c r="R213" t="s">
        <v>74</v>
      </c>
      <c r="S213" t="s">
        <v>74</v>
      </c>
      <c r="T213" t="s">
        <v>4582</v>
      </c>
      <c r="U213" t="s">
        <v>4583</v>
      </c>
      <c r="V213" t="s">
        <v>4584</v>
      </c>
      <c r="W213" t="s">
        <v>4585</v>
      </c>
      <c r="X213" t="s">
        <v>4586</v>
      </c>
      <c r="Y213" t="s">
        <v>4587</v>
      </c>
      <c r="Z213" t="s">
        <v>4588</v>
      </c>
      <c r="AA213" t="s">
        <v>4589</v>
      </c>
      <c r="AB213" t="s">
        <v>4590</v>
      </c>
      <c r="AC213" t="s">
        <v>4591</v>
      </c>
      <c r="AD213" t="s">
        <v>4592</v>
      </c>
      <c r="AE213" t="s">
        <v>4593</v>
      </c>
      <c r="AF213" t="s">
        <v>74</v>
      </c>
      <c r="AG213">
        <v>45</v>
      </c>
      <c r="AH213">
        <v>0</v>
      </c>
      <c r="AI213">
        <v>0</v>
      </c>
      <c r="AJ213">
        <v>4</v>
      </c>
      <c r="AK213">
        <v>22</v>
      </c>
      <c r="AL213" t="s">
        <v>285</v>
      </c>
      <c r="AM213" t="s">
        <v>286</v>
      </c>
      <c r="AN213" t="s">
        <v>287</v>
      </c>
      <c r="AO213" t="s">
        <v>74</v>
      </c>
      <c r="AP213" t="s">
        <v>288</v>
      </c>
      <c r="AQ213" t="s">
        <v>74</v>
      </c>
      <c r="AR213" t="s">
        <v>289</v>
      </c>
      <c r="AS213" t="s">
        <v>290</v>
      </c>
      <c r="AT213" t="s">
        <v>4516</v>
      </c>
      <c r="AU213">
        <v>2022</v>
      </c>
      <c r="AV213">
        <v>13</v>
      </c>
      <c r="AW213" t="s">
        <v>74</v>
      </c>
      <c r="AX213" t="s">
        <v>74</v>
      </c>
      <c r="AY213" t="s">
        <v>74</v>
      </c>
      <c r="AZ213" t="s">
        <v>74</v>
      </c>
      <c r="BA213" t="s">
        <v>74</v>
      </c>
      <c r="BB213" t="s">
        <v>74</v>
      </c>
      <c r="BC213" t="s">
        <v>74</v>
      </c>
      <c r="BD213">
        <v>855658</v>
      </c>
      <c r="BE213" t="s">
        <v>4594</v>
      </c>
      <c r="BF213" t="str">
        <f>HYPERLINK("http://dx.doi.org/10.3389/fmicb.2022.855658","http://dx.doi.org/10.3389/fmicb.2022.855658")</f>
        <v>http://dx.doi.org/10.3389/fmicb.2022.855658</v>
      </c>
      <c r="BG213" t="s">
        <v>74</v>
      </c>
      <c r="BH213" t="s">
        <v>74</v>
      </c>
      <c r="BI213">
        <v>9</v>
      </c>
      <c r="BJ213" t="s">
        <v>293</v>
      </c>
      <c r="BK213" t="s">
        <v>101</v>
      </c>
      <c r="BL213" t="s">
        <v>293</v>
      </c>
      <c r="BM213" t="s">
        <v>4595</v>
      </c>
      <c r="BN213">
        <v>35655995</v>
      </c>
      <c r="BO213" t="s">
        <v>295</v>
      </c>
      <c r="BP213" t="s">
        <v>74</v>
      </c>
      <c r="BQ213" t="s">
        <v>74</v>
      </c>
      <c r="BR213" t="s">
        <v>103</v>
      </c>
      <c r="BS213" t="s">
        <v>4596</v>
      </c>
      <c r="BT213" t="str">
        <f>HYPERLINK("https%3A%2F%2Fwww.webofscience.com%2Fwos%2Fwoscc%2Ffull-record%2FWOS:000804110000001","View Full Record in Web of Science")</f>
        <v>View Full Record in Web of Science</v>
      </c>
    </row>
    <row r="214" spans="1:72" x14ac:dyDescent="0.15">
      <c r="A214" t="s">
        <v>72</v>
      </c>
      <c r="B214" t="s">
        <v>4597</v>
      </c>
      <c r="C214" t="s">
        <v>74</v>
      </c>
      <c r="D214" t="s">
        <v>74</v>
      </c>
      <c r="E214" t="s">
        <v>74</v>
      </c>
      <c r="F214" t="s">
        <v>4598</v>
      </c>
      <c r="G214" t="s">
        <v>74</v>
      </c>
      <c r="H214" t="s">
        <v>74</v>
      </c>
      <c r="I214" t="s">
        <v>4599</v>
      </c>
      <c r="J214" t="s">
        <v>4600</v>
      </c>
      <c r="K214" t="s">
        <v>74</v>
      </c>
      <c r="L214" t="s">
        <v>74</v>
      </c>
      <c r="M214" t="s">
        <v>78</v>
      </c>
      <c r="N214" t="s">
        <v>79</v>
      </c>
      <c r="O214" t="s">
        <v>74</v>
      </c>
      <c r="P214" t="s">
        <v>74</v>
      </c>
      <c r="Q214" t="s">
        <v>74</v>
      </c>
      <c r="R214" t="s">
        <v>74</v>
      </c>
      <c r="S214" t="s">
        <v>74</v>
      </c>
      <c r="T214" t="s">
        <v>4601</v>
      </c>
      <c r="U214" t="s">
        <v>4602</v>
      </c>
      <c r="V214" t="s">
        <v>4603</v>
      </c>
      <c r="W214" t="s">
        <v>4604</v>
      </c>
      <c r="X214" t="s">
        <v>4605</v>
      </c>
      <c r="Y214" t="s">
        <v>4606</v>
      </c>
      <c r="Z214" t="s">
        <v>4607</v>
      </c>
      <c r="AA214" t="s">
        <v>4608</v>
      </c>
      <c r="AB214" t="s">
        <v>4609</v>
      </c>
      <c r="AC214" t="s">
        <v>4610</v>
      </c>
      <c r="AD214" t="s">
        <v>1614</v>
      </c>
      <c r="AE214" t="s">
        <v>4611</v>
      </c>
      <c r="AF214" t="s">
        <v>74</v>
      </c>
      <c r="AG214">
        <v>40</v>
      </c>
      <c r="AH214">
        <v>1</v>
      </c>
      <c r="AI214">
        <v>1</v>
      </c>
      <c r="AJ214">
        <v>0</v>
      </c>
      <c r="AK214">
        <v>4</v>
      </c>
      <c r="AL214" t="s">
        <v>4612</v>
      </c>
      <c r="AM214" t="s">
        <v>1617</v>
      </c>
      <c r="AN214" t="s">
        <v>4613</v>
      </c>
      <c r="AO214" t="s">
        <v>4614</v>
      </c>
      <c r="AP214" t="s">
        <v>4615</v>
      </c>
      <c r="AQ214" t="s">
        <v>74</v>
      </c>
      <c r="AR214" t="s">
        <v>4616</v>
      </c>
      <c r="AS214" t="s">
        <v>4617</v>
      </c>
      <c r="AT214" t="s">
        <v>346</v>
      </c>
      <c r="AU214">
        <v>2022</v>
      </c>
      <c r="AV214">
        <v>26</v>
      </c>
      <c r="AW214">
        <v>4</v>
      </c>
      <c r="AX214" t="s">
        <v>74</v>
      </c>
      <c r="AY214" t="s">
        <v>74</v>
      </c>
      <c r="AZ214" t="s">
        <v>74</v>
      </c>
      <c r="BA214" t="s">
        <v>74</v>
      </c>
      <c r="BB214">
        <v>455</v>
      </c>
      <c r="BC214">
        <v>467</v>
      </c>
      <c r="BD214" t="s">
        <v>74</v>
      </c>
      <c r="BE214" t="s">
        <v>4618</v>
      </c>
      <c r="BF214" t="str">
        <f>HYPERLINK("http://dx.doi.org/10.1007/s12303-022-0003-4","http://dx.doi.org/10.1007/s12303-022-0003-4")</f>
        <v>http://dx.doi.org/10.1007/s12303-022-0003-4</v>
      </c>
      <c r="BG214" t="s">
        <v>74</v>
      </c>
      <c r="BH214" t="s">
        <v>3111</v>
      </c>
      <c r="BI214">
        <v>13</v>
      </c>
      <c r="BJ214" t="s">
        <v>265</v>
      </c>
      <c r="BK214" t="s">
        <v>101</v>
      </c>
      <c r="BL214" t="s">
        <v>100</v>
      </c>
      <c r="BM214" t="s">
        <v>4619</v>
      </c>
      <c r="BN214" t="s">
        <v>74</v>
      </c>
      <c r="BO214" t="s">
        <v>74</v>
      </c>
      <c r="BP214" t="s">
        <v>74</v>
      </c>
      <c r="BQ214" t="s">
        <v>74</v>
      </c>
      <c r="BR214" t="s">
        <v>103</v>
      </c>
      <c r="BS214" t="s">
        <v>4620</v>
      </c>
      <c r="BT214" t="str">
        <f>HYPERLINK("https%3A%2F%2Fwww.webofscience.com%2Fwos%2Fwoscc%2Ffull-record%2FWOS:000796812200002","View Full Record in Web of Science")</f>
        <v>View Full Record in Web of Science</v>
      </c>
    </row>
    <row r="215" spans="1:72" x14ac:dyDescent="0.15">
      <c r="A215" t="s">
        <v>72</v>
      </c>
      <c r="B215" t="s">
        <v>4621</v>
      </c>
      <c r="C215" t="s">
        <v>74</v>
      </c>
      <c r="D215" t="s">
        <v>74</v>
      </c>
      <c r="E215" t="s">
        <v>74</v>
      </c>
      <c r="F215" t="s">
        <v>4622</v>
      </c>
      <c r="G215" t="s">
        <v>74</v>
      </c>
      <c r="H215" t="s">
        <v>74</v>
      </c>
      <c r="I215" t="s">
        <v>4623</v>
      </c>
      <c r="J215" t="s">
        <v>517</v>
      </c>
      <c r="K215" t="s">
        <v>74</v>
      </c>
      <c r="L215" t="s">
        <v>74</v>
      </c>
      <c r="M215" t="s">
        <v>78</v>
      </c>
      <c r="N215" t="s">
        <v>79</v>
      </c>
      <c r="O215" t="s">
        <v>74</v>
      </c>
      <c r="P215" t="s">
        <v>74</v>
      </c>
      <c r="Q215" t="s">
        <v>74</v>
      </c>
      <c r="R215" t="s">
        <v>74</v>
      </c>
      <c r="S215" t="s">
        <v>74</v>
      </c>
      <c r="T215" t="s">
        <v>4624</v>
      </c>
      <c r="U215" t="s">
        <v>4625</v>
      </c>
      <c r="V215" t="s">
        <v>4626</v>
      </c>
      <c r="W215" t="s">
        <v>4627</v>
      </c>
      <c r="X215" t="s">
        <v>4628</v>
      </c>
      <c r="Y215" t="s">
        <v>4629</v>
      </c>
      <c r="Z215" t="s">
        <v>4630</v>
      </c>
      <c r="AA215" t="s">
        <v>4631</v>
      </c>
      <c r="AB215" t="s">
        <v>4632</v>
      </c>
      <c r="AC215" t="s">
        <v>4633</v>
      </c>
      <c r="AD215" t="s">
        <v>4634</v>
      </c>
      <c r="AE215" t="s">
        <v>4635</v>
      </c>
      <c r="AF215" t="s">
        <v>74</v>
      </c>
      <c r="AG215">
        <v>43</v>
      </c>
      <c r="AH215">
        <v>0</v>
      </c>
      <c r="AI215">
        <v>0</v>
      </c>
      <c r="AJ215">
        <v>3</v>
      </c>
      <c r="AK215">
        <v>7</v>
      </c>
      <c r="AL215" t="s">
        <v>530</v>
      </c>
      <c r="AM215" t="s">
        <v>531</v>
      </c>
      <c r="AN215" t="s">
        <v>532</v>
      </c>
      <c r="AO215" t="s">
        <v>533</v>
      </c>
      <c r="AP215" t="s">
        <v>534</v>
      </c>
      <c r="AQ215" t="s">
        <v>74</v>
      </c>
      <c r="AR215" t="s">
        <v>535</v>
      </c>
      <c r="AS215" t="s">
        <v>536</v>
      </c>
      <c r="AT215" t="s">
        <v>537</v>
      </c>
      <c r="AU215">
        <v>2022</v>
      </c>
      <c r="AV215">
        <v>45</v>
      </c>
      <c r="AW215">
        <v>6</v>
      </c>
      <c r="AX215" t="s">
        <v>74</v>
      </c>
      <c r="AY215" t="s">
        <v>74</v>
      </c>
      <c r="AZ215" t="s">
        <v>74</v>
      </c>
      <c r="BA215" t="s">
        <v>74</v>
      </c>
      <c r="BB215">
        <v>971</v>
      </c>
      <c r="BC215">
        <v>985</v>
      </c>
      <c r="BD215" t="s">
        <v>74</v>
      </c>
      <c r="BE215" t="s">
        <v>4636</v>
      </c>
      <c r="BF215" t="str">
        <f>HYPERLINK("http://dx.doi.org/10.1007/s00300-022-03047-y","http://dx.doi.org/10.1007/s00300-022-03047-y")</f>
        <v>http://dx.doi.org/10.1007/s00300-022-03047-y</v>
      </c>
      <c r="BG215" t="s">
        <v>74</v>
      </c>
      <c r="BH215" t="s">
        <v>3111</v>
      </c>
      <c r="BI215">
        <v>15</v>
      </c>
      <c r="BJ215" t="s">
        <v>539</v>
      </c>
      <c r="BK215" t="s">
        <v>101</v>
      </c>
      <c r="BL215" t="s">
        <v>540</v>
      </c>
      <c r="BM215" t="s">
        <v>541</v>
      </c>
      <c r="BN215" t="s">
        <v>74</v>
      </c>
      <c r="BO215" t="s">
        <v>590</v>
      </c>
      <c r="BP215" t="s">
        <v>74</v>
      </c>
      <c r="BQ215" t="s">
        <v>74</v>
      </c>
      <c r="BR215" t="s">
        <v>103</v>
      </c>
      <c r="BS215" t="s">
        <v>4637</v>
      </c>
      <c r="BT215" t="str">
        <f>HYPERLINK("https%3A%2F%2Fwww.webofscience.com%2Fwos%2Fwoscc%2Ffull-record%2FWOS:000796817400001","View Full Record in Web of Science")</f>
        <v>View Full Record in Web of Science</v>
      </c>
    </row>
    <row r="216" spans="1:72" x14ac:dyDescent="0.15">
      <c r="A216" t="s">
        <v>72</v>
      </c>
      <c r="B216" t="s">
        <v>4638</v>
      </c>
      <c r="C216" t="s">
        <v>74</v>
      </c>
      <c r="D216" t="s">
        <v>74</v>
      </c>
      <c r="E216" t="s">
        <v>74</v>
      </c>
      <c r="F216" t="s">
        <v>4639</v>
      </c>
      <c r="G216" t="s">
        <v>74</v>
      </c>
      <c r="H216" t="s">
        <v>74</v>
      </c>
      <c r="I216" t="s">
        <v>4640</v>
      </c>
      <c r="J216" t="s">
        <v>108</v>
      </c>
      <c r="K216" t="s">
        <v>74</v>
      </c>
      <c r="L216" t="s">
        <v>74</v>
      </c>
      <c r="M216" t="s">
        <v>78</v>
      </c>
      <c r="N216" t="s">
        <v>79</v>
      </c>
      <c r="O216" t="s">
        <v>74</v>
      </c>
      <c r="P216" t="s">
        <v>74</v>
      </c>
      <c r="Q216" t="s">
        <v>74</v>
      </c>
      <c r="R216" t="s">
        <v>74</v>
      </c>
      <c r="S216" t="s">
        <v>74</v>
      </c>
      <c r="T216" t="s">
        <v>74</v>
      </c>
      <c r="U216" t="s">
        <v>74</v>
      </c>
      <c r="V216" t="s">
        <v>4641</v>
      </c>
      <c r="W216" t="s">
        <v>4642</v>
      </c>
      <c r="X216" t="s">
        <v>4643</v>
      </c>
      <c r="Y216" t="s">
        <v>4644</v>
      </c>
      <c r="Z216" t="s">
        <v>4645</v>
      </c>
      <c r="AA216" t="s">
        <v>4646</v>
      </c>
      <c r="AB216" t="s">
        <v>4647</v>
      </c>
      <c r="AC216" t="s">
        <v>4648</v>
      </c>
      <c r="AD216" t="s">
        <v>4649</v>
      </c>
      <c r="AE216" t="s">
        <v>4650</v>
      </c>
      <c r="AF216" t="s">
        <v>74</v>
      </c>
      <c r="AG216">
        <v>73</v>
      </c>
      <c r="AH216">
        <v>0</v>
      </c>
      <c r="AI216">
        <v>0</v>
      </c>
      <c r="AJ216">
        <v>6</v>
      </c>
      <c r="AK216">
        <v>17</v>
      </c>
      <c r="AL216" t="s">
        <v>117</v>
      </c>
      <c r="AM216" t="s">
        <v>118</v>
      </c>
      <c r="AN216" t="s">
        <v>119</v>
      </c>
      <c r="AO216" t="s">
        <v>120</v>
      </c>
      <c r="AP216" t="s">
        <v>121</v>
      </c>
      <c r="AQ216" t="s">
        <v>74</v>
      </c>
      <c r="AR216" t="s">
        <v>108</v>
      </c>
      <c r="AS216" t="s">
        <v>122</v>
      </c>
      <c r="AT216" t="s">
        <v>4516</v>
      </c>
      <c r="AU216">
        <v>2022</v>
      </c>
      <c r="AV216">
        <v>16</v>
      </c>
      <c r="AW216">
        <v>5</v>
      </c>
      <c r="AX216" t="s">
        <v>74</v>
      </c>
      <c r="AY216" t="s">
        <v>74</v>
      </c>
      <c r="AZ216" t="s">
        <v>74</v>
      </c>
      <c r="BA216" t="s">
        <v>74</v>
      </c>
      <c r="BB216">
        <v>1873</v>
      </c>
      <c r="BC216">
        <v>1887</v>
      </c>
      <c r="BD216" t="s">
        <v>74</v>
      </c>
      <c r="BE216" t="s">
        <v>4651</v>
      </c>
      <c r="BF216" t="str">
        <f>HYPERLINK("http://dx.doi.org/10.5194/tc-16-1873-2022","http://dx.doi.org/10.5194/tc-16-1873-2022")</f>
        <v>http://dx.doi.org/10.5194/tc-16-1873-2022</v>
      </c>
      <c r="BG216" t="s">
        <v>74</v>
      </c>
      <c r="BH216" t="s">
        <v>74</v>
      </c>
      <c r="BI216">
        <v>15</v>
      </c>
      <c r="BJ216" t="s">
        <v>125</v>
      </c>
      <c r="BK216" t="s">
        <v>101</v>
      </c>
      <c r="BL216" t="s">
        <v>126</v>
      </c>
      <c r="BM216" t="s">
        <v>4652</v>
      </c>
      <c r="BN216" t="s">
        <v>74</v>
      </c>
      <c r="BO216" t="s">
        <v>2560</v>
      </c>
      <c r="BP216" t="s">
        <v>74</v>
      </c>
      <c r="BQ216" t="s">
        <v>74</v>
      </c>
      <c r="BR216" t="s">
        <v>103</v>
      </c>
      <c r="BS216" t="s">
        <v>4653</v>
      </c>
      <c r="BT216" t="str">
        <f>HYPERLINK("https%3A%2F%2Fwww.webofscience.com%2Fwos%2Fwoscc%2Ffull-record%2FWOS:000796452000001","View Full Record in Web of Science")</f>
        <v>View Full Record in Web of Science</v>
      </c>
    </row>
    <row r="217" spans="1:72" x14ac:dyDescent="0.15">
      <c r="A217" t="s">
        <v>72</v>
      </c>
      <c r="B217" t="s">
        <v>4654</v>
      </c>
      <c r="C217" t="s">
        <v>74</v>
      </c>
      <c r="D217" t="s">
        <v>74</v>
      </c>
      <c r="E217" t="s">
        <v>74</v>
      </c>
      <c r="F217" t="s">
        <v>4655</v>
      </c>
      <c r="G217" t="s">
        <v>74</v>
      </c>
      <c r="H217" t="s">
        <v>74</v>
      </c>
      <c r="I217" t="s">
        <v>4656</v>
      </c>
      <c r="J217" t="s">
        <v>4657</v>
      </c>
      <c r="K217" t="s">
        <v>74</v>
      </c>
      <c r="L217" t="s">
        <v>74</v>
      </c>
      <c r="M217" t="s">
        <v>78</v>
      </c>
      <c r="N217" t="s">
        <v>79</v>
      </c>
      <c r="O217" t="s">
        <v>74</v>
      </c>
      <c r="P217" t="s">
        <v>74</v>
      </c>
      <c r="Q217" t="s">
        <v>74</v>
      </c>
      <c r="R217" t="s">
        <v>74</v>
      </c>
      <c r="S217" t="s">
        <v>74</v>
      </c>
      <c r="T217" t="s">
        <v>4658</v>
      </c>
      <c r="U217" t="s">
        <v>4659</v>
      </c>
      <c r="V217" t="s">
        <v>4660</v>
      </c>
      <c r="W217" t="s">
        <v>4661</v>
      </c>
      <c r="X217" t="s">
        <v>74</v>
      </c>
      <c r="Y217" t="s">
        <v>4662</v>
      </c>
      <c r="Z217" t="s">
        <v>4663</v>
      </c>
      <c r="AA217" t="s">
        <v>4664</v>
      </c>
      <c r="AB217" t="s">
        <v>4665</v>
      </c>
      <c r="AC217" t="s">
        <v>74</v>
      </c>
      <c r="AD217" t="s">
        <v>74</v>
      </c>
      <c r="AE217" t="s">
        <v>74</v>
      </c>
      <c r="AF217" t="s">
        <v>74</v>
      </c>
      <c r="AG217">
        <v>32</v>
      </c>
      <c r="AH217">
        <v>8</v>
      </c>
      <c r="AI217">
        <v>8</v>
      </c>
      <c r="AJ217">
        <v>0</v>
      </c>
      <c r="AK217">
        <v>1</v>
      </c>
      <c r="AL217" t="s">
        <v>199</v>
      </c>
      <c r="AM217" t="s">
        <v>200</v>
      </c>
      <c r="AN217" t="s">
        <v>201</v>
      </c>
      <c r="AO217" t="s">
        <v>4666</v>
      </c>
      <c r="AP217" t="s">
        <v>4667</v>
      </c>
      <c r="AQ217" t="s">
        <v>74</v>
      </c>
      <c r="AR217" t="s">
        <v>4668</v>
      </c>
      <c r="AS217" t="s">
        <v>4669</v>
      </c>
      <c r="AT217" t="s">
        <v>4670</v>
      </c>
      <c r="AU217">
        <v>2022</v>
      </c>
      <c r="AV217">
        <v>235</v>
      </c>
      <c r="AW217" t="s">
        <v>74</v>
      </c>
      <c r="AX217" t="s">
        <v>74</v>
      </c>
      <c r="AY217" t="s">
        <v>74</v>
      </c>
      <c r="AZ217" t="s">
        <v>74</v>
      </c>
      <c r="BA217" t="s">
        <v>74</v>
      </c>
      <c r="BB217" t="s">
        <v>74</v>
      </c>
      <c r="BC217" t="s">
        <v>74</v>
      </c>
      <c r="BD217">
        <v>105894</v>
      </c>
      <c r="BE217" t="s">
        <v>4671</v>
      </c>
      <c r="BF217" t="str">
        <f>HYPERLINK("http://dx.doi.org/10.1016/j.jastp.2022.105894","http://dx.doi.org/10.1016/j.jastp.2022.105894")</f>
        <v>http://dx.doi.org/10.1016/j.jastp.2022.105894</v>
      </c>
      <c r="BG217" t="s">
        <v>74</v>
      </c>
      <c r="BH217" t="s">
        <v>3111</v>
      </c>
      <c r="BI217">
        <v>9</v>
      </c>
      <c r="BJ217" t="s">
        <v>487</v>
      </c>
      <c r="BK217" t="s">
        <v>101</v>
      </c>
      <c r="BL217" t="s">
        <v>487</v>
      </c>
      <c r="BM217" t="s">
        <v>4672</v>
      </c>
      <c r="BN217" t="s">
        <v>74</v>
      </c>
      <c r="BO217" t="s">
        <v>74</v>
      </c>
      <c r="BP217" t="s">
        <v>74</v>
      </c>
      <c r="BQ217" t="s">
        <v>74</v>
      </c>
      <c r="BR217" t="s">
        <v>103</v>
      </c>
      <c r="BS217" t="s">
        <v>4673</v>
      </c>
      <c r="BT217" t="str">
        <f>HYPERLINK("https%3A%2F%2Fwww.webofscience.com%2Fwos%2Fwoscc%2Ffull-record%2FWOS:000809900600005","View Full Record in Web of Science")</f>
        <v>View Full Record in Web of Science</v>
      </c>
    </row>
    <row r="218" spans="1:72" x14ac:dyDescent="0.15">
      <c r="A218" t="s">
        <v>72</v>
      </c>
      <c r="B218" t="s">
        <v>4674</v>
      </c>
      <c r="C218" t="s">
        <v>74</v>
      </c>
      <c r="D218" t="s">
        <v>74</v>
      </c>
      <c r="E218" t="s">
        <v>74</v>
      </c>
      <c r="F218" t="s">
        <v>4675</v>
      </c>
      <c r="G218" t="s">
        <v>74</v>
      </c>
      <c r="H218" t="s">
        <v>74</v>
      </c>
      <c r="I218" t="s">
        <v>4676</v>
      </c>
      <c r="J218" t="s">
        <v>546</v>
      </c>
      <c r="K218" t="s">
        <v>74</v>
      </c>
      <c r="L218" t="s">
        <v>74</v>
      </c>
      <c r="M218" t="s">
        <v>78</v>
      </c>
      <c r="N218" t="s">
        <v>79</v>
      </c>
      <c r="O218" t="s">
        <v>74</v>
      </c>
      <c r="P218" t="s">
        <v>74</v>
      </c>
      <c r="Q218" t="s">
        <v>74</v>
      </c>
      <c r="R218" t="s">
        <v>74</v>
      </c>
      <c r="S218" t="s">
        <v>74</v>
      </c>
      <c r="T218" t="s">
        <v>4677</v>
      </c>
      <c r="U218" t="s">
        <v>4678</v>
      </c>
      <c r="V218" t="s">
        <v>4679</v>
      </c>
      <c r="W218" t="s">
        <v>4680</v>
      </c>
      <c r="X218" t="s">
        <v>4681</v>
      </c>
      <c r="Y218" t="s">
        <v>4682</v>
      </c>
      <c r="Z218" t="s">
        <v>4683</v>
      </c>
      <c r="AA218" t="s">
        <v>4684</v>
      </c>
      <c r="AB218" t="s">
        <v>4685</v>
      </c>
      <c r="AC218" t="s">
        <v>4686</v>
      </c>
      <c r="AD218" t="s">
        <v>4687</v>
      </c>
      <c r="AE218" t="s">
        <v>4688</v>
      </c>
      <c r="AF218" t="s">
        <v>74</v>
      </c>
      <c r="AG218">
        <v>56</v>
      </c>
      <c r="AH218">
        <v>4</v>
      </c>
      <c r="AI218">
        <v>4</v>
      </c>
      <c r="AJ218">
        <v>1</v>
      </c>
      <c r="AK218">
        <v>9</v>
      </c>
      <c r="AL218" t="s">
        <v>285</v>
      </c>
      <c r="AM218" t="s">
        <v>286</v>
      </c>
      <c r="AN218" t="s">
        <v>287</v>
      </c>
      <c r="AO218" t="s">
        <v>74</v>
      </c>
      <c r="AP218" t="s">
        <v>558</v>
      </c>
      <c r="AQ218" t="s">
        <v>74</v>
      </c>
      <c r="AR218" t="s">
        <v>559</v>
      </c>
      <c r="AS218" t="s">
        <v>560</v>
      </c>
      <c r="AT218" t="s">
        <v>4689</v>
      </c>
      <c r="AU218">
        <v>2022</v>
      </c>
      <c r="AV218">
        <v>9</v>
      </c>
      <c r="AW218" t="s">
        <v>74</v>
      </c>
      <c r="AX218" t="s">
        <v>74</v>
      </c>
      <c r="AY218" t="s">
        <v>74</v>
      </c>
      <c r="AZ218" t="s">
        <v>74</v>
      </c>
      <c r="BA218" t="s">
        <v>74</v>
      </c>
      <c r="BB218" t="s">
        <v>74</v>
      </c>
      <c r="BC218" t="s">
        <v>74</v>
      </c>
      <c r="BD218">
        <v>864153</v>
      </c>
      <c r="BE218" t="s">
        <v>4690</v>
      </c>
      <c r="BF218" t="str">
        <f>HYPERLINK("http://dx.doi.org/10.3389/fmars.2022.864153","http://dx.doi.org/10.3389/fmars.2022.864153")</f>
        <v>http://dx.doi.org/10.3389/fmars.2022.864153</v>
      </c>
      <c r="BG218" t="s">
        <v>74</v>
      </c>
      <c r="BH218" t="s">
        <v>74</v>
      </c>
      <c r="BI218">
        <v>15</v>
      </c>
      <c r="BJ218" t="s">
        <v>563</v>
      </c>
      <c r="BK218" t="s">
        <v>101</v>
      </c>
      <c r="BL218" t="s">
        <v>564</v>
      </c>
      <c r="BM218" t="s">
        <v>4691</v>
      </c>
      <c r="BN218" t="s">
        <v>74</v>
      </c>
      <c r="BO218" t="s">
        <v>295</v>
      </c>
      <c r="BP218" t="s">
        <v>74</v>
      </c>
      <c r="BQ218" t="s">
        <v>74</v>
      </c>
      <c r="BR218" t="s">
        <v>103</v>
      </c>
      <c r="BS218" t="s">
        <v>4692</v>
      </c>
      <c r="BT218" t="str">
        <f>HYPERLINK("https%3A%2F%2Fwww.webofscience.com%2Fwos%2Fwoscc%2Ffull-record%2FWOS:000804583300001","View Full Record in Web of Science")</f>
        <v>View Full Record in Web of Science</v>
      </c>
    </row>
    <row r="219" spans="1:72" x14ac:dyDescent="0.15">
      <c r="A219" t="s">
        <v>72</v>
      </c>
      <c r="B219" t="s">
        <v>4693</v>
      </c>
      <c r="C219" t="s">
        <v>74</v>
      </c>
      <c r="D219" t="s">
        <v>74</v>
      </c>
      <c r="E219" t="s">
        <v>74</v>
      </c>
      <c r="F219" t="s">
        <v>4694</v>
      </c>
      <c r="G219" t="s">
        <v>74</v>
      </c>
      <c r="H219" t="s">
        <v>74</v>
      </c>
      <c r="I219" t="s">
        <v>4695</v>
      </c>
      <c r="J219" t="s">
        <v>272</v>
      </c>
      <c r="K219" t="s">
        <v>74</v>
      </c>
      <c r="L219" t="s">
        <v>74</v>
      </c>
      <c r="M219" t="s">
        <v>78</v>
      </c>
      <c r="N219" t="s">
        <v>79</v>
      </c>
      <c r="O219" t="s">
        <v>74</v>
      </c>
      <c r="P219" t="s">
        <v>74</v>
      </c>
      <c r="Q219" t="s">
        <v>74</v>
      </c>
      <c r="R219" t="s">
        <v>74</v>
      </c>
      <c r="S219" t="s">
        <v>74</v>
      </c>
      <c r="T219" t="s">
        <v>4696</v>
      </c>
      <c r="U219" t="s">
        <v>4697</v>
      </c>
      <c r="V219" t="s">
        <v>4698</v>
      </c>
      <c r="W219" t="s">
        <v>4699</v>
      </c>
      <c r="X219" t="s">
        <v>4700</v>
      </c>
      <c r="Y219" t="s">
        <v>4701</v>
      </c>
      <c r="Z219" t="s">
        <v>4702</v>
      </c>
      <c r="AA219" t="s">
        <v>4703</v>
      </c>
      <c r="AB219" t="s">
        <v>4704</v>
      </c>
      <c r="AC219" t="s">
        <v>74</v>
      </c>
      <c r="AD219" t="s">
        <v>74</v>
      </c>
      <c r="AE219" t="s">
        <v>74</v>
      </c>
      <c r="AF219" t="s">
        <v>74</v>
      </c>
      <c r="AG219">
        <v>116</v>
      </c>
      <c r="AH219">
        <v>2</v>
      </c>
      <c r="AI219">
        <v>3</v>
      </c>
      <c r="AJ219">
        <v>2</v>
      </c>
      <c r="AK219">
        <v>19</v>
      </c>
      <c r="AL219" t="s">
        <v>285</v>
      </c>
      <c r="AM219" t="s">
        <v>286</v>
      </c>
      <c r="AN219" t="s">
        <v>287</v>
      </c>
      <c r="AO219" t="s">
        <v>74</v>
      </c>
      <c r="AP219" t="s">
        <v>288</v>
      </c>
      <c r="AQ219" t="s">
        <v>74</v>
      </c>
      <c r="AR219" t="s">
        <v>289</v>
      </c>
      <c r="AS219" t="s">
        <v>290</v>
      </c>
      <c r="AT219" t="s">
        <v>4689</v>
      </c>
      <c r="AU219">
        <v>2022</v>
      </c>
      <c r="AV219">
        <v>13</v>
      </c>
      <c r="AW219" t="s">
        <v>74</v>
      </c>
      <c r="AX219" t="s">
        <v>74</v>
      </c>
      <c r="AY219" t="s">
        <v>74</v>
      </c>
      <c r="AZ219" t="s">
        <v>74</v>
      </c>
      <c r="BA219" t="s">
        <v>74</v>
      </c>
      <c r="BB219" t="s">
        <v>74</v>
      </c>
      <c r="BC219" t="s">
        <v>74</v>
      </c>
      <c r="BD219">
        <v>844856</v>
      </c>
      <c r="BE219" t="s">
        <v>4705</v>
      </c>
      <c r="BF219" t="str">
        <f>HYPERLINK("http://dx.doi.org/10.3389/fmicb.2022.844856","http://dx.doi.org/10.3389/fmicb.2022.844856")</f>
        <v>http://dx.doi.org/10.3389/fmicb.2022.844856</v>
      </c>
      <c r="BG219" t="s">
        <v>74</v>
      </c>
      <c r="BH219" t="s">
        <v>74</v>
      </c>
      <c r="BI219">
        <v>15</v>
      </c>
      <c r="BJ219" t="s">
        <v>293</v>
      </c>
      <c r="BK219" t="s">
        <v>101</v>
      </c>
      <c r="BL219" t="s">
        <v>293</v>
      </c>
      <c r="BM219" t="s">
        <v>4706</v>
      </c>
      <c r="BN219">
        <v>35651490</v>
      </c>
      <c r="BO219" t="s">
        <v>295</v>
      </c>
      <c r="BP219" t="s">
        <v>74</v>
      </c>
      <c r="BQ219" t="s">
        <v>74</v>
      </c>
      <c r="BR219" t="s">
        <v>103</v>
      </c>
      <c r="BS219" t="s">
        <v>4707</v>
      </c>
      <c r="BT219" t="str">
        <f>HYPERLINK("https%3A%2F%2Fwww.webofscience.com%2Fwos%2Fwoscc%2Ffull-record%2FWOS:000803602300001","View Full Record in Web of Science")</f>
        <v>View Full Record in Web of Science</v>
      </c>
    </row>
    <row r="220" spans="1:72" x14ac:dyDescent="0.15">
      <c r="A220" t="s">
        <v>72</v>
      </c>
      <c r="B220" t="s">
        <v>4708</v>
      </c>
      <c r="C220" t="s">
        <v>74</v>
      </c>
      <c r="D220" t="s">
        <v>74</v>
      </c>
      <c r="E220" t="s">
        <v>74</v>
      </c>
      <c r="F220" t="s">
        <v>4709</v>
      </c>
      <c r="G220" t="s">
        <v>74</v>
      </c>
      <c r="H220" t="s">
        <v>74</v>
      </c>
      <c r="I220" t="s">
        <v>4710</v>
      </c>
      <c r="J220" t="s">
        <v>3636</v>
      </c>
      <c r="K220" t="s">
        <v>74</v>
      </c>
      <c r="L220" t="s">
        <v>74</v>
      </c>
      <c r="M220" t="s">
        <v>78</v>
      </c>
      <c r="N220" t="s">
        <v>79</v>
      </c>
      <c r="O220" t="s">
        <v>74</v>
      </c>
      <c r="P220" t="s">
        <v>74</v>
      </c>
      <c r="Q220" t="s">
        <v>74</v>
      </c>
      <c r="R220" t="s">
        <v>74</v>
      </c>
      <c r="S220" t="s">
        <v>74</v>
      </c>
      <c r="T220" t="s">
        <v>74</v>
      </c>
      <c r="U220" t="s">
        <v>4711</v>
      </c>
      <c r="V220" t="s">
        <v>4712</v>
      </c>
      <c r="W220" t="s">
        <v>4713</v>
      </c>
      <c r="X220" t="s">
        <v>4714</v>
      </c>
      <c r="Y220" t="s">
        <v>4715</v>
      </c>
      <c r="Z220" t="s">
        <v>4716</v>
      </c>
      <c r="AA220" t="s">
        <v>4717</v>
      </c>
      <c r="AB220" t="s">
        <v>4718</v>
      </c>
      <c r="AC220" t="s">
        <v>4719</v>
      </c>
      <c r="AD220" t="s">
        <v>4720</v>
      </c>
      <c r="AE220" t="s">
        <v>4721</v>
      </c>
      <c r="AF220" t="s">
        <v>74</v>
      </c>
      <c r="AG220">
        <v>50</v>
      </c>
      <c r="AH220">
        <v>1</v>
      </c>
      <c r="AI220">
        <v>1</v>
      </c>
      <c r="AJ220">
        <v>2</v>
      </c>
      <c r="AK220">
        <v>9</v>
      </c>
      <c r="AL220" t="s">
        <v>2042</v>
      </c>
      <c r="AM220" t="s">
        <v>2043</v>
      </c>
      <c r="AN220" t="s">
        <v>2044</v>
      </c>
      <c r="AO220" t="s">
        <v>3648</v>
      </c>
      <c r="AP220" t="s">
        <v>3649</v>
      </c>
      <c r="AQ220" t="s">
        <v>74</v>
      </c>
      <c r="AR220" t="s">
        <v>3650</v>
      </c>
      <c r="AS220" t="s">
        <v>3651</v>
      </c>
      <c r="AT220" t="s">
        <v>4689</v>
      </c>
      <c r="AU220">
        <v>2022</v>
      </c>
      <c r="AV220">
        <v>127</v>
      </c>
      <c r="AW220">
        <v>9</v>
      </c>
      <c r="AX220" t="s">
        <v>74</v>
      </c>
      <c r="AY220" t="s">
        <v>74</v>
      </c>
      <c r="AZ220" t="s">
        <v>74</v>
      </c>
      <c r="BA220" t="s">
        <v>74</v>
      </c>
      <c r="BB220" t="s">
        <v>74</v>
      </c>
      <c r="BC220" t="s">
        <v>74</v>
      </c>
      <c r="BD220" t="s">
        <v>4722</v>
      </c>
      <c r="BE220" t="s">
        <v>4723</v>
      </c>
      <c r="BF220" t="str">
        <f>HYPERLINK("http://dx.doi.org/10.1029/2021JD035733","http://dx.doi.org/10.1029/2021JD035733")</f>
        <v>http://dx.doi.org/10.1029/2021JD035733</v>
      </c>
      <c r="BG220" t="s">
        <v>74</v>
      </c>
      <c r="BH220" t="s">
        <v>74</v>
      </c>
      <c r="BI220">
        <v>20</v>
      </c>
      <c r="BJ220" t="s">
        <v>510</v>
      </c>
      <c r="BK220" t="s">
        <v>101</v>
      </c>
      <c r="BL220" t="s">
        <v>510</v>
      </c>
      <c r="BM220" t="s">
        <v>4724</v>
      </c>
      <c r="BN220" t="s">
        <v>74</v>
      </c>
      <c r="BO220" t="s">
        <v>643</v>
      </c>
      <c r="BP220" t="s">
        <v>74</v>
      </c>
      <c r="BQ220" t="s">
        <v>74</v>
      </c>
      <c r="BR220" t="s">
        <v>103</v>
      </c>
      <c r="BS220" t="s">
        <v>4725</v>
      </c>
      <c r="BT220" t="str">
        <f>HYPERLINK("https%3A%2F%2Fwww.webofscience.com%2Fwos%2Fwoscc%2Ffull-record%2FWOS:000795747600001","View Full Record in Web of Science")</f>
        <v>View Full Record in Web of Science</v>
      </c>
    </row>
    <row r="221" spans="1:72" x14ac:dyDescent="0.15">
      <c r="A221" t="s">
        <v>72</v>
      </c>
      <c r="B221" t="s">
        <v>4726</v>
      </c>
      <c r="C221" t="s">
        <v>74</v>
      </c>
      <c r="D221" t="s">
        <v>74</v>
      </c>
      <c r="E221" t="s">
        <v>74</v>
      </c>
      <c r="F221" t="s">
        <v>4727</v>
      </c>
      <c r="G221" t="s">
        <v>74</v>
      </c>
      <c r="H221" t="s">
        <v>74</v>
      </c>
      <c r="I221" t="s">
        <v>4728</v>
      </c>
      <c r="J221" t="s">
        <v>4729</v>
      </c>
      <c r="K221" t="s">
        <v>74</v>
      </c>
      <c r="L221" t="s">
        <v>74</v>
      </c>
      <c r="M221" t="s">
        <v>78</v>
      </c>
      <c r="N221" t="s">
        <v>79</v>
      </c>
      <c r="O221" t="s">
        <v>74</v>
      </c>
      <c r="P221" t="s">
        <v>74</v>
      </c>
      <c r="Q221" t="s">
        <v>74</v>
      </c>
      <c r="R221" t="s">
        <v>74</v>
      </c>
      <c r="S221" t="s">
        <v>74</v>
      </c>
      <c r="T221" t="s">
        <v>4730</v>
      </c>
      <c r="U221" t="s">
        <v>4731</v>
      </c>
      <c r="V221" t="s">
        <v>4732</v>
      </c>
      <c r="W221" t="s">
        <v>4733</v>
      </c>
      <c r="X221" t="s">
        <v>4734</v>
      </c>
      <c r="Y221" t="s">
        <v>4735</v>
      </c>
      <c r="Z221" t="s">
        <v>4736</v>
      </c>
      <c r="AA221" t="s">
        <v>4737</v>
      </c>
      <c r="AB221" t="s">
        <v>4738</v>
      </c>
      <c r="AC221" t="s">
        <v>4739</v>
      </c>
      <c r="AD221" t="s">
        <v>4740</v>
      </c>
      <c r="AE221" t="s">
        <v>4741</v>
      </c>
      <c r="AF221" t="s">
        <v>74</v>
      </c>
      <c r="AG221">
        <v>41</v>
      </c>
      <c r="AH221">
        <v>1</v>
      </c>
      <c r="AI221">
        <v>1</v>
      </c>
      <c r="AJ221">
        <v>5</v>
      </c>
      <c r="AK221">
        <v>37</v>
      </c>
      <c r="AL221" t="s">
        <v>91</v>
      </c>
      <c r="AM221" t="s">
        <v>92</v>
      </c>
      <c r="AN221" t="s">
        <v>93</v>
      </c>
      <c r="AO221" t="s">
        <v>4742</v>
      </c>
      <c r="AP221" t="s">
        <v>4743</v>
      </c>
      <c r="AQ221" t="s">
        <v>74</v>
      </c>
      <c r="AR221" t="s">
        <v>4744</v>
      </c>
      <c r="AS221" t="s">
        <v>4745</v>
      </c>
      <c r="AT221" t="s">
        <v>346</v>
      </c>
      <c r="AU221">
        <v>2022</v>
      </c>
      <c r="AV221">
        <v>97</v>
      </c>
      <c r="AW221">
        <v>8</v>
      </c>
      <c r="AX221" t="s">
        <v>74</v>
      </c>
      <c r="AY221" t="s">
        <v>74</v>
      </c>
      <c r="AZ221" t="s">
        <v>74</v>
      </c>
      <c r="BA221" t="s">
        <v>74</v>
      </c>
      <c r="BB221">
        <v>2231</v>
      </c>
      <c r="BC221">
        <v>2242</v>
      </c>
      <c r="BD221" t="s">
        <v>74</v>
      </c>
      <c r="BE221" t="s">
        <v>4746</v>
      </c>
      <c r="BF221" t="str">
        <f>HYPERLINK("http://dx.doi.org/10.1002/jctb.7101","http://dx.doi.org/10.1002/jctb.7101")</f>
        <v>http://dx.doi.org/10.1002/jctb.7101</v>
      </c>
      <c r="BG221" t="s">
        <v>74</v>
      </c>
      <c r="BH221" t="s">
        <v>3111</v>
      </c>
      <c r="BI221">
        <v>12</v>
      </c>
      <c r="BJ221" t="s">
        <v>4747</v>
      </c>
      <c r="BK221" t="s">
        <v>101</v>
      </c>
      <c r="BL221" t="s">
        <v>4748</v>
      </c>
      <c r="BM221" t="s">
        <v>4749</v>
      </c>
      <c r="BN221" t="s">
        <v>74</v>
      </c>
      <c r="BO221" t="s">
        <v>74</v>
      </c>
      <c r="BP221" t="s">
        <v>74</v>
      </c>
      <c r="BQ221" t="s">
        <v>74</v>
      </c>
      <c r="BR221" t="s">
        <v>103</v>
      </c>
      <c r="BS221" t="s">
        <v>4750</v>
      </c>
      <c r="BT221" t="str">
        <f>HYPERLINK("https%3A%2F%2Fwww.webofscience.com%2Fwos%2Fwoscc%2Ffull-record%2FWOS:000796268200001","View Full Record in Web of Science")</f>
        <v>View Full Record in Web of Science</v>
      </c>
    </row>
    <row r="222" spans="1:72" x14ac:dyDescent="0.15">
      <c r="A222" t="s">
        <v>72</v>
      </c>
      <c r="B222" t="s">
        <v>4751</v>
      </c>
      <c r="C222" t="s">
        <v>74</v>
      </c>
      <c r="D222" t="s">
        <v>74</v>
      </c>
      <c r="E222" t="s">
        <v>74</v>
      </c>
      <c r="F222" t="s">
        <v>4752</v>
      </c>
      <c r="G222" t="s">
        <v>74</v>
      </c>
      <c r="H222" t="s">
        <v>74</v>
      </c>
      <c r="I222" t="s">
        <v>4753</v>
      </c>
      <c r="J222" t="s">
        <v>3419</v>
      </c>
      <c r="K222" t="s">
        <v>74</v>
      </c>
      <c r="L222" t="s">
        <v>74</v>
      </c>
      <c r="M222" t="s">
        <v>78</v>
      </c>
      <c r="N222" t="s">
        <v>79</v>
      </c>
      <c r="O222" t="s">
        <v>74</v>
      </c>
      <c r="P222" t="s">
        <v>74</v>
      </c>
      <c r="Q222" t="s">
        <v>74</v>
      </c>
      <c r="R222" t="s">
        <v>74</v>
      </c>
      <c r="S222" t="s">
        <v>74</v>
      </c>
      <c r="T222" t="s">
        <v>4754</v>
      </c>
      <c r="U222" t="s">
        <v>4755</v>
      </c>
      <c r="V222" t="s">
        <v>4756</v>
      </c>
      <c r="W222" t="s">
        <v>4757</v>
      </c>
      <c r="X222" t="s">
        <v>4758</v>
      </c>
      <c r="Y222" t="s">
        <v>4759</v>
      </c>
      <c r="Z222" t="s">
        <v>4760</v>
      </c>
      <c r="AA222" t="s">
        <v>74</v>
      </c>
      <c r="AB222" t="s">
        <v>4761</v>
      </c>
      <c r="AC222" t="s">
        <v>4762</v>
      </c>
      <c r="AD222" t="s">
        <v>4763</v>
      </c>
      <c r="AE222" t="s">
        <v>4764</v>
      </c>
      <c r="AF222" t="s">
        <v>74</v>
      </c>
      <c r="AG222">
        <v>57</v>
      </c>
      <c r="AH222">
        <v>9</v>
      </c>
      <c r="AI222">
        <v>11</v>
      </c>
      <c r="AJ222">
        <v>2</v>
      </c>
      <c r="AK222">
        <v>20</v>
      </c>
      <c r="AL222" t="s">
        <v>2042</v>
      </c>
      <c r="AM222" t="s">
        <v>2043</v>
      </c>
      <c r="AN222" t="s">
        <v>2044</v>
      </c>
      <c r="AO222" t="s">
        <v>3432</v>
      </c>
      <c r="AP222" t="s">
        <v>3433</v>
      </c>
      <c r="AQ222" t="s">
        <v>74</v>
      </c>
      <c r="AR222" t="s">
        <v>3434</v>
      </c>
      <c r="AS222" t="s">
        <v>3435</v>
      </c>
      <c r="AT222" t="s">
        <v>4689</v>
      </c>
      <c r="AU222">
        <v>2022</v>
      </c>
      <c r="AV222">
        <v>49</v>
      </c>
      <c r="AW222">
        <v>9</v>
      </c>
      <c r="AX222" t="s">
        <v>74</v>
      </c>
      <c r="AY222" t="s">
        <v>74</v>
      </c>
      <c r="AZ222" t="s">
        <v>74</v>
      </c>
      <c r="BA222" t="s">
        <v>74</v>
      </c>
      <c r="BB222" t="s">
        <v>74</v>
      </c>
      <c r="BC222" t="s">
        <v>74</v>
      </c>
      <c r="BD222" t="s">
        <v>4765</v>
      </c>
      <c r="BE222" t="s">
        <v>4766</v>
      </c>
      <c r="BF222" t="str">
        <f>HYPERLINK("http://dx.doi.org/10.1029/2021GL097322","http://dx.doi.org/10.1029/2021GL097322")</f>
        <v>http://dx.doi.org/10.1029/2021GL097322</v>
      </c>
      <c r="BG222" t="s">
        <v>74</v>
      </c>
      <c r="BH222" t="s">
        <v>74</v>
      </c>
      <c r="BI222">
        <v>10</v>
      </c>
      <c r="BJ222" t="s">
        <v>265</v>
      </c>
      <c r="BK222" t="s">
        <v>101</v>
      </c>
      <c r="BL222" t="s">
        <v>100</v>
      </c>
      <c r="BM222" t="s">
        <v>4767</v>
      </c>
      <c r="BN222" t="s">
        <v>74</v>
      </c>
      <c r="BO222" t="s">
        <v>267</v>
      </c>
      <c r="BP222" t="s">
        <v>74</v>
      </c>
      <c r="BQ222" t="s">
        <v>74</v>
      </c>
      <c r="BR222" t="s">
        <v>103</v>
      </c>
      <c r="BS222" t="s">
        <v>4768</v>
      </c>
      <c r="BT222" t="str">
        <f>HYPERLINK("https%3A%2F%2Fwww.webofscience.com%2Fwos%2Fwoscc%2Ffull-record%2FWOS:000793862000001","View Full Record in Web of Science")</f>
        <v>View Full Record in Web of Science</v>
      </c>
    </row>
    <row r="223" spans="1:72" x14ac:dyDescent="0.15">
      <c r="A223" t="s">
        <v>72</v>
      </c>
      <c r="B223" t="s">
        <v>4769</v>
      </c>
      <c r="C223" t="s">
        <v>74</v>
      </c>
      <c r="D223" t="s">
        <v>74</v>
      </c>
      <c r="E223" t="s">
        <v>74</v>
      </c>
      <c r="F223" t="s">
        <v>4770</v>
      </c>
      <c r="G223" t="s">
        <v>74</v>
      </c>
      <c r="H223" t="s">
        <v>74</v>
      </c>
      <c r="I223" t="s">
        <v>4771</v>
      </c>
      <c r="J223" t="s">
        <v>3419</v>
      </c>
      <c r="K223" t="s">
        <v>74</v>
      </c>
      <c r="L223" t="s">
        <v>74</v>
      </c>
      <c r="M223" t="s">
        <v>78</v>
      </c>
      <c r="N223" t="s">
        <v>79</v>
      </c>
      <c r="O223" t="s">
        <v>74</v>
      </c>
      <c r="P223" t="s">
        <v>74</v>
      </c>
      <c r="Q223" t="s">
        <v>74</v>
      </c>
      <c r="R223" t="s">
        <v>74</v>
      </c>
      <c r="S223" t="s">
        <v>74</v>
      </c>
      <c r="T223" t="s">
        <v>74</v>
      </c>
      <c r="U223" t="s">
        <v>4772</v>
      </c>
      <c r="V223" t="s">
        <v>4773</v>
      </c>
      <c r="W223" t="s">
        <v>4774</v>
      </c>
      <c r="X223" t="s">
        <v>4775</v>
      </c>
      <c r="Y223" t="s">
        <v>4776</v>
      </c>
      <c r="Z223" t="s">
        <v>4777</v>
      </c>
      <c r="AA223" t="s">
        <v>4778</v>
      </c>
      <c r="AB223" t="s">
        <v>4779</v>
      </c>
      <c r="AC223" t="s">
        <v>4780</v>
      </c>
      <c r="AD223" t="s">
        <v>4781</v>
      </c>
      <c r="AE223" t="s">
        <v>4782</v>
      </c>
      <c r="AF223" t="s">
        <v>74</v>
      </c>
      <c r="AG223">
        <v>80</v>
      </c>
      <c r="AH223">
        <v>1</v>
      </c>
      <c r="AI223">
        <v>1</v>
      </c>
      <c r="AJ223">
        <v>6</v>
      </c>
      <c r="AK223">
        <v>18</v>
      </c>
      <c r="AL223" t="s">
        <v>2042</v>
      </c>
      <c r="AM223" t="s">
        <v>2043</v>
      </c>
      <c r="AN223" t="s">
        <v>2044</v>
      </c>
      <c r="AO223" t="s">
        <v>3432</v>
      </c>
      <c r="AP223" t="s">
        <v>3433</v>
      </c>
      <c r="AQ223" t="s">
        <v>74</v>
      </c>
      <c r="AR223" t="s">
        <v>3434</v>
      </c>
      <c r="AS223" t="s">
        <v>3435</v>
      </c>
      <c r="AT223" t="s">
        <v>4689</v>
      </c>
      <c r="AU223">
        <v>2022</v>
      </c>
      <c r="AV223">
        <v>49</v>
      </c>
      <c r="AW223">
        <v>9</v>
      </c>
      <c r="AX223" t="s">
        <v>74</v>
      </c>
      <c r="AY223" t="s">
        <v>74</v>
      </c>
      <c r="AZ223" t="s">
        <v>74</v>
      </c>
      <c r="BA223" t="s">
        <v>74</v>
      </c>
      <c r="BB223" t="s">
        <v>74</v>
      </c>
      <c r="BC223" t="s">
        <v>74</v>
      </c>
      <c r="BD223" t="s">
        <v>4783</v>
      </c>
      <c r="BE223" t="s">
        <v>4784</v>
      </c>
      <c r="BF223" t="str">
        <f>HYPERLINK("http://dx.doi.org/10.1029/2022GL098051","http://dx.doi.org/10.1029/2022GL098051")</f>
        <v>http://dx.doi.org/10.1029/2022GL098051</v>
      </c>
      <c r="BG223" t="s">
        <v>74</v>
      </c>
      <c r="BH223" t="s">
        <v>74</v>
      </c>
      <c r="BI223">
        <v>11</v>
      </c>
      <c r="BJ223" t="s">
        <v>265</v>
      </c>
      <c r="BK223" t="s">
        <v>101</v>
      </c>
      <c r="BL223" t="s">
        <v>100</v>
      </c>
      <c r="BM223" t="s">
        <v>4785</v>
      </c>
      <c r="BN223" t="s">
        <v>74</v>
      </c>
      <c r="BO223" t="s">
        <v>1483</v>
      </c>
      <c r="BP223" t="s">
        <v>74</v>
      </c>
      <c r="BQ223" t="s">
        <v>74</v>
      </c>
      <c r="BR223" t="s">
        <v>103</v>
      </c>
      <c r="BS223" t="s">
        <v>4786</v>
      </c>
      <c r="BT223" t="str">
        <f>HYPERLINK("https%3A%2F%2Fwww.webofscience.com%2Fwos%2Fwoscc%2Ffull-record%2FWOS:000793799800001","View Full Record in Web of Science")</f>
        <v>View Full Record in Web of Science</v>
      </c>
    </row>
    <row r="224" spans="1:72" x14ac:dyDescent="0.15">
      <c r="A224" t="s">
        <v>72</v>
      </c>
      <c r="B224" t="s">
        <v>4787</v>
      </c>
      <c r="C224" t="s">
        <v>74</v>
      </c>
      <c r="D224" t="s">
        <v>74</v>
      </c>
      <c r="E224" t="s">
        <v>74</v>
      </c>
      <c r="F224" t="s">
        <v>4788</v>
      </c>
      <c r="G224" t="s">
        <v>74</v>
      </c>
      <c r="H224" t="s">
        <v>74</v>
      </c>
      <c r="I224" t="s">
        <v>4789</v>
      </c>
      <c r="J224" t="s">
        <v>3636</v>
      </c>
      <c r="K224" t="s">
        <v>74</v>
      </c>
      <c r="L224" t="s">
        <v>74</v>
      </c>
      <c r="M224" t="s">
        <v>78</v>
      </c>
      <c r="N224" t="s">
        <v>79</v>
      </c>
      <c r="O224" t="s">
        <v>74</v>
      </c>
      <c r="P224" t="s">
        <v>74</v>
      </c>
      <c r="Q224" t="s">
        <v>74</v>
      </c>
      <c r="R224" t="s">
        <v>74</v>
      </c>
      <c r="S224" t="s">
        <v>74</v>
      </c>
      <c r="T224" t="s">
        <v>74</v>
      </c>
      <c r="U224" t="s">
        <v>4790</v>
      </c>
      <c r="V224" t="s">
        <v>4791</v>
      </c>
      <c r="W224" t="s">
        <v>4792</v>
      </c>
      <c r="X224" t="s">
        <v>4793</v>
      </c>
      <c r="Y224" t="s">
        <v>4794</v>
      </c>
      <c r="Z224" t="s">
        <v>4795</v>
      </c>
      <c r="AA224" t="s">
        <v>4796</v>
      </c>
      <c r="AB224" t="s">
        <v>4797</v>
      </c>
      <c r="AC224" t="s">
        <v>4798</v>
      </c>
      <c r="AD224" t="s">
        <v>4799</v>
      </c>
      <c r="AE224" t="s">
        <v>4800</v>
      </c>
      <c r="AF224" t="s">
        <v>74</v>
      </c>
      <c r="AG224">
        <v>33</v>
      </c>
      <c r="AH224">
        <v>1</v>
      </c>
      <c r="AI224">
        <v>1</v>
      </c>
      <c r="AJ224">
        <v>3</v>
      </c>
      <c r="AK224">
        <v>10</v>
      </c>
      <c r="AL224" t="s">
        <v>2042</v>
      </c>
      <c r="AM224" t="s">
        <v>2043</v>
      </c>
      <c r="AN224" t="s">
        <v>2044</v>
      </c>
      <c r="AO224" t="s">
        <v>3648</v>
      </c>
      <c r="AP224" t="s">
        <v>3649</v>
      </c>
      <c r="AQ224" t="s">
        <v>74</v>
      </c>
      <c r="AR224" t="s">
        <v>3650</v>
      </c>
      <c r="AS224" t="s">
        <v>3651</v>
      </c>
      <c r="AT224" t="s">
        <v>4689</v>
      </c>
      <c r="AU224">
        <v>2022</v>
      </c>
      <c r="AV224">
        <v>127</v>
      </c>
      <c r="AW224">
        <v>9</v>
      </c>
      <c r="AX224" t="s">
        <v>74</v>
      </c>
      <c r="AY224" t="s">
        <v>74</v>
      </c>
      <c r="AZ224" t="s">
        <v>74</v>
      </c>
      <c r="BA224" t="s">
        <v>74</v>
      </c>
      <c r="BB224" t="s">
        <v>74</v>
      </c>
      <c r="BC224" t="s">
        <v>74</v>
      </c>
      <c r="BD224" t="s">
        <v>4801</v>
      </c>
      <c r="BE224" t="s">
        <v>4802</v>
      </c>
      <c r="BF224" t="str">
        <f>HYPERLINK("http://dx.doi.org/10.1029/2021JD036137","http://dx.doi.org/10.1029/2021JD036137")</f>
        <v>http://dx.doi.org/10.1029/2021JD036137</v>
      </c>
      <c r="BG224" t="s">
        <v>74</v>
      </c>
      <c r="BH224" t="s">
        <v>74</v>
      </c>
      <c r="BI224">
        <v>12</v>
      </c>
      <c r="BJ224" t="s">
        <v>510</v>
      </c>
      <c r="BK224" t="s">
        <v>101</v>
      </c>
      <c r="BL224" t="s">
        <v>510</v>
      </c>
      <c r="BM224" t="s">
        <v>4803</v>
      </c>
      <c r="BN224" t="s">
        <v>74</v>
      </c>
      <c r="BO224" t="s">
        <v>74</v>
      </c>
      <c r="BP224" t="s">
        <v>74</v>
      </c>
      <c r="BQ224" t="s">
        <v>74</v>
      </c>
      <c r="BR224" t="s">
        <v>103</v>
      </c>
      <c r="BS224" t="s">
        <v>4804</v>
      </c>
      <c r="BT224" t="str">
        <f>HYPERLINK("https%3A%2F%2Fwww.webofscience.com%2Fwos%2Fwoscc%2Ffull-record%2FWOS:000789390100001","View Full Record in Web of Science")</f>
        <v>View Full Record in Web of Science</v>
      </c>
    </row>
    <row r="225" spans="1:72" x14ac:dyDescent="0.15">
      <c r="A225" t="s">
        <v>72</v>
      </c>
      <c r="B225" t="s">
        <v>4805</v>
      </c>
      <c r="C225" t="s">
        <v>74</v>
      </c>
      <c r="D225" t="s">
        <v>74</v>
      </c>
      <c r="E225" t="s">
        <v>74</v>
      </c>
      <c r="F225" t="s">
        <v>4806</v>
      </c>
      <c r="G225" t="s">
        <v>74</v>
      </c>
      <c r="H225" t="s">
        <v>74</v>
      </c>
      <c r="I225" t="s">
        <v>4807</v>
      </c>
      <c r="J225" t="s">
        <v>4808</v>
      </c>
      <c r="K225" t="s">
        <v>74</v>
      </c>
      <c r="L225" t="s">
        <v>74</v>
      </c>
      <c r="M225" t="s">
        <v>78</v>
      </c>
      <c r="N225" t="s">
        <v>79</v>
      </c>
      <c r="O225" t="s">
        <v>74</v>
      </c>
      <c r="P225" t="s">
        <v>74</v>
      </c>
      <c r="Q225" t="s">
        <v>74</v>
      </c>
      <c r="R225" t="s">
        <v>74</v>
      </c>
      <c r="S225" t="s">
        <v>74</v>
      </c>
      <c r="T225" t="s">
        <v>4809</v>
      </c>
      <c r="U225" t="s">
        <v>4810</v>
      </c>
      <c r="V225" t="s">
        <v>4811</v>
      </c>
      <c r="W225" t="s">
        <v>4812</v>
      </c>
      <c r="X225" t="s">
        <v>4813</v>
      </c>
      <c r="Y225" t="s">
        <v>4814</v>
      </c>
      <c r="Z225" t="s">
        <v>4815</v>
      </c>
      <c r="AA225" t="s">
        <v>4816</v>
      </c>
      <c r="AB225" t="s">
        <v>4817</v>
      </c>
      <c r="AC225" t="s">
        <v>4818</v>
      </c>
      <c r="AD225" t="s">
        <v>4819</v>
      </c>
      <c r="AE225" t="s">
        <v>4820</v>
      </c>
      <c r="AF225" t="s">
        <v>74</v>
      </c>
      <c r="AG225">
        <v>77</v>
      </c>
      <c r="AH225">
        <v>5</v>
      </c>
      <c r="AI225">
        <v>7</v>
      </c>
      <c r="AJ225">
        <v>12</v>
      </c>
      <c r="AK225">
        <v>31</v>
      </c>
      <c r="AL225" t="s">
        <v>1413</v>
      </c>
      <c r="AM225" t="s">
        <v>1414</v>
      </c>
      <c r="AN225" t="s">
        <v>4821</v>
      </c>
      <c r="AO225" t="s">
        <v>4822</v>
      </c>
      <c r="AP225" t="s">
        <v>4823</v>
      </c>
      <c r="AQ225" t="s">
        <v>74</v>
      </c>
      <c r="AR225" t="s">
        <v>4824</v>
      </c>
      <c r="AS225" t="s">
        <v>4825</v>
      </c>
      <c r="AT225" t="s">
        <v>4826</v>
      </c>
      <c r="AU225">
        <v>2022</v>
      </c>
      <c r="AV225">
        <v>35</v>
      </c>
      <c r="AW225">
        <v>10</v>
      </c>
      <c r="AX225" t="s">
        <v>74</v>
      </c>
      <c r="AY225" t="s">
        <v>74</v>
      </c>
      <c r="AZ225" t="s">
        <v>74</v>
      </c>
      <c r="BA225" t="s">
        <v>74</v>
      </c>
      <c r="BB225">
        <v>2945</v>
      </c>
      <c r="BC225">
        <v>2959</v>
      </c>
      <c r="BD225" t="s">
        <v>74</v>
      </c>
      <c r="BE225" t="s">
        <v>4827</v>
      </c>
      <c r="BF225" t="str">
        <f>HYPERLINK("http://dx.doi.org/10.1175/JCLI-D-21-0265.1","http://dx.doi.org/10.1175/JCLI-D-21-0265.1")</f>
        <v>http://dx.doi.org/10.1175/JCLI-D-21-0265.1</v>
      </c>
      <c r="BG225" t="s">
        <v>74</v>
      </c>
      <c r="BH225" t="s">
        <v>74</v>
      </c>
      <c r="BI225">
        <v>15</v>
      </c>
      <c r="BJ225" t="s">
        <v>510</v>
      </c>
      <c r="BK225" t="s">
        <v>101</v>
      </c>
      <c r="BL225" t="s">
        <v>510</v>
      </c>
      <c r="BM225" t="s">
        <v>4828</v>
      </c>
      <c r="BN225" t="s">
        <v>74</v>
      </c>
      <c r="BO225" t="s">
        <v>74</v>
      </c>
      <c r="BP225" t="s">
        <v>74</v>
      </c>
      <c r="BQ225" t="s">
        <v>74</v>
      </c>
      <c r="BR225" t="s">
        <v>103</v>
      </c>
      <c r="BS225" t="s">
        <v>4829</v>
      </c>
      <c r="BT225" t="str">
        <f>HYPERLINK("https%3A%2F%2Fwww.webofscience.com%2Fwos%2Fwoscc%2Ffull-record%2FWOS:000797946000002","View Full Record in Web of Science")</f>
        <v>View Full Record in Web of Science</v>
      </c>
    </row>
    <row r="226" spans="1:72" x14ac:dyDescent="0.15">
      <c r="A226" t="s">
        <v>72</v>
      </c>
      <c r="B226" t="s">
        <v>4830</v>
      </c>
      <c r="C226" t="s">
        <v>74</v>
      </c>
      <c r="D226" t="s">
        <v>74</v>
      </c>
      <c r="E226" t="s">
        <v>74</v>
      </c>
      <c r="F226" t="s">
        <v>4831</v>
      </c>
      <c r="G226" t="s">
        <v>74</v>
      </c>
      <c r="H226" t="s">
        <v>74</v>
      </c>
      <c r="I226" t="s">
        <v>4832</v>
      </c>
      <c r="J226" t="s">
        <v>4808</v>
      </c>
      <c r="K226" t="s">
        <v>74</v>
      </c>
      <c r="L226" t="s">
        <v>74</v>
      </c>
      <c r="M226" t="s">
        <v>78</v>
      </c>
      <c r="N226" t="s">
        <v>79</v>
      </c>
      <c r="O226" t="s">
        <v>74</v>
      </c>
      <c r="P226" t="s">
        <v>74</v>
      </c>
      <c r="Q226" t="s">
        <v>74</v>
      </c>
      <c r="R226" t="s">
        <v>74</v>
      </c>
      <c r="S226" t="s">
        <v>74</v>
      </c>
      <c r="T226" t="s">
        <v>4833</v>
      </c>
      <c r="U226" t="s">
        <v>4834</v>
      </c>
      <c r="V226" t="s">
        <v>4835</v>
      </c>
      <c r="W226" t="s">
        <v>4836</v>
      </c>
      <c r="X226" t="s">
        <v>4837</v>
      </c>
      <c r="Y226" t="s">
        <v>4838</v>
      </c>
      <c r="Z226" t="s">
        <v>4839</v>
      </c>
      <c r="AA226" t="s">
        <v>4840</v>
      </c>
      <c r="AB226" t="s">
        <v>4841</v>
      </c>
      <c r="AC226" t="s">
        <v>4842</v>
      </c>
      <c r="AD226" t="s">
        <v>4843</v>
      </c>
      <c r="AE226" t="s">
        <v>4844</v>
      </c>
      <c r="AF226" t="s">
        <v>74</v>
      </c>
      <c r="AG226">
        <v>69</v>
      </c>
      <c r="AH226">
        <v>11</v>
      </c>
      <c r="AI226">
        <v>11</v>
      </c>
      <c r="AJ226">
        <v>1</v>
      </c>
      <c r="AK226">
        <v>19</v>
      </c>
      <c r="AL226" t="s">
        <v>1413</v>
      </c>
      <c r="AM226" t="s">
        <v>1414</v>
      </c>
      <c r="AN226" t="s">
        <v>4821</v>
      </c>
      <c r="AO226" t="s">
        <v>4822</v>
      </c>
      <c r="AP226" t="s">
        <v>4823</v>
      </c>
      <c r="AQ226" t="s">
        <v>74</v>
      </c>
      <c r="AR226" t="s">
        <v>4824</v>
      </c>
      <c r="AS226" t="s">
        <v>4825</v>
      </c>
      <c r="AT226" t="s">
        <v>4826</v>
      </c>
      <c r="AU226">
        <v>2022</v>
      </c>
      <c r="AV226">
        <v>35</v>
      </c>
      <c r="AW226">
        <v>10</v>
      </c>
      <c r="AX226" t="s">
        <v>74</v>
      </c>
      <c r="AY226" t="s">
        <v>74</v>
      </c>
      <c r="AZ226" t="s">
        <v>74</v>
      </c>
      <c r="BA226" t="s">
        <v>74</v>
      </c>
      <c r="BB226">
        <v>3161</v>
      </c>
      <c r="BC226">
        <v>3178</v>
      </c>
      <c r="BD226" t="s">
        <v>74</v>
      </c>
      <c r="BE226" t="s">
        <v>4845</v>
      </c>
      <c r="BF226" t="str">
        <f>HYPERLINK("http://dx.doi.org/10.1175/JCLI-D-21-0485.1","http://dx.doi.org/10.1175/JCLI-D-21-0485.1")</f>
        <v>http://dx.doi.org/10.1175/JCLI-D-21-0485.1</v>
      </c>
      <c r="BG226" t="s">
        <v>74</v>
      </c>
      <c r="BH226" t="s">
        <v>74</v>
      </c>
      <c r="BI226">
        <v>18</v>
      </c>
      <c r="BJ226" t="s">
        <v>510</v>
      </c>
      <c r="BK226" t="s">
        <v>101</v>
      </c>
      <c r="BL226" t="s">
        <v>510</v>
      </c>
      <c r="BM226" t="s">
        <v>4828</v>
      </c>
      <c r="BN226" t="s">
        <v>74</v>
      </c>
      <c r="BO226" t="s">
        <v>1483</v>
      </c>
      <c r="BP226" t="s">
        <v>74</v>
      </c>
      <c r="BQ226" t="s">
        <v>74</v>
      </c>
      <c r="BR226" t="s">
        <v>103</v>
      </c>
      <c r="BS226" t="s">
        <v>4846</v>
      </c>
      <c r="BT226" t="str">
        <f>HYPERLINK("https%3A%2F%2Fwww.webofscience.com%2Fwos%2Fwoscc%2Ffull-record%2FWOS:000797946000015","View Full Record in Web of Science")</f>
        <v>View Full Record in Web of Science</v>
      </c>
    </row>
    <row r="227" spans="1:72" x14ac:dyDescent="0.15">
      <c r="A227" t="s">
        <v>72</v>
      </c>
      <c r="B227" t="s">
        <v>4847</v>
      </c>
      <c r="C227" t="s">
        <v>74</v>
      </c>
      <c r="D227" t="s">
        <v>74</v>
      </c>
      <c r="E227" t="s">
        <v>74</v>
      </c>
      <c r="F227" t="s">
        <v>4848</v>
      </c>
      <c r="G227" t="s">
        <v>74</v>
      </c>
      <c r="H227" t="s">
        <v>74</v>
      </c>
      <c r="I227" t="s">
        <v>4849</v>
      </c>
      <c r="J227" t="s">
        <v>4850</v>
      </c>
      <c r="K227" t="s">
        <v>74</v>
      </c>
      <c r="L227" t="s">
        <v>74</v>
      </c>
      <c r="M227" t="s">
        <v>78</v>
      </c>
      <c r="N227" t="s">
        <v>79</v>
      </c>
      <c r="O227" t="s">
        <v>74</v>
      </c>
      <c r="P227" t="s">
        <v>74</v>
      </c>
      <c r="Q227" t="s">
        <v>74</v>
      </c>
      <c r="R227" t="s">
        <v>74</v>
      </c>
      <c r="S227" t="s">
        <v>74</v>
      </c>
      <c r="T227" t="s">
        <v>4851</v>
      </c>
      <c r="U227" t="s">
        <v>74</v>
      </c>
      <c r="V227" t="s">
        <v>4852</v>
      </c>
      <c r="W227" t="s">
        <v>4853</v>
      </c>
      <c r="X227" t="s">
        <v>4854</v>
      </c>
      <c r="Y227" t="s">
        <v>4855</v>
      </c>
      <c r="Z227" t="s">
        <v>4856</v>
      </c>
      <c r="AA227" t="s">
        <v>4857</v>
      </c>
      <c r="AB227" t="s">
        <v>4858</v>
      </c>
      <c r="AC227" t="s">
        <v>4859</v>
      </c>
      <c r="AD227" t="s">
        <v>4860</v>
      </c>
      <c r="AE227" t="s">
        <v>4861</v>
      </c>
      <c r="AF227" t="s">
        <v>74</v>
      </c>
      <c r="AG227">
        <v>67</v>
      </c>
      <c r="AH227">
        <v>2</v>
      </c>
      <c r="AI227">
        <v>2</v>
      </c>
      <c r="AJ227">
        <v>0</v>
      </c>
      <c r="AK227">
        <v>2</v>
      </c>
      <c r="AL227" t="s">
        <v>4862</v>
      </c>
      <c r="AM227" t="s">
        <v>4863</v>
      </c>
      <c r="AN227" t="s">
        <v>4864</v>
      </c>
      <c r="AO227" t="s">
        <v>4865</v>
      </c>
      <c r="AP227" t="s">
        <v>4866</v>
      </c>
      <c r="AQ227" t="s">
        <v>74</v>
      </c>
      <c r="AR227" t="s">
        <v>4867</v>
      </c>
      <c r="AS227" t="s">
        <v>4868</v>
      </c>
      <c r="AT227" t="s">
        <v>4869</v>
      </c>
      <c r="AU227">
        <v>2023</v>
      </c>
      <c r="AV227">
        <v>29</v>
      </c>
      <c r="AW227">
        <v>1</v>
      </c>
      <c r="AX227" t="s">
        <v>74</v>
      </c>
      <c r="AY227" t="s">
        <v>74</v>
      </c>
      <c r="AZ227" t="s">
        <v>74</v>
      </c>
      <c r="BA227" t="s">
        <v>74</v>
      </c>
      <c r="BB227">
        <v>143</v>
      </c>
      <c r="BC227">
        <v>161</v>
      </c>
      <c r="BD227" t="s">
        <v>74</v>
      </c>
      <c r="BE227" t="s">
        <v>4870</v>
      </c>
      <c r="BF227" t="str">
        <f>HYPERLINK("http://dx.doi.org/10.1080/19475683.2022.2064911","http://dx.doi.org/10.1080/19475683.2022.2064911")</f>
        <v>http://dx.doi.org/10.1080/19475683.2022.2064911</v>
      </c>
      <c r="BG227" t="s">
        <v>74</v>
      </c>
      <c r="BH227" t="s">
        <v>3111</v>
      </c>
      <c r="BI227">
        <v>19</v>
      </c>
      <c r="BJ227" t="s">
        <v>4871</v>
      </c>
      <c r="BK227" t="s">
        <v>839</v>
      </c>
      <c r="BL227" t="s">
        <v>4872</v>
      </c>
      <c r="BM227" t="s">
        <v>4873</v>
      </c>
      <c r="BN227" t="s">
        <v>74</v>
      </c>
      <c r="BO227" t="s">
        <v>438</v>
      </c>
      <c r="BP227" t="s">
        <v>74</v>
      </c>
      <c r="BQ227" t="s">
        <v>74</v>
      </c>
      <c r="BR227" t="s">
        <v>103</v>
      </c>
      <c r="BS227" t="s">
        <v>4874</v>
      </c>
      <c r="BT227" t="str">
        <f>HYPERLINK("https%3A%2F%2Fwww.webofscience.com%2Fwos%2Fwoscc%2Ffull-record%2FWOS:000892298000001","View Full Record in Web of Science")</f>
        <v>View Full Record in Web of Science</v>
      </c>
    </row>
    <row r="228" spans="1:72" x14ac:dyDescent="0.15">
      <c r="A228" t="s">
        <v>72</v>
      </c>
      <c r="B228" t="s">
        <v>4875</v>
      </c>
      <c r="C228" t="s">
        <v>74</v>
      </c>
      <c r="D228" t="s">
        <v>74</v>
      </c>
      <c r="E228" t="s">
        <v>74</v>
      </c>
      <c r="F228" t="s">
        <v>4876</v>
      </c>
      <c r="G228" t="s">
        <v>74</v>
      </c>
      <c r="H228" t="s">
        <v>74</v>
      </c>
      <c r="I228" t="s">
        <v>4877</v>
      </c>
      <c r="J228" t="s">
        <v>4878</v>
      </c>
      <c r="K228" t="s">
        <v>74</v>
      </c>
      <c r="L228" t="s">
        <v>74</v>
      </c>
      <c r="M228" t="s">
        <v>78</v>
      </c>
      <c r="N228" t="s">
        <v>79</v>
      </c>
      <c r="O228" t="s">
        <v>74</v>
      </c>
      <c r="P228" t="s">
        <v>74</v>
      </c>
      <c r="Q228" t="s">
        <v>74</v>
      </c>
      <c r="R228" t="s">
        <v>74</v>
      </c>
      <c r="S228" t="s">
        <v>74</v>
      </c>
      <c r="T228" t="s">
        <v>4879</v>
      </c>
      <c r="U228" t="s">
        <v>4880</v>
      </c>
      <c r="V228" t="s">
        <v>4881</v>
      </c>
      <c r="W228" t="s">
        <v>4882</v>
      </c>
      <c r="X228" t="s">
        <v>4883</v>
      </c>
      <c r="Y228" t="s">
        <v>4884</v>
      </c>
      <c r="Z228" t="s">
        <v>4885</v>
      </c>
      <c r="AA228" t="s">
        <v>74</v>
      </c>
      <c r="AB228" t="s">
        <v>4886</v>
      </c>
      <c r="AC228" t="s">
        <v>4887</v>
      </c>
      <c r="AD228" t="s">
        <v>4888</v>
      </c>
      <c r="AE228" t="s">
        <v>4887</v>
      </c>
      <c r="AF228" t="s">
        <v>74</v>
      </c>
      <c r="AG228">
        <v>32</v>
      </c>
      <c r="AH228">
        <v>0</v>
      </c>
      <c r="AI228">
        <v>0</v>
      </c>
      <c r="AJ228">
        <v>0</v>
      </c>
      <c r="AK228">
        <v>3</v>
      </c>
      <c r="AL228" t="s">
        <v>91</v>
      </c>
      <c r="AM228" t="s">
        <v>92</v>
      </c>
      <c r="AN228" t="s">
        <v>93</v>
      </c>
      <c r="AO228" t="s">
        <v>4889</v>
      </c>
      <c r="AP228" t="s">
        <v>4890</v>
      </c>
      <c r="AQ228" t="s">
        <v>74</v>
      </c>
      <c r="AR228" t="s">
        <v>4891</v>
      </c>
      <c r="AS228" t="s">
        <v>4892</v>
      </c>
      <c r="AT228" t="s">
        <v>484</v>
      </c>
      <c r="AU228">
        <v>2022</v>
      </c>
      <c r="AV228">
        <v>38</v>
      </c>
      <c r="AW228">
        <v>4</v>
      </c>
      <c r="AX228" t="s">
        <v>74</v>
      </c>
      <c r="AY228" t="s">
        <v>74</v>
      </c>
      <c r="AZ228" t="s">
        <v>74</v>
      </c>
      <c r="BA228" t="s">
        <v>74</v>
      </c>
      <c r="BB228">
        <v>1508</v>
      </c>
      <c r="BC228">
        <v>1523</v>
      </c>
      <c r="BD228" t="s">
        <v>74</v>
      </c>
      <c r="BE228" t="s">
        <v>4893</v>
      </c>
      <c r="BF228" t="str">
        <f>HYPERLINK("http://dx.doi.org/10.1111/mms.12935","http://dx.doi.org/10.1111/mms.12935")</f>
        <v>http://dx.doi.org/10.1111/mms.12935</v>
      </c>
      <c r="BG228" t="s">
        <v>74</v>
      </c>
      <c r="BH228" t="s">
        <v>3111</v>
      </c>
      <c r="BI228">
        <v>16</v>
      </c>
      <c r="BJ228" t="s">
        <v>4894</v>
      </c>
      <c r="BK228" t="s">
        <v>101</v>
      </c>
      <c r="BL228" t="s">
        <v>4894</v>
      </c>
      <c r="BM228" t="s">
        <v>4895</v>
      </c>
      <c r="BN228" t="s">
        <v>74</v>
      </c>
      <c r="BO228" t="s">
        <v>74</v>
      </c>
      <c r="BP228" t="s">
        <v>74</v>
      </c>
      <c r="BQ228" t="s">
        <v>74</v>
      </c>
      <c r="BR228" t="s">
        <v>103</v>
      </c>
      <c r="BS228" t="s">
        <v>4896</v>
      </c>
      <c r="BT228" t="str">
        <f>HYPERLINK("https%3A%2F%2Fwww.webofscience.com%2Fwos%2Fwoscc%2Ffull-record%2FWOS:000795164000001","View Full Record in Web of Science")</f>
        <v>View Full Record in Web of Science</v>
      </c>
    </row>
    <row r="229" spans="1:72" x14ac:dyDescent="0.15">
      <c r="A229" t="s">
        <v>72</v>
      </c>
      <c r="B229" t="s">
        <v>4897</v>
      </c>
      <c r="C229" t="s">
        <v>74</v>
      </c>
      <c r="D229" t="s">
        <v>74</v>
      </c>
      <c r="E229" t="s">
        <v>74</v>
      </c>
      <c r="F229" t="s">
        <v>4898</v>
      </c>
      <c r="G229" t="s">
        <v>74</v>
      </c>
      <c r="H229" t="s">
        <v>74</v>
      </c>
      <c r="I229" t="s">
        <v>4899</v>
      </c>
      <c r="J229" t="s">
        <v>4900</v>
      </c>
      <c r="K229" t="s">
        <v>74</v>
      </c>
      <c r="L229" t="s">
        <v>74</v>
      </c>
      <c r="M229" t="s">
        <v>78</v>
      </c>
      <c r="N229" t="s">
        <v>79</v>
      </c>
      <c r="O229" t="s">
        <v>74</v>
      </c>
      <c r="P229" t="s">
        <v>74</v>
      </c>
      <c r="Q229" t="s">
        <v>74</v>
      </c>
      <c r="R229" t="s">
        <v>74</v>
      </c>
      <c r="S229" t="s">
        <v>74</v>
      </c>
      <c r="T229" t="s">
        <v>4901</v>
      </c>
      <c r="U229" t="s">
        <v>74</v>
      </c>
      <c r="V229" t="s">
        <v>4902</v>
      </c>
      <c r="W229" t="s">
        <v>4903</v>
      </c>
      <c r="X229" t="s">
        <v>4904</v>
      </c>
      <c r="Y229" t="s">
        <v>4905</v>
      </c>
      <c r="Z229" t="s">
        <v>4906</v>
      </c>
      <c r="AA229" t="s">
        <v>4907</v>
      </c>
      <c r="AB229" t="s">
        <v>4908</v>
      </c>
      <c r="AC229" t="s">
        <v>4909</v>
      </c>
      <c r="AD229" t="s">
        <v>4910</v>
      </c>
      <c r="AE229" t="s">
        <v>4911</v>
      </c>
      <c r="AF229" t="s">
        <v>74</v>
      </c>
      <c r="AG229">
        <v>15</v>
      </c>
      <c r="AH229">
        <v>1</v>
      </c>
      <c r="AI229">
        <v>1</v>
      </c>
      <c r="AJ229">
        <v>0</v>
      </c>
      <c r="AK229">
        <v>1</v>
      </c>
      <c r="AL229" t="s">
        <v>4912</v>
      </c>
      <c r="AM229" t="s">
        <v>531</v>
      </c>
      <c r="AN229" t="s">
        <v>4913</v>
      </c>
      <c r="AO229" t="s">
        <v>4914</v>
      </c>
      <c r="AP229" t="s">
        <v>4915</v>
      </c>
      <c r="AQ229" t="s">
        <v>74</v>
      </c>
      <c r="AR229" t="s">
        <v>4916</v>
      </c>
      <c r="AS229" t="s">
        <v>4917</v>
      </c>
      <c r="AT229" t="s">
        <v>4918</v>
      </c>
      <c r="AU229">
        <v>2022</v>
      </c>
      <c r="AV229">
        <v>209</v>
      </c>
      <c r="AW229" t="s">
        <v>2187</v>
      </c>
      <c r="AX229" t="s">
        <v>74</v>
      </c>
      <c r="AY229" t="s">
        <v>74</v>
      </c>
      <c r="AZ229" t="s">
        <v>772</v>
      </c>
      <c r="BA229" t="s">
        <v>74</v>
      </c>
      <c r="BB229">
        <v>649</v>
      </c>
      <c r="BC229">
        <v>657</v>
      </c>
      <c r="BD229" t="s">
        <v>74</v>
      </c>
      <c r="BE229" t="s">
        <v>4919</v>
      </c>
      <c r="BF229" t="str">
        <f>HYPERLINK("http://dx.doi.org/10.1007/s10909-022-02729-5","http://dx.doi.org/10.1007/s10909-022-02729-5")</f>
        <v>http://dx.doi.org/10.1007/s10909-022-02729-5</v>
      </c>
      <c r="BG229" t="s">
        <v>74</v>
      </c>
      <c r="BH229" t="s">
        <v>3111</v>
      </c>
      <c r="BI229">
        <v>9</v>
      </c>
      <c r="BJ229" t="s">
        <v>4920</v>
      </c>
      <c r="BK229" t="s">
        <v>101</v>
      </c>
      <c r="BL229" t="s">
        <v>4921</v>
      </c>
      <c r="BM229" t="s">
        <v>4922</v>
      </c>
      <c r="BN229" t="s">
        <v>74</v>
      </c>
      <c r="BO229" t="s">
        <v>4923</v>
      </c>
      <c r="BP229" t="s">
        <v>74</v>
      </c>
      <c r="BQ229" t="s">
        <v>74</v>
      </c>
      <c r="BR229" t="s">
        <v>103</v>
      </c>
      <c r="BS229" t="s">
        <v>4924</v>
      </c>
      <c r="BT229" t="str">
        <f>HYPERLINK("https%3A%2F%2Fwww.webofscience.com%2Fwos%2Fwoscc%2Ffull-record%2FWOS:000795029200001","View Full Record in Web of Science")</f>
        <v>View Full Record in Web of Science</v>
      </c>
    </row>
    <row r="230" spans="1:72" x14ac:dyDescent="0.15">
      <c r="A230" t="s">
        <v>72</v>
      </c>
      <c r="B230" t="s">
        <v>4925</v>
      </c>
      <c r="C230" t="s">
        <v>74</v>
      </c>
      <c r="D230" t="s">
        <v>74</v>
      </c>
      <c r="E230" t="s">
        <v>74</v>
      </c>
      <c r="F230" t="s">
        <v>4926</v>
      </c>
      <c r="G230" t="s">
        <v>74</v>
      </c>
      <c r="H230" t="s">
        <v>74</v>
      </c>
      <c r="I230" t="s">
        <v>4927</v>
      </c>
      <c r="J230" t="s">
        <v>4070</v>
      </c>
      <c r="K230" t="s">
        <v>74</v>
      </c>
      <c r="L230" t="s">
        <v>74</v>
      </c>
      <c r="M230" t="s">
        <v>78</v>
      </c>
      <c r="N230" t="s">
        <v>79</v>
      </c>
      <c r="O230" t="s">
        <v>74</v>
      </c>
      <c r="P230" t="s">
        <v>74</v>
      </c>
      <c r="Q230" t="s">
        <v>74</v>
      </c>
      <c r="R230" t="s">
        <v>74</v>
      </c>
      <c r="S230" t="s">
        <v>74</v>
      </c>
      <c r="T230" t="s">
        <v>4928</v>
      </c>
      <c r="U230" t="s">
        <v>4929</v>
      </c>
      <c r="V230" t="s">
        <v>4930</v>
      </c>
      <c r="W230" t="s">
        <v>4931</v>
      </c>
      <c r="X230" t="s">
        <v>4932</v>
      </c>
      <c r="Y230" t="s">
        <v>4933</v>
      </c>
      <c r="Z230" t="s">
        <v>4934</v>
      </c>
      <c r="AA230" t="s">
        <v>74</v>
      </c>
      <c r="AB230" t="s">
        <v>74</v>
      </c>
      <c r="AC230" t="s">
        <v>4935</v>
      </c>
      <c r="AD230" t="s">
        <v>4936</v>
      </c>
      <c r="AE230" t="s">
        <v>4937</v>
      </c>
      <c r="AF230" t="s">
        <v>74</v>
      </c>
      <c r="AG230">
        <v>124</v>
      </c>
      <c r="AH230">
        <v>5</v>
      </c>
      <c r="AI230">
        <v>5</v>
      </c>
      <c r="AJ230">
        <v>18</v>
      </c>
      <c r="AK230">
        <v>45</v>
      </c>
      <c r="AL230" t="s">
        <v>199</v>
      </c>
      <c r="AM230" t="s">
        <v>200</v>
      </c>
      <c r="AN230" t="s">
        <v>201</v>
      </c>
      <c r="AO230" t="s">
        <v>4083</v>
      </c>
      <c r="AP230" t="s">
        <v>4084</v>
      </c>
      <c r="AQ230" t="s">
        <v>74</v>
      </c>
      <c r="AR230" t="s">
        <v>4085</v>
      </c>
      <c r="AS230" t="s">
        <v>4086</v>
      </c>
      <c r="AT230" t="s">
        <v>2579</v>
      </c>
      <c r="AU230">
        <v>2022</v>
      </c>
      <c r="AV230">
        <v>326</v>
      </c>
      <c r="AW230" t="s">
        <v>74</v>
      </c>
      <c r="AX230" t="s">
        <v>74</v>
      </c>
      <c r="AY230" t="s">
        <v>74</v>
      </c>
      <c r="AZ230" t="s">
        <v>74</v>
      </c>
      <c r="BA230" t="s">
        <v>74</v>
      </c>
      <c r="BB230">
        <v>288</v>
      </c>
      <c r="BC230">
        <v>312</v>
      </c>
      <c r="BD230" t="s">
        <v>74</v>
      </c>
      <c r="BE230" t="s">
        <v>4938</v>
      </c>
      <c r="BF230" t="str">
        <f>HYPERLINK("http://dx.doi.org/10.1016/j.gca.2022.03.013","http://dx.doi.org/10.1016/j.gca.2022.03.013")</f>
        <v>http://dx.doi.org/10.1016/j.gca.2022.03.013</v>
      </c>
      <c r="BG230" t="s">
        <v>74</v>
      </c>
      <c r="BH230" t="s">
        <v>3111</v>
      </c>
      <c r="BI230">
        <v>25</v>
      </c>
      <c r="BJ230" t="s">
        <v>2144</v>
      </c>
      <c r="BK230" t="s">
        <v>101</v>
      </c>
      <c r="BL230" t="s">
        <v>2144</v>
      </c>
      <c r="BM230" t="s">
        <v>4939</v>
      </c>
      <c r="BN230" t="s">
        <v>74</v>
      </c>
      <c r="BO230" t="s">
        <v>267</v>
      </c>
      <c r="BP230" t="s">
        <v>74</v>
      </c>
      <c r="BQ230" t="s">
        <v>74</v>
      </c>
      <c r="BR230" t="s">
        <v>103</v>
      </c>
      <c r="BS230" t="s">
        <v>4940</v>
      </c>
      <c r="BT230" t="str">
        <f>HYPERLINK("https%3A%2F%2Fwww.webofscience.com%2Fwos%2Fwoscc%2Ffull-record%2FWOS:000807748000006","View Full Record in Web of Science")</f>
        <v>View Full Record in Web of Science</v>
      </c>
    </row>
    <row r="231" spans="1:72" x14ac:dyDescent="0.15">
      <c r="A231" t="s">
        <v>72</v>
      </c>
      <c r="B231" t="s">
        <v>4941</v>
      </c>
      <c r="C231" t="s">
        <v>74</v>
      </c>
      <c r="D231" t="s">
        <v>74</v>
      </c>
      <c r="E231" t="s">
        <v>74</v>
      </c>
      <c r="F231" t="s">
        <v>4942</v>
      </c>
      <c r="G231" t="s">
        <v>74</v>
      </c>
      <c r="H231" t="s">
        <v>74</v>
      </c>
      <c r="I231" t="s">
        <v>4943</v>
      </c>
      <c r="J231" t="s">
        <v>4944</v>
      </c>
      <c r="K231" t="s">
        <v>74</v>
      </c>
      <c r="L231" t="s">
        <v>74</v>
      </c>
      <c r="M231" t="s">
        <v>78</v>
      </c>
      <c r="N231" t="s">
        <v>79</v>
      </c>
      <c r="O231" t="s">
        <v>74</v>
      </c>
      <c r="P231" t="s">
        <v>74</v>
      </c>
      <c r="Q231" t="s">
        <v>74</v>
      </c>
      <c r="R231" t="s">
        <v>74</v>
      </c>
      <c r="S231" t="s">
        <v>74</v>
      </c>
      <c r="T231" t="s">
        <v>4945</v>
      </c>
      <c r="U231" t="s">
        <v>4946</v>
      </c>
      <c r="V231" t="s">
        <v>4947</v>
      </c>
      <c r="W231" t="s">
        <v>4948</v>
      </c>
      <c r="X231" t="s">
        <v>74</v>
      </c>
      <c r="Y231" t="s">
        <v>4949</v>
      </c>
      <c r="Z231" t="s">
        <v>4950</v>
      </c>
      <c r="AA231" t="s">
        <v>4951</v>
      </c>
      <c r="AB231" t="s">
        <v>4952</v>
      </c>
      <c r="AC231" t="s">
        <v>4953</v>
      </c>
      <c r="AD231" t="s">
        <v>4954</v>
      </c>
      <c r="AE231" t="s">
        <v>4955</v>
      </c>
      <c r="AF231" t="s">
        <v>74</v>
      </c>
      <c r="AG231">
        <v>66</v>
      </c>
      <c r="AH231">
        <v>1</v>
      </c>
      <c r="AI231">
        <v>1</v>
      </c>
      <c r="AJ231">
        <v>2</v>
      </c>
      <c r="AK231">
        <v>5</v>
      </c>
      <c r="AL231" t="s">
        <v>257</v>
      </c>
      <c r="AM231" t="s">
        <v>258</v>
      </c>
      <c r="AN231" t="s">
        <v>259</v>
      </c>
      <c r="AO231" t="s">
        <v>4956</v>
      </c>
      <c r="AP231" t="s">
        <v>4957</v>
      </c>
      <c r="AQ231" t="s">
        <v>74</v>
      </c>
      <c r="AR231" t="s">
        <v>4958</v>
      </c>
      <c r="AS231" t="s">
        <v>4959</v>
      </c>
      <c r="AT231" t="s">
        <v>537</v>
      </c>
      <c r="AU231">
        <v>2022</v>
      </c>
      <c r="AV231">
        <v>213</v>
      </c>
      <c r="AW231" t="s">
        <v>74</v>
      </c>
      <c r="AX231" t="s">
        <v>74</v>
      </c>
      <c r="AY231" t="s">
        <v>74</v>
      </c>
      <c r="AZ231" t="s">
        <v>74</v>
      </c>
      <c r="BA231" t="s">
        <v>74</v>
      </c>
      <c r="BB231" t="s">
        <v>74</v>
      </c>
      <c r="BC231" t="s">
        <v>74</v>
      </c>
      <c r="BD231">
        <v>103838</v>
      </c>
      <c r="BE231" t="s">
        <v>4960</v>
      </c>
      <c r="BF231" t="str">
        <f>HYPERLINK("http://dx.doi.org/10.1016/j.gloplacha.2022.103838","http://dx.doi.org/10.1016/j.gloplacha.2022.103838")</f>
        <v>http://dx.doi.org/10.1016/j.gloplacha.2022.103838</v>
      </c>
      <c r="BG231" t="s">
        <v>74</v>
      </c>
      <c r="BH231" t="s">
        <v>3111</v>
      </c>
      <c r="BI231">
        <v>14</v>
      </c>
      <c r="BJ231" t="s">
        <v>125</v>
      </c>
      <c r="BK231" t="s">
        <v>101</v>
      </c>
      <c r="BL231" t="s">
        <v>126</v>
      </c>
      <c r="BM231" t="s">
        <v>4961</v>
      </c>
      <c r="BN231" t="s">
        <v>74</v>
      </c>
      <c r="BO231" t="s">
        <v>74</v>
      </c>
      <c r="BP231" t="s">
        <v>74</v>
      </c>
      <c r="BQ231" t="s">
        <v>74</v>
      </c>
      <c r="BR231" t="s">
        <v>103</v>
      </c>
      <c r="BS231" t="s">
        <v>4962</v>
      </c>
      <c r="BT231" t="str">
        <f>HYPERLINK("https%3A%2F%2Fwww.webofscience.com%2Fwos%2Fwoscc%2Ffull-record%2FWOS:000807416900002","View Full Record in Web of Science")</f>
        <v>View Full Record in Web of Science</v>
      </c>
    </row>
    <row r="232" spans="1:72" x14ac:dyDescent="0.15">
      <c r="A232" t="s">
        <v>72</v>
      </c>
      <c r="B232" t="s">
        <v>4963</v>
      </c>
      <c r="C232" t="s">
        <v>74</v>
      </c>
      <c r="D232" t="s">
        <v>74</v>
      </c>
      <c r="E232" t="s">
        <v>74</v>
      </c>
      <c r="F232" t="s">
        <v>4964</v>
      </c>
      <c r="G232" t="s">
        <v>74</v>
      </c>
      <c r="H232" t="s">
        <v>74</v>
      </c>
      <c r="I232" t="s">
        <v>4965</v>
      </c>
      <c r="J232" t="s">
        <v>1154</v>
      </c>
      <c r="K232" t="s">
        <v>74</v>
      </c>
      <c r="L232" t="s">
        <v>74</v>
      </c>
      <c r="M232" t="s">
        <v>78</v>
      </c>
      <c r="N232" t="s">
        <v>79</v>
      </c>
      <c r="O232" t="s">
        <v>74</v>
      </c>
      <c r="P232" t="s">
        <v>74</v>
      </c>
      <c r="Q232" t="s">
        <v>74</v>
      </c>
      <c r="R232" t="s">
        <v>74</v>
      </c>
      <c r="S232" t="s">
        <v>74</v>
      </c>
      <c r="T232" t="s">
        <v>4966</v>
      </c>
      <c r="U232" t="s">
        <v>4967</v>
      </c>
      <c r="V232" t="s">
        <v>4968</v>
      </c>
      <c r="W232" t="s">
        <v>4969</v>
      </c>
      <c r="X232" t="s">
        <v>4970</v>
      </c>
      <c r="Y232" t="s">
        <v>4971</v>
      </c>
      <c r="Z232" t="s">
        <v>4972</v>
      </c>
      <c r="AA232" t="s">
        <v>4973</v>
      </c>
      <c r="AB232" t="s">
        <v>4974</v>
      </c>
      <c r="AC232" t="s">
        <v>4975</v>
      </c>
      <c r="AD232" t="s">
        <v>4976</v>
      </c>
      <c r="AE232" t="s">
        <v>4977</v>
      </c>
      <c r="AF232" t="s">
        <v>74</v>
      </c>
      <c r="AG232">
        <v>99</v>
      </c>
      <c r="AH232">
        <v>5</v>
      </c>
      <c r="AI232">
        <v>5</v>
      </c>
      <c r="AJ232">
        <v>2</v>
      </c>
      <c r="AK232">
        <v>5</v>
      </c>
      <c r="AL232" t="s">
        <v>199</v>
      </c>
      <c r="AM232" t="s">
        <v>200</v>
      </c>
      <c r="AN232" t="s">
        <v>201</v>
      </c>
      <c r="AO232" t="s">
        <v>1167</v>
      </c>
      <c r="AP232" t="s">
        <v>1168</v>
      </c>
      <c r="AQ232" t="s">
        <v>74</v>
      </c>
      <c r="AR232" t="s">
        <v>1169</v>
      </c>
      <c r="AS232" t="s">
        <v>1170</v>
      </c>
      <c r="AT232" t="s">
        <v>3999</v>
      </c>
      <c r="AU232">
        <v>2022</v>
      </c>
      <c r="AV232">
        <v>286</v>
      </c>
      <c r="AW232" t="s">
        <v>74</v>
      </c>
      <c r="AX232" t="s">
        <v>74</v>
      </c>
      <c r="AY232" t="s">
        <v>74</v>
      </c>
      <c r="AZ232" t="s">
        <v>74</v>
      </c>
      <c r="BA232" t="s">
        <v>74</v>
      </c>
      <c r="BB232" t="s">
        <v>74</v>
      </c>
      <c r="BC232" t="s">
        <v>74</v>
      </c>
      <c r="BD232">
        <v>107548</v>
      </c>
      <c r="BE232" t="s">
        <v>4978</v>
      </c>
      <c r="BF232" t="str">
        <f>HYPERLINK("http://dx.doi.org/10.1016/j.quascirev.2022.107548","http://dx.doi.org/10.1016/j.quascirev.2022.107548")</f>
        <v>http://dx.doi.org/10.1016/j.quascirev.2022.107548</v>
      </c>
      <c r="BG232" t="s">
        <v>74</v>
      </c>
      <c r="BH232" t="s">
        <v>3111</v>
      </c>
      <c r="BI232">
        <v>21</v>
      </c>
      <c r="BJ232" t="s">
        <v>125</v>
      </c>
      <c r="BK232" t="s">
        <v>101</v>
      </c>
      <c r="BL232" t="s">
        <v>126</v>
      </c>
      <c r="BM232" t="s">
        <v>4538</v>
      </c>
      <c r="BN232" t="s">
        <v>74</v>
      </c>
      <c r="BO232" t="s">
        <v>1448</v>
      </c>
      <c r="BP232" t="s">
        <v>74</v>
      </c>
      <c r="BQ232" t="s">
        <v>74</v>
      </c>
      <c r="BR232" t="s">
        <v>103</v>
      </c>
      <c r="BS232" t="s">
        <v>4979</v>
      </c>
      <c r="BT232" t="str">
        <f>HYPERLINK("https%3A%2F%2Fwww.webofscience.com%2Fwos%2Fwoscc%2Ffull-record%2FWOS:000803954700006","View Full Record in Web of Science")</f>
        <v>View Full Record in Web of Science</v>
      </c>
    </row>
    <row r="233" spans="1:72" x14ac:dyDescent="0.15">
      <c r="A233" t="s">
        <v>72</v>
      </c>
      <c r="B233" t="s">
        <v>4980</v>
      </c>
      <c r="C233" t="s">
        <v>74</v>
      </c>
      <c r="D233" t="s">
        <v>74</v>
      </c>
      <c r="E233" t="s">
        <v>74</v>
      </c>
      <c r="F233" t="s">
        <v>4981</v>
      </c>
      <c r="G233" t="s">
        <v>74</v>
      </c>
      <c r="H233" t="s">
        <v>74</v>
      </c>
      <c r="I233" t="s">
        <v>4982</v>
      </c>
      <c r="J233" t="s">
        <v>3691</v>
      </c>
      <c r="K233" t="s">
        <v>74</v>
      </c>
      <c r="L233" t="s">
        <v>74</v>
      </c>
      <c r="M233" t="s">
        <v>78</v>
      </c>
      <c r="N233" t="s">
        <v>79</v>
      </c>
      <c r="O233" t="s">
        <v>74</v>
      </c>
      <c r="P233" t="s">
        <v>74</v>
      </c>
      <c r="Q233" t="s">
        <v>74</v>
      </c>
      <c r="R233" t="s">
        <v>74</v>
      </c>
      <c r="S233" t="s">
        <v>74</v>
      </c>
      <c r="T233" t="s">
        <v>4983</v>
      </c>
      <c r="U233" t="s">
        <v>74</v>
      </c>
      <c r="V233" t="s">
        <v>4984</v>
      </c>
      <c r="W233" t="s">
        <v>4985</v>
      </c>
      <c r="X233" t="s">
        <v>74</v>
      </c>
      <c r="Y233" t="s">
        <v>4986</v>
      </c>
      <c r="Z233" t="s">
        <v>4987</v>
      </c>
      <c r="AA233" t="s">
        <v>74</v>
      </c>
      <c r="AB233" t="s">
        <v>74</v>
      </c>
      <c r="AC233" t="s">
        <v>4988</v>
      </c>
      <c r="AD233" t="s">
        <v>4988</v>
      </c>
      <c r="AE233" t="s">
        <v>4989</v>
      </c>
      <c r="AF233" t="s">
        <v>74</v>
      </c>
      <c r="AG233">
        <v>29</v>
      </c>
      <c r="AH233">
        <v>0</v>
      </c>
      <c r="AI233">
        <v>0</v>
      </c>
      <c r="AJ233">
        <v>0</v>
      </c>
      <c r="AK233">
        <v>0</v>
      </c>
      <c r="AL233" t="s">
        <v>428</v>
      </c>
      <c r="AM233" t="s">
        <v>531</v>
      </c>
      <c r="AN233" t="s">
        <v>748</v>
      </c>
      <c r="AO233" t="s">
        <v>3700</v>
      </c>
      <c r="AP233" t="s">
        <v>3701</v>
      </c>
      <c r="AQ233" t="s">
        <v>74</v>
      </c>
      <c r="AR233" t="s">
        <v>3702</v>
      </c>
      <c r="AS233" t="s">
        <v>3703</v>
      </c>
      <c r="AT233" t="s">
        <v>4990</v>
      </c>
      <c r="AU233">
        <v>2022</v>
      </c>
      <c r="AV233">
        <v>58</v>
      </c>
      <c r="AW233" t="s">
        <v>74</v>
      </c>
      <c r="AX233" t="s">
        <v>74</v>
      </c>
      <c r="AY233" t="s">
        <v>74</v>
      </c>
      <c r="AZ233" t="s">
        <v>74</v>
      </c>
      <c r="BA233" t="s">
        <v>74</v>
      </c>
      <c r="BB233" t="s">
        <v>74</v>
      </c>
      <c r="BC233" t="s">
        <v>74</v>
      </c>
      <c r="BD233" t="s">
        <v>4991</v>
      </c>
      <c r="BE233" t="s">
        <v>4992</v>
      </c>
      <c r="BF233" t="str">
        <f>HYPERLINK("http://dx.doi.org/10.1017/S0032247422000122","http://dx.doi.org/10.1017/S0032247422000122")</f>
        <v>http://dx.doi.org/10.1017/S0032247422000122</v>
      </c>
      <c r="BG233" t="s">
        <v>74</v>
      </c>
      <c r="BH233" t="s">
        <v>74</v>
      </c>
      <c r="BI233">
        <v>6</v>
      </c>
      <c r="BJ233" t="s">
        <v>2665</v>
      </c>
      <c r="BK233" t="s">
        <v>101</v>
      </c>
      <c r="BL233" t="s">
        <v>840</v>
      </c>
      <c r="BM233" t="s">
        <v>4993</v>
      </c>
      <c r="BN233" t="s">
        <v>74</v>
      </c>
      <c r="BO233" t="s">
        <v>74</v>
      </c>
      <c r="BP233" t="s">
        <v>74</v>
      </c>
      <c r="BQ233" t="s">
        <v>74</v>
      </c>
      <c r="BR233" t="s">
        <v>103</v>
      </c>
      <c r="BS233" t="s">
        <v>4994</v>
      </c>
      <c r="BT233" t="str">
        <f>HYPERLINK("https%3A%2F%2Fwww.webofscience.com%2Fwos%2Fwoscc%2Ffull-record%2FWOS:000794352900001","View Full Record in Web of Science")</f>
        <v>View Full Record in Web of Science</v>
      </c>
    </row>
    <row r="234" spans="1:72" x14ac:dyDescent="0.15">
      <c r="A234" t="s">
        <v>72</v>
      </c>
      <c r="B234" t="s">
        <v>4995</v>
      </c>
      <c r="C234" t="s">
        <v>74</v>
      </c>
      <c r="D234" t="s">
        <v>74</v>
      </c>
      <c r="E234" t="s">
        <v>74</v>
      </c>
      <c r="F234" t="s">
        <v>4996</v>
      </c>
      <c r="G234" t="s">
        <v>74</v>
      </c>
      <c r="H234" t="s">
        <v>74</v>
      </c>
      <c r="I234" t="s">
        <v>4997</v>
      </c>
      <c r="J234" t="s">
        <v>4998</v>
      </c>
      <c r="K234" t="s">
        <v>74</v>
      </c>
      <c r="L234" t="s">
        <v>74</v>
      </c>
      <c r="M234" t="s">
        <v>78</v>
      </c>
      <c r="N234" t="s">
        <v>79</v>
      </c>
      <c r="O234" t="s">
        <v>74</v>
      </c>
      <c r="P234" t="s">
        <v>74</v>
      </c>
      <c r="Q234" t="s">
        <v>74</v>
      </c>
      <c r="R234" t="s">
        <v>74</v>
      </c>
      <c r="S234" t="s">
        <v>74</v>
      </c>
      <c r="T234" t="s">
        <v>4999</v>
      </c>
      <c r="U234" t="s">
        <v>5000</v>
      </c>
      <c r="V234" t="s">
        <v>5001</v>
      </c>
      <c r="W234" t="s">
        <v>5002</v>
      </c>
      <c r="X234" t="s">
        <v>5003</v>
      </c>
      <c r="Y234" t="s">
        <v>5004</v>
      </c>
      <c r="Z234" t="s">
        <v>5005</v>
      </c>
      <c r="AA234" t="s">
        <v>5006</v>
      </c>
      <c r="AB234" t="s">
        <v>5007</v>
      </c>
      <c r="AC234" t="s">
        <v>5008</v>
      </c>
      <c r="AD234" t="s">
        <v>5009</v>
      </c>
      <c r="AE234" t="s">
        <v>5010</v>
      </c>
      <c r="AF234" t="s">
        <v>74</v>
      </c>
      <c r="AG234">
        <v>55</v>
      </c>
      <c r="AH234">
        <v>3</v>
      </c>
      <c r="AI234">
        <v>3</v>
      </c>
      <c r="AJ234">
        <v>1</v>
      </c>
      <c r="AK234">
        <v>6</v>
      </c>
      <c r="AL234" t="s">
        <v>5011</v>
      </c>
      <c r="AM234" t="s">
        <v>5012</v>
      </c>
      <c r="AN234" t="s">
        <v>5013</v>
      </c>
      <c r="AO234" t="s">
        <v>5014</v>
      </c>
      <c r="AP234" t="s">
        <v>5015</v>
      </c>
      <c r="AQ234" t="s">
        <v>74</v>
      </c>
      <c r="AR234" t="s">
        <v>5016</v>
      </c>
      <c r="AS234" t="s">
        <v>5017</v>
      </c>
      <c r="AT234" t="s">
        <v>5018</v>
      </c>
      <c r="AU234">
        <v>2022</v>
      </c>
      <c r="AV234">
        <v>689</v>
      </c>
      <c r="AW234" t="s">
        <v>74</v>
      </c>
      <c r="AX234" t="s">
        <v>74</v>
      </c>
      <c r="AY234" t="s">
        <v>74</v>
      </c>
      <c r="AZ234" t="s">
        <v>74</v>
      </c>
      <c r="BA234" t="s">
        <v>74</v>
      </c>
      <c r="BB234">
        <v>169</v>
      </c>
      <c r="BC234">
        <v>177</v>
      </c>
      <c r="BD234" t="s">
        <v>74</v>
      </c>
      <c r="BE234" t="s">
        <v>5019</v>
      </c>
      <c r="BF234" t="str">
        <f>HYPERLINK("http://dx.doi.org/10.3354/meps14029","http://dx.doi.org/10.3354/meps14029")</f>
        <v>http://dx.doi.org/10.3354/meps14029</v>
      </c>
      <c r="BG234" t="s">
        <v>74</v>
      </c>
      <c r="BH234" t="s">
        <v>74</v>
      </c>
      <c r="BI234">
        <v>9</v>
      </c>
      <c r="BJ234" t="s">
        <v>5020</v>
      </c>
      <c r="BK234" t="s">
        <v>101</v>
      </c>
      <c r="BL234" t="s">
        <v>5021</v>
      </c>
      <c r="BM234" t="s">
        <v>5022</v>
      </c>
      <c r="BN234" t="s">
        <v>74</v>
      </c>
      <c r="BO234" t="s">
        <v>986</v>
      </c>
      <c r="BP234" t="s">
        <v>74</v>
      </c>
      <c r="BQ234" t="s">
        <v>74</v>
      </c>
      <c r="BR234" t="s">
        <v>103</v>
      </c>
      <c r="BS234" t="s">
        <v>5023</v>
      </c>
      <c r="BT234" t="str">
        <f>HYPERLINK("https%3A%2F%2Fwww.webofscience.com%2Fwos%2Fwoscc%2Ffull-record%2FWOS:000806104000012","View Full Record in Web of Science")</f>
        <v>View Full Record in Web of Science</v>
      </c>
    </row>
    <row r="235" spans="1:72" x14ac:dyDescent="0.15">
      <c r="A235" t="s">
        <v>72</v>
      </c>
      <c r="B235" t="s">
        <v>5024</v>
      </c>
      <c r="C235" t="s">
        <v>74</v>
      </c>
      <c r="D235" t="s">
        <v>74</v>
      </c>
      <c r="E235" t="s">
        <v>74</v>
      </c>
      <c r="F235" t="s">
        <v>5025</v>
      </c>
      <c r="G235" t="s">
        <v>74</v>
      </c>
      <c r="H235" t="s">
        <v>74</v>
      </c>
      <c r="I235" t="s">
        <v>5026</v>
      </c>
      <c r="J235" t="s">
        <v>272</v>
      </c>
      <c r="K235" t="s">
        <v>74</v>
      </c>
      <c r="L235" t="s">
        <v>74</v>
      </c>
      <c r="M235" t="s">
        <v>78</v>
      </c>
      <c r="N235" t="s">
        <v>79</v>
      </c>
      <c r="O235" t="s">
        <v>74</v>
      </c>
      <c r="P235" t="s">
        <v>74</v>
      </c>
      <c r="Q235" t="s">
        <v>74</v>
      </c>
      <c r="R235" t="s">
        <v>74</v>
      </c>
      <c r="S235" t="s">
        <v>74</v>
      </c>
      <c r="T235" t="s">
        <v>5027</v>
      </c>
      <c r="U235" t="s">
        <v>5028</v>
      </c>
      <c r="V235" t="s">
        <v>5029</v>
      </c>
      <c r="W235" t="s">
        <v>5030</v>
      </c>
      <c r="X235" t="s">
        <v>5031</v>
      </c>
      <c r="Y235" t="s">
        <v>5032</v>
      </c>
      <c r="Z235" t="s">
        <v>5033</v>
      </c>
      <c r="AA235" t="s">
        <v>74</v>
      </c>
      <c r="AB235" t="s">
        <v>5034</v>
      </c>
      <c r="AC235" t="s">
        <v>5035</v>
      </c>
      <c r="AD235" t="s">
        <v>5036</v>
      </c>
      <c r="AE235" t="s">
        <v>5037</v>
      </c>
      <c r="AF235" t="s">
        <v>74</v>
      </c>
      <c r="AG235">
        <v>107</v>
      </c>
      <c r="AH235">
        <v>6</v>
      </c>
      <c r="AI235">
        <v>6</v>
      </c>
      <c r="AJ235">
        <v>0</v>
      </c>
      <c r="AK235">
        <v>10</v>
      </c>
      <c r="AL235" t="s">
        <v>285</v>
      </c>
      <c r="AM235" t="s">
        <v>286</v>
      </c>
      <c r="AN235" t="s">
        <v>287</v>
      </c>
      <c r="AO235" t="s">
        <v>74</v>
      </c>
      <c r="AP235" t="s">
        <v>288</v>
      </c>
      <c r="AQ235" t="s">
        <v>74</v>
      </c>
      <c r="AR235" t="s">
        <v>289</v>
      </c>
      <c r="AS235" t="s">
        <v>290</v>
      </c>
      <c r="AT235" t="s">
        <v>5018</v>
      </c>
      <c r="AU235">
        <v>2022</v>
      </c>
      <c r="AV235">
        <v>13</v>
      </c>
      <c r="AW235" t="s">
        <v>74</v>
      </c>
      <c r="AX235" t="s">
        <v>74</v>
      </c>
      <c r="AY235" t="s">
        <v>74</v>
      </c>
      <c r="AZ235" t="s">
        <v>74</v>
      </c>
      <c r="BA235" t="s">
        <v>74</v>
      </c>
      <c r="BB235" t="s">
        <v>74</v>
      </c>
      <c r="BC235" t="s">
        <v>74</v>
      </c>
      <c r="BD235">
        <v>749396</v>
      </c>
      <c r="BE235" t="s">
        <v>5038</v>
      </c>
      <c r="BF235" t="str">
        <f>HYPERLINK("http://dx.doi.org/10.3389/fmicb.2022.749396","http://dx.doi.org/10.3389/fmicb.2022.749396")</f>
        <v>http://dx.doi.org/10.3389/fmicb.2022.749396</v>
      </c>
      <c r="BG235" t="s">
        <v>74</v>
      </c>
      <c r="BH235" t="s">
        <v>74</v>
      </c>
      <c r="BI235">
        <v>16</v>
      </c>
      <c r="BJ235" t="s">
        <v>293</v>
      </c>
      <c r="BK235" t="s">
        <v>101</v>
      </c>
      <c r="BL235" t="s">
        <v>293</v>
      </c>
      <c r="BM235" t="s">
        <v>5039</v>
      </c>
      <c r="BN235">
        <v>35633719</v>
      </c>
      <c r="BO235" t="s">
        <v>4312</v>
      </c>
      <c r="BP235" t="s">
        <v>74</v>
      </c>
      <c r="BQ235" t="s">
        <v>74</v>
      </c>
      <c r="BR235" t="s">
        <v>103</v>
      </c>
      <c r="BS235" t="s">
        <v>5040</v>
      </c>
      <c r="BT235" t="str">
        <f>HYPERLINK("https%3A%2F%2Fwww.webofscience.com%2Fwos%2Fwoscc%2Ffull-record%2FWOS:000802178500001","View Full Record in Web of Science")</f>
        <v>View Full Record in Web of Science</v>
      </c>
    </row>
    <row r="236" spans="1:72" x14ac:dyDescent="0.15">
      <c r="A236" t="s">
        <v>72</v>
      </c>
      <c r="B236" t="s">
        <v>5041</v>
      </c>
      <c r="C236" t="s">
        <v>74</v>
      </c>
      <c r="D236" t="s">
        <v>74</v>
      </c>
      <c r="E236" t="s">
        <v>74</v>
      </c>
      <c r="F236" t="s">
        <v>5042</v>
      </c>
      <c r="G236" t="s">
        <v>74</v>
      </c>
      <c r="H236" t="s">
        <v>74</v>
      </c>
      <c r="I236" t="s">
        <v>5043</v>
      </c>
      <c r="J236" t="s">
        <v>5044</v>
      </c>
      <c r="K236" t="s">
        <v>74</v>
      </c>
      <c r="L236" t="s">
        <v>74</v>
      </c>
      <c r="M236" t="s">
        <v>78</v>
      </c>
      <c r="N236" t="s">
        <v>161</v>
      </c>
      <c r="O236" t="s">
        <v>74</v>
      </c>
      <c r="P236" t="s">
        <v>74</v>
      </c>
      <c r="Q236" t="s">
        <v>74</v>
      </c>
      <c r="R236" t="s">
        <v>74</v>
      </c>
      <c r="S236" t="s">
        <v>74</v>
      </c>
      <c r="T236" t="s">
        <v>74</v>
      </c>
      <c r="U236" t="s">
        <v>5045</v>
      </c>
      <c r="V236" t="s">
        <v>5046</v>
      </c>
      <c r="W236" t="s">
        <v>5047</v>
      </c>
      <c r="X236" t="s">
        <v>5048</v>
      </c>
      <c r="Y236" t="s">
        <v>5049</v>
      </c>
      <c r="Z236" t="s">
        <v>5050</v>
      </c>
      <c r="AA236" t="s">
        <v>5051</v>
      </c>
      <c r="AB236" t="s">
        <v>5052</v>
      </c>
      <c r="AC236" t="s">
        <v>74</v>
      </c>
      <c r="AD236" t="s">
        <v>74</v>
      </c>
      <c r="AE236" t="s">
        <v>74</v>
      </c>
      <c r="AF236" t="s">
        <v>74</v>
      </c>
      <c r="AG236">
        <v>49</v>
      </c>
      <c r="AH236">
        <v>6</v>
      </c>
      <c r="AI236">
        <v>6</v>
      </c>
      <c r="AJ236">
        <v>5</v>
      </c>
      <c r="AK236">
        <v>15</v>
      </c>
      <c r="AL236" t="s">
        <v>3228</v>
      </c>
      <c r="AM236" t="s">
        <v>200</v>
      </c>
      <c r="AN236" t="s">
        <v>3229</v>
      </c>
      <c r="AO236" t="s">
        <v>5053</v>
      </c>
      <c r="AP236" t="s">
        <v>5054</v>
      </c>
      <c r="AQ236" t="s">
        <v>74</v>
      </c>
      <c r="AR236" t="s">
        <v>5055</v>
      </c>
      <c r="AS236" t="s">
        <v>5056</v>
      </c>
      <c r="AT236" t="s">
        <v>346</v>
      </c>
      <c r="AU236">
        <v>2022</v>
      </c>
      <c r="AV236">
        <v>76</v>
      </c>
      <c r="AW236" t="s">
        <v>74</v>
      </c>
      <c r="AX236" t="s">
        <v>74</v>
      </c>
      <c r="AY236" t="s">
        <v>74</v>
      </c>
      <c r="AZ236" t="s">
        <v>74</v>
      </c>
      <c r="BA236" t="s">
        <v>74</v>
      </c>
      <c r="BB236" t="s">
        <v>74</v>
      </c>
      <c r="BC236" t="s">
        <v>74</v>
      </c>
      <c r="BD236">
        <v>102734</v>
      </c>
      <c r="BE236" t="s">
        <v>5057</v>
      </c>
      <c r="BF236" t="str">
        <f>HYPERLINK("http://dx.doi.org/10.1016/j.copbio.2022.102734","http://dx.doi.org/10.1016/j.copbio.2022.102734")</f>
        <v>http://dx.doi.org/10.1016/j.copbio.2022.102734</v>
      </c>
      <c r="BG236" t="s">
        <v>74</v>
      </c>
      <c r="BH236" t="s">
        <v>3111</v>
      </c>
      <c r="BI236">
        <v>8</v>
      </c>
      <c r="BJ236" t="s">
        <v>5058</v>
      </c>
      <c r="BK236" t="s">
        <v>101</v>
      </c>
      <c r="BL236" t="s">
        <v>5059</v>
      </c>
      <c r="BM236" t="s">
        <v>5060</v>
      </c>
      <c r="BN236">
        <v>35569341</v>
      </c>
      <c r="BO236" t="s">
        <v>74</v>
      </c>
      <c r="BP236" t="s">
        <v>74</v>
      </c>
      <c r="BQ236" t="s">
        <v>74</v>
      </c>
      <c r="BR236" t="s">
        <v>103</v>
      </c>
      <c r="BS236" t="s">
        <v>5061</v>
      </c>
      <c r="BT236" t="str">
        <f>HYPERLINK("https%3A%2F%2Fwww.webofscience.com%2Fwos%2Fwoscc%2Ffull-record%2FWOS:000799192700004","View Full Record in Web of Science")</f>
        <v>View Full Record in Web of Science</v>
      </c>
    </row>
    <row r="237" spans="1:72" x14ac:dyDescent="0.15">
      <c r="A237" t="s">
        <v>72</v>
      </c>
      <c r="B237" t="s">
        <v>5062</v>
      </c>
      <c r="C237" t="s">
        <v>74</v>
      </c>
      <c r="D237" t="s">
        <v>74</v>
      </c>
      <c r="E237" t="s">
        <v>74</v>
      </c>
      <c r="F237" t="s">
        <v>5063</v>
      </c>
      <c r="G237" t="s">
        <v>74</v>
      </c>
      <c r="H237" t="s">
        <v>74</v>
      </c>
      <c r="I237" t="s">
        <v>5064</v>
      </c>
      <c r="J237" t="s">
        <v>189</v>
      </c>
      <c r="K237" t="s">
        <v>74</v>
      </c>
      <c r="L237" t="s">
        <v>74</v>
      </c>
      <c r="M237" t="s">
        <v>78</v>
      </c>
      <c r="N237" t="s">
        <v>79</v>
      </c>
      <c r="O237" t="s">
        <v>74</v>
      </c>
      <c r="P237" t="s">
        <v>74</v>
      </c>
      <c r="Q237" t="s">
        <v>74</v>
      </c>
      <c r="R237" t="s">
        <v>74</v>
      </c>
      <c r="S237" t="s">
        <v>74</v>
      </c>
      <c r="T237" t="s">
        <v>5065</v>
      </c>
      <c r="U237" t="s">
        <v>5066</v>
      </c>
      <c r="V237" t="s">
        <v>5067</v>
      </c>
      <c r="W237" t="s">
        <v>5068</v>
      </c>
      <c r="X237" t="s">
        <v>5069</v>
      </c>
      <c r="Y237" t="s">
        <v>5070</v>
      </c>
      <c r="Z237" t="s">
        <v>5071</v>
      </c>
      <c r="AA237" t="s">
        <v>74</v>
      </c>
      <c r="AB237" t="s">
        <v>5072</v>
      </c>
      <c r="AC237" t="s">
        <v>5073</v>
      </c>
      <c r="AD237" t="s">
        <v>5074</v>
      </c>
      <c r="AE237" t="s">
        <v>5075</v>
      </c>
      <c r="AF237" t="s">
        <v>74</v>
      </c>
      <c r="AG237">
        <v>75</v>
      </c>
      <c r="AH237">
        <v>6</v>
      </c>
      <c r="AI237">
        <v>6</v>
      </c>
      <c r="AJ237">
        <v>3</v>
      </c>
      <c r="AK237">
        <v>19</v>
      </c>
      <c r="AL237" t="s">
        <v>199</v>
      </c>
      <c r="AM237" t="s">
        <v>200</v>
      </c>
      <c r="AN237" t="s">
        <v>201</v>
      </c>
      <c r="AO237" t="s">
        <v>202</v>
      </c>
      <c r="AP237" t="s">
        <v>203</v>
      </c>
      <c r="AQ237" t="s">
        <v>74</v>
      </c>
      <c r="AR237" t="s">
        <v>204</v>
      </c>
      <c r="AS237" t="s">
        <v>205</v>
      </c>
      <c r="AT237" t="s">
        <v>5076</v>
      </c>
      <c r="AU237">
        <v>2022</v>
      </c>
      <c r="AV237">
        <v>199</v>
      </c>
      <c r="AW237" t="s">
        <v>74</v>
      </c>
      <c r="AX237" t="s">
        <v>74</v>
      </c>
      <c r="AY237" t="s">
        <v>74</v>
      </c>
      <c r="AZ237" t="s">
        <v>74</v>
      </c>
      <c r="BA237" t="s">
        <v>74</v>
      </c>
      <c r="BB237" t="s">
        <v>74</v>
      </c>
      <c r="BC237" t="s">
        <v>74</v>
      </c>
      <c r="BD237">
        <v>105093</v>
      </c>
      <c r="BE237" t="s">
        <v>5077</v>
      </c>
      <c r="BF237" t="str">
        <f>HYPERLINK("http://dx.doi.org/10.1016/j.dsr2.2022.105093","http://dx.doi.org/10.1016/j.dsr2.2022.105093")</f>
        <v>http://dx.doi.org/10.1016/j.dsr2.2022.105093</v>
      </c>
      <c r="BG237" t="s">
        <v>74</v>
      </c>
      <c r="BH237" t="s">
        <v>3111</v>
      </c>
      <c r="BI237">
        <v>10</v>
      </c>
      <c r="BJ237" t="s">
        <v>208</v>
      </c>
      <c r="BK237" t="s">
        <v>101</v>
      </c>
      <c r="BL237" t="s">
        <v>208</v>
      </c>
      <c r="BM237" t="s">
        <v>5078</v>
      </c>
      <c r="BN237" t="s">
        <v>74</v>
      </c>
      <c r="BO237" t="s">
        <v>324</v>
      </c>
      <c r="BP237" t="s">
        <v>74</v>
      </c>
      <c r="BQ237" t="s">
        <v>74</v>
      </c>
      <c r="BR237" t="s">
        <v>103</v>
      </c>
      <c r="BS237" t="s">
        <v>5079</v>
      </c>
      <c r="BT237" t="str">
        <f>HYPERLINK("https%3A%2F%2Fwww.webofscience.com%2Fwos%2Fwoscc%2Ffull-record%2FWOS:000800695100002","View Full Record in Web of Science")</f>
        <v>View Full Record in Web of Science</v>
      </c>
    </row>
    <row r="238" spans="1:72" x14ac:dyDescent="0.15">
      <c r="A238" t="s">
        <v>72</v>
      </c>
      <c r="B238" t="s">
        <v>5080</v>
      </c>
      <c r="C238" t="s">
        <v>74</v>
      </c>
      <c r="D238" t="s">
        <v>74</v>
      </c>
      <c r="E238" t="s">
        <v>74</v>
      </c>
      <c r="F238" t="s">
        <v>5081</v>
      </c>
      <c r="G238" t="s">
        <v>74</v>
      </c>
      <c r="H238" t="s">
        <v>74</v>
      </c>
      <c r="I238" t="s">
        <v>5082</v>
      </c>
      <c r="J238" t="s">
        <v>189</v>
      </c>
      <c r="K238" t="s">
        <v>74</v>
      </c>
      <c r="L238" t="s">
        <v>74</v>
      </c>
      <c r="M238" t="s">
        <v>78</v>
      </c>
      <c r="N238" t="s">
        <v>79</v>
      </c>
      <c r="O238" t="s">
        <v>74</v>
      </c>
      <c r="P238" t="s">
        <v>74</v>
      </c>
      <c r="Q238" t="s">
        <v>74</v>
      </c>
      <c r="R238" t="s">
        <v>74</v>
      </c>
      <c r="S238" t="s">
        <v>74</v>
      </c>
      <c r="T238" t="s">
        <v>5083</v>
      </c>
      <c r="U238" t="s">
        <v>5084</v>
      </c>
      <c r="V238" t="s">
        <v>5085</v>
      </c>
      <c r="W238" t="s">
        <v>5086</v>
      </c>
      <c r="X238" t="s">
        <v>5087</v>
      </c>
      <c r="Y238" t="s">
        <v>5088</v>
      </c>
      <c r="Z238" t="s">
        <v>5089</v>
      </c>
      <c r="AA238" t="s">
        <v>5090</v>
      </c>
      <c r="AB238" t="s">
        <v>74</v>
      </c>
      <c r="AC238" t="s">
        <v>5091</v>
      </c>
      <c r="AD238" t="s">
        <v>5092</v>
      </c>
      <c r="AE238" t="s">
        <v>5093</v>
      </c>
      <c r="AF238" t="s">
        <v>74</v>
      </c>
      <c r="AG238">
        <v>71</v>
      </c>
      <c r="AH238">
        <v>3</v>
      </c>
      <c r="AI238">
        <v>3</v>
      </c>
      <c r="AJ238">
        <v>4</v>
      </c>
      <c r="AK238">
        <v>20</v>
      </c>
      <c r="AL238" t="s">
        <v>199</v>
      </c>
      <c r="AM238" t="s">
        <v>200</v>
      </c>
      <c r="AN238" t="s">
        <v>201</v>
      </c>
      <c r="AO238" t="s">
        <v>202</v>
      </c>
      <c r="AP238" t="s">
        <v>203</v>
      </c>
      <c r="AQ238" t="s">
        <v>74</v>
      </c>
      <c r="AR238" t="s">
        <v>204</v>
      </c>
      <c r="AS238" t="s">
        <v>205</v>
      </c>
      <c r="AT238" t="s">
        <v>5076</v>
      </c>
      <c r="AU238">
        <v>2022</v>
      </c>
      <c r="AV238">
        <v>199</v>
      </c>
      <c r="AW238" t="s">
        <v>74</v>
      </c>
      <c r="AX238" t="s">
        <v>74</v>
      </c>
      <c r="AY238" t="s">
        <v>74</v>
      </c>
      <c r="AZ238" t="s">
        <v>74</v>
      </c>
      <c r="BA238" t="s">
        <v>74</v>
      </c>
      <c r="BB238" t="s">
        <v>74</v>
      </c>
      <c r="BC238" t="s">
        <v>74</v>
      </c>
      <c r="BD238">
        <v>105077</v>
      </c>
      <c r="BE238" t="s">
        <v>5094</v>
      </c>
      <c r="BF238" t="str">
        <f>HYPERLINK("http://dx.doi.org/10.1016/j.dsr2.2022.105077","http://dx.doi.org/10.1016/j.dsr2.2022.105077")</f>
        <v>http://dx.doi.org/10.1016/j.dsr2.2022.105077</v>
      </c>
      <c r="BG238" t="s">
        <v>74</v>
      </c>
      <c r="BH238" t="s">
        <v>3111</v>
      </c>
      <c r="BI238">
        <v>8</v>
      </c>
      <c r="BJ238" t="s">
        <v>208</v>
      </c>
      <c r="BK238" t="s">
        <v>101</v>
      </c>
      <c r="BL238" t="s">
        <v>208</v>
      </c>
      <c r="BM238" t="s">
        <v>5095</v>
      </c>
      <c r="BN238" t="s">
        <v>74</v>
      </c>
      <c r="BO238" t="s">
        <v>74</v>
      </c>
      <c r="BP238" t="s">
        <v>74</v>
      </c>
      <c r="BQ238" t="s">
        <v>74</v>
      </c>
      <c r="BR238" t="s">
        <v>103</v>
      </c>
      <c r="BS238" t="s">
        <v>5096</v>
      </c>
      <c r="BT238" t="str">
        <f>HYPERLINK("https%3A%2F%2Fwww.webofscience.com%2Fwos%2Fwoscc%2Ffull-record%2FWOS:000800678700002","View Full Record in Web of Science")</f>
        <v>View Full Record in Web of Science</v>
      </c>
    </row>
    <row r="239" spans="1:72" x14ac:dyDescent="0.15">
      <c r="A239" t="s">
        <v>72</v>
      </c>
      <c r="B239" t="s">
        <v>5097</v>
      </c>
      <c r="C239" t="s">
        <v>74</v>
      </c>
      <c r="D239" t="s">
        <v>74</v>
      </c>
      <c r="E239" t="s">
        <v>74</v>
      </c>
      <c r="F239" t="s">
        <v>5098</v>
      </c>
      <c r="G239" t="s">
        <v>74</v>
      </c>
      <c r="H239" t="s">
        <v>74</v>
      </c>
      <c r="I239" t="s">
        <v>5099</v>
      </c>
      <c r="J239" t="s">
        <v>189</v>
      </c>
      <c r="K239" t="s">
        <v>74</v>
      </c>
      <c r="L239" t="s">
        <v>74</v>
      </c>
      <c r="M239" t="s">
        <v>78</v>
      </c>
      <c r="N239" t="s">
        <v>79</v>
      </c>
      <c r="O239" t="s">
        <v>74</v>
      </c>
      <c r="P239" t="s">
        <v>74</v>
      </c>
      <c r="Q239" t="s">
        <v>74</v>
      </c>
      <c r="R239" t="s">
        <v>74</v>
      </c>
      <c r="S239" t="s">
        <v>74</v>
      </c>
      <c r="T239" t="s">
        <v>5100</v>
      </c>
      <c r="U239" t="s">
        <v>5101</v>
      </c>
      <c r="V239" t="s">
        <v>5102</v>
      </c>
      <c r="W239" t="s">
        <v>5103</v>
      </c>
      <c r="X239" t="s">
        <v>5104</v>
      </c>
      <c r="Y239" t="s">
        <v>5105</v>
      </c>
      <c r="Z239" t="s">
        <v>5106</v>
      </c>
      <c r="AA239" t="s">
        <v>5107</v>
      </c>
      <c r="AB239" t="s">
        <v>5108</v>
      </c>
      <c r="AC239" t="s">
        <v>5109</v>
      </c>
      <c r="AD239" t="s">
        <v>1712</v>
      </c>
      <c r="AE239" t="s">
        <v>5110</v>
      </c>
      <c r="AF239" t="s">
        <v>74</v>
      </c>
      <c r="AG239">
        <v>65</v>
      </c>
      <c r="AH239">
        <v>8</v>
      </c>
      <c r="AI239">
        <v>9</v>
      </c>
      <c r="AJ239">
        <v>1</v>
      </c>
      <c r="AK239">
        <v>3</v>
      </c>
      <c r="AL239" t="s">
        <v>199</v>
      </c>
      <c r="AM239" t="s">
        <v>200</v>
      </c>
      <c r="AN239" t="s">
        <v>201</v>
      </c>
      <c r="AO239" t="s">
        <v>202</v>
      </c>
      <c r="AP239" t="s">
        <v>203</v>
      </c>
      <c r="AQ239" t="s">
        <v>74</v>
      </c>
      <c r="AR239" t="s">
        <v>204</v>
      </c>
      <c r="AS239" t="s">
        <v>205</v>
      </c>
      <c r="AT239" t="s">
        <v>5076</v>
      </c>
      <c r="AU239">
        <v>2022</v>
      </c>
      <c r="AV239">
        <v>199</v>
      </c>
      <c r="AW239" t="s">
        <v>74</v>
      </c>
      <c r="AX239" t="s">
        <v>74</v>
      </c>
      <c r="AY239" t="s">
        <v>74</v>
      </c>
      <c r="AZ239" t="s">
        <v>74</v>
      </c>
      <c r="BA239" t="s">
        <v>74</v>
      </c>
      <c r="BB239" t="s">
        <v>74</v>
      </c>
      <c r="BC239" t="s">
        <v>74</v>
      </c>
      <c r="BD239">
        <v>105081</v>
      </c>
      <c r="BE239" t="s">
        <v>5111</v>
      </c>
      <c r="BF239" t="str">
        <f>HYPERLINK("http://dx.doi.org/10.1016/j.dsr2.2022.105081","http://dx.doi.org/10.1016/j.dsr2.2022.105081")</f>
        <v>http://dx.doi.org/10.1016/j.dsr2.2022.105081</v>
      </c>
      <c r="BG239" t="s">
        <v>74</v>
      </c>
      <c r="BH239" t="s">
        <v>3111</v>
      </c>
      <c r="BI239">
        <v>12</v>
      </c>
      <c r="BJ239" t="s">
        <v>208</v>
      </c>
      <c r="BK239" t="s">
        <v>101</v>
      </c>
      <c r="BL239" t="s">
        <v>208</v>
      </c>
      <c r="BM239" t="s">
        <v>5112</v>
      </c>
      <c r="BN239" t="s">
        <v>74</v>
      </c>
      <c r="BO239" t="s">
        <v>74</v>
      </c>
      <c r="BP239" t="s">
        <v>74</v>
      </c>
      <c r="BQ239" t="s">
        <v>74</v>
      </c>
      <c r="BR239" t="s">
        <v>103</v>
      </c>
      <c r="BS239" t="s">
        <v>5113</v>
      </c>
      <c r="BT239" t="str">
        <f>HYPERLINK("https%3A%2F%2Fwww.webofscience.com%2Fwos%2Fwoscc%2Ffull-record%2FWOS:000800688300001","View Full Record in Web of Science")</f>
        <v>View Full Record in Web of Science</v>
      </c>
    </row>
    <row r="240" spans="1:72" x14ac:dyDescent="0.15">
      <c r="A240" t="s">
        <v>72</v>
      </c>
      <c r="B240" t="s">
        <v>5114</v>
      </c>
      <c r="C240" t="s">
        <v>74</v>
      </c>
      <c r="D240" t="s">
        <v>74</v>
      </c>
      <c r="E240" t="s">
        <v>74</v>
      </c>
      <c r="F240" t="s">
        <v>5115</v>
      </c>
      <c r="G240" t="s">
        <v>74</v>
      </c>
      <c r="H240" t="s">
        <v>74</v>
      </c>
      <c r="I240" t="s">
        <v>5116</v>
      </c>
      <c r="J240" t="s">
        <v>5117</v>
      </c>
      <c r="K240" t="s">
        <v>74</v>
      </c>
      <c r="L240" t="s">
        <v>74</v>
      </c>
      <c r="M240" t="s">
        <v>78</v>
      </c>
      <c r="N240" t="s">
        <v>79</v>
      </c>
      <c r="O240" t="s">
        <v>74</v>
      </c>
      <c r="P240" t="s">
        <v>74</v>
      </c>
      <c r="Q240" t="s">
        <v>74</v>
      </c>
      <c r="R240" t="s">
        <v>74</v>
      </c>
      <c r="S240" t="s">
        <v>74</v>
      </c>
      <c r="T240" t="s">
        <v>5118</v>
      </c>
      <c r="U240" t="s">
        <v>5119</v>
      </c>
      <c r="V240" t="s">
        <v>5120</v>
      </c>
      <c r="W240" t="s">
        <v>5121</v>
      </c>
      <c r="X240" t="s">
        <v>5122</v>
      </c>
      <c r="Y240" t="s">
        <v>5123</v>
      </c>
      <c r="Z240" t="s">
        <v>5124</v>
      </c>
      <c r="AA240" t="s">
        <v>74</v>
      </c>
      <c r="AB240" t="s">
        <v>5125</v>
      </c>
      <c r="AC240" t="s">
        <v>74</v>
      </c>
      <c r="AD240" t="s">
        <v>74</v>
      </c>
      <c r="AE240" t="s">
        <v>74</v>
      </c>
      <c r="AF240" t="s">
        <v>74</v>
      </c>
      <c r="AG240">
        <v>45</v>
      </c>
      <c r="AH240">
        <v>2</v>
      </c>
      <c r="AI240">
        <v>2</v>
      </c>
      <c r="AJ240">
        <v>1</v>
      </c>
      <c r="AK240">
        <v>5</v>
      </c>
      <c r="AL240" t="s">
        <v>5126</v>
      </c>
      <c r="AM240" t="s">
        <v>5127</v>
      </c>
      <c r="AN240" t="s">
        <v>5128</v>
      </c>
      <c r="AO240" t="s">
        <v>5129</v>
      </c>
      <c r="AP240" t="s">
        <v>5130</v>
      </c>
      <c r="AQ240" t="s">
        <v>74</v>
      </c>
      <c r="AR240" t="s">
        <v>5117</v>
      </c>
      <c r="AS240" t="s">
        <v>5131</v>
      </c>
      <c r="AT240" t="s">
        <v>5018</v>
      </c>
      <c r="AU240">
        <v>2022</v>
      </c>
      <c r="AV240">
        <v>545</v>
      </c>
      <c r="AW240">
        <v>3</v>
      </c>
      <c r="AX240" t="s">
        <v>74</v>
      </c>
      <c r="AY240" t="s">
        <v>74</v>
      </c>
      <c r="AZ240" t="s">
        <v>74</v>
      </c>
      <c r="BA240" t="s">
        <v>74</v>
      </c>
      <c r="BB240">
        <v>261</v>
      </c>
      <c r="BC240">
        <v>277</v>
      </c>
      <c r="BD240" t="s">
        <v>74</v>
      </c>
      <c r="BE240" t="s">
        <v>5132</v>
      </c>
      <c r="BF240" t="str">
        <f>HYPERLINK("http://dx.doi.org/10.11646/phytotaxa.545.3.2","http://dx.doi.org/10.11646/phytotaxa.545.3.2")</f>
        <v>http://dx.doi.org/10.11646/phytotaxa.545.3.2</v>
      </c>
      <c r="BG240" t="s">
        <v>74</v>
      </c>
      <c r="BH240" t="s">
        <v>74</v>
      </c>
      <c r="BI240">
        <v>17</v>
      </c>
      <c r="BJ240" t="s">
        <v>1649</v>
      </c>
      <c r="BK240" t="s">
        <v>101</v>
      </c>
      <c r="BL240" t="s">
        <v>1649</v>
      </c>
      <c r="BM240" t="s">
        <v>5133</v>
      </c>
      <c r="BN240" t="s">
        <v>74</v>
      </c>
      <c r="BO240" t="s">
        <v>74</v>
      </c>
      <c r="BP240" t="s">
        <v>74</v>
      </c>
      <c r="BQ240" t="s">
        <v>74</v>
      </c>
      <c r="BR240" t="s">
        <v>103</v>
      </c>
      <c r="BS240" t="s">
        <v>5134</v>
      </c>
      <c r="BT240" t="str">
        <f>HYPERLINK("https%3A%2F%2Fwww.webofscience.com%2Fwos%2Fwoscc%2Ffull-record%2FWOS:000800088300001","View Full Record in Web of Science")</f>
        <v>View Full Record in Web of Science</v>
      </c>
    </row>
    <row r="241" spans="1:72" x14ac:dyDescent="0.15">
      <c r="A241" t="s">
        <v>72</v>
      </c>
      <c r="B241" t="s">
        <v>5135</v>
      </c>
      <c r="C241" t="s">
        <v>74</v>
      </c>
      <c r="D241" t="s">
        <v>74</v>
      </c>
      <c r="E241" t="s">
        <v>74</v>
      </c>
      <c r="F241" t="s">
        <v>5136</v>
      </c>
      <c r="G241" t="s">
        <v>74</v>
      </c>
      <c r="H241" t="s">
        <v>74</v>
      </c>
      <c r="I241" t="s">
        <v>5137</v>
      </c>
      <c r="J241" t="s">
        <v>5138</v>
      </c>
      <c r="K241" t="s">
        <v>74</v>
      </c>
      <c r="L241" t="s">
        <v>74</v>
      </c>
      <c r="M241" t="s">
        <v>78</v>
      </c>
      <c r="N241" t="s">
        <v>992</v>
      </c>
      <c r="O241" t="s">
        <v>74</v>
      </c>
      <c r="P241" t="s">
        <v>74</v>
      </c>
      <c r="Q241" t="s">
        <v>74</v>
      </c>
      <c r="R241" t="s">
        <v>74</v>
      </c>
      <c r="S241" t="s">
        <v>74</v>
      </c>
      <c r="T241" t="s">
        <v>74</v>
      </c>
      <c r="U241" t="s">
        <v>5139</v>
      </c>
      <c r="V241" t="s">
        <v>74</v>
      </c>
      <c r="W241" t="s">
        <v>5140</v>
      </c>
      <c r="X241" t="s">
        <v>5141</v>
      </c>
      <c r="Y241" t="s">
        <v>5142</v>
      </c>
      <c r="Z241" t="s">
        <v>5143</v>
      </c>
      <c r="AA241" t="s">
        <v>5144</v>
      </c>
      <c r="AB241" t="s">
        <v>5145</v>
      </c>
      <c r="AC241" t="s">
        <v>74</v>
      </c>
      <c r="AD241" t="s">
        <v>74</v>
      </c>
      <c r="AE241" t="s">
        <v>74</v>
      </c>
      <c r="AF241" t="s">
        <v>74</v>
      </c>
      <c r="AG241">
        <v>14</v>
      </c>
      <c r="AH241">
        <v>11</v>
      </c>
      <c r="AI241">
        <v>11</v>
      </c>
      <c r="AJ241">
        <v>1</v>
      </c>
      <c r="AK241">
        <v>8</v>
      </c>
      <c r="AL241" t="s">
        <v>455</v>
      </c>
      <c r="AM241" t="s">
        <v>456</v>
      </c>
      <c r="AN241" t="s">
        <v>457</v>
      </c>
      <c r="AO241" t="s">
        <v>5146</v>
      </c>
      <c r="AP241" t="s">
        <v>74</v>
      </c>
      <c r="AQ241" t="s">
        <v>74</v>
      </c>
      <c r="AR241" t="s">
        <v>5147</v>
      </c>
      <c r="AS241" t="s">
        <v>5148</v>
      </c>
      <c r="AT241" t="s">
        <v>206</v>
      </c>
      <c r="AU241">
        <v>2022</v>
      </c>
      <c r="AV241">
        <v>6</v>
      </c>
      <c r="AW241">
        <v>7</v>
      </c>
      <c r="AX241" t="s">
        <v>74</v>
      </c>
      <c r="AY241" t="s">
        <v>74</v>
      </c>
      <c r="AZ241" t="s">
        <v>74</v>
      </c>
      <c r="BA241" t="s">
        <v>74</v>
      </c>
      <c r="BB241">
        <v>828</v>
      </c>
      <c r="BC241">
        <v>829</v>
      </c>
      <c r="BD241" t="s">
        <v>74</v>
      </c>
      <c r="BE241" t="s">
        <v>5149</v>
      </c>
      <c r="BF241" t="str">
        <f>HYPERLINK("http://dx.doi.org/10.1038/s41559-022-01778-z","http://dx.doi.org/10.1038/s41559-022-01778-z")</f>
        <v>http://dx.doi.org/10.1038/s41559-022-01778-z</v>
      </c>
      <c r="BG241" t="s">
        <v>74</v>
      </c>
      <c r="BH241" t="s">
        <v>3111</v>
      </c>
      <c r="BI241">
        <v>2</v>
      </c>
      <c r="BJ241" t="s">
        <v>5150</v>
      </c>
      <c r="BK241" t="s">
        <v>101</v>
      </c>
      <c r="BL241" t="s">
        <v>5151</v>
      </c>
      <c r="BM241" t="s">
        <v>5152</v>
      </c>
      <c r="BN241">
        <v>35551251</v>
      </c>
      <c r="BO241" t="s">
        <v>74</v>
      </c>
      <c r="BP241" t="s">
        <v>74</v>
      </c>
      <c r="BQ241" t="s">
        <v>74</v>
      </c>
      <c r="BR241" t="s">
        <v>103</v>
      </c>
      <c r="BS241" t="s">
        <v>5153</v>
      </c>
      <c r="BT241" t="str">
        <f>HYPERLINK("https%3A%2F%2Fwww.webofscience.com%2Fwos%2Fwoscc%2Ffull-record%2FWOS:000794102000003","View Full Record in Web of Science")</f>
        <v>View Full Record in Web of Science</v>
      </c>
    </row>
    <row r="242" spans="1:72" x14ac:dyDescent="0.15">
      <c r="A242" t="s">
        <v>72</v>
      </c>
      <c r="B242" t="s">
        <v>5154</v>
      </c>
      <c r="C242" t="s">
        <v>74</v>
      </c>
      <c r="D242" t="s">
        <v>74</v>
      </c>
      <c r="E242" t="s">
        <v>74</v>
      </c>
      <c r="F242" t="s">
        <v>5155</v>
      </c>
      <c r="G242" t="s">
        <v>74</v>
      </c>
      <c r="H242" t="s">
        <v>74</v>
      </c>
      <c r="I242" t="s">
        <v>5156</v>
      </c>
      <c r="J242" t="s">
        <v>5157</v>
      </c>
      <c r="K242" t="s">
        <v>74</v>
      </c>
      <c r="L242" t="s">
        <v>74</v>
      </c>
      <c r="M242" t="s">
        <v>78</v>
      </c>
      <c r="N242" t="s">
        <v>79</v>
      </c>
      <c r="O242" t="s">
        <v>74</v>
      </c>
      <c r="P242" t="s">
        <v>74</v>
      </c>
      <c r="Q242" t="s">
        <v>74</v>
      </c>
      <c r="R242" t="s">
        <v>74</v>
      </c>
      <c r="S242" t="s">
        <v>74</v>
      </c>
      <c r="T242" t="s">
        <v>5158</v>
      </c>
      <c r="U242" t="s">
        <v>5159</v>
      </c>
      <c r="V242" t="s">
        <v>5160</v>
      </c>
      <c r="W242" t="s">
        <v>5161</v>
      </c>
      <c r="X242" t="s">
        <v>5162</v>
      </c>
      <c r="Y242" t="s">
        <v>5163</v>
      </c>
      <c r="Z242" t="s">
        <v>5164</v>
      </c>
      <c r="AA242" t="s">
        <v>5165</v>
      </c>
      <c r="AB242" t="s">
        <v>5166</v>
      </c>
      <c r="AC242" t="s">
        <v>5167</v>
      </c>
      <c r="AD242" t="s">
        <v>5168</v>
      </c>
      <c r="AE242" t="s">
        <v>5169</v>
      </c>
      <c r="AF242" t="s">
        <v>74</v>
      </c>
      <c r="AG242">
        <v>45</v>
      </c>
      <c r="AH242">
        <v>9</v>
      </c>
      <c r="AI242">
        <v>9</v>
      </c>
      <c r="AJ242">
        <v>1</v>
      </c>
      <c r="AK242">
        <v>5</v>
      </c>
      <c r="AL242" t="s">
        <v>530</v>
      </c>
      <c r="AM242" t="s">
        <v>531</v>
      </c>
      <c r="AN242" t="s">
        <v>532</v>
      </c>
      <c r="AO242" t="s">
        <v>5170</v>
      </c>
      <c r="AP242" t="s">
        <v>74</v>
      </c>
      <c r="AQ242" t="s">
        <v>74</v>
      </c>
      <c r="AR242" t="s">
        <v>5171</v>
      </c>
      <c r="AS242" t="s">
        <v>5172</v>
      </c>
      <c r="AT242" t="s">
        <v>5018</v>
      </c>
      <c r="AU242">
        <v>2022</v>
      </c>
      <c r="AV242">
        <v>9</v>
      </c>
      <c r="AW242">
        <v>1</v>
      </c>
      <c r="AX242" t="s">
        <v>74</v>
      </c>
      <c r="AY242" t="s">
        <v>74</v>
      </c>
      <c r="AZ242" t="s">
        <v>74</v>
      </c>
      <c r="BA242" t="s">
        <v>74</v>
      </c>
      <c r="BB242" t="s">
        <v>74</v>
      </c>
      <c r="BC242" t="s">
        <v>74</v>
      </c>
      <c r="BD242">
        <v>25</v>
      </c>
      <c r="BE242" t="s">
        <v>5173</v>
      </c>
      <c r="BF242" t="str">
        <f>HYPERLINK("http://dx.doi.org/10.1186/s40645-022-00485-4","http://dx.doi.org/10.1186/s40645-022-00485-4")</f>
        <v>http://dx.doi.org/10.1186/s40645-022-00485-4</v>
      </c>
      <c r="BG242" t="s">
        <v>74</v>
      </c>
      <c r="BH242" t="s">
        <v>74</v>
      </c>
      <c r="BI242">
        <v>9</v>
      </c>
      <c r="BJ242" t="s">
        <v>265</v>
      </c>
      <c r="BK242" t="s">
        <v>101</v>
      </c>
      <c r="BL242" t="s">
        <v>100</v>
      </c>
      <c r="BM242" t="s">
        <v>5174</v>
      </c>
      <c r="BN242" t="s">
        <v>74</v>
      </c>
      <c r="BO242" t="s">
        <v>1533</v>
      </c>
      <c r="BP242" t="s">
        <v>74</v>
      </c>
      <c r="BQ242" t="s">
        <v>74</v>
      </c>
      <c r="BR242" t="s">
        <v>103</v>
      </c>
      <c r="BS242" t="s">
        <v>5175</v>
      </c>
      <c r="BT242" t="str">
        <f>HYPERLINK("https%3A%2F%2Fwww.webofscience.com%2Fwos%2Fwoscc%2Ffull-record%2FWOS:000794871700001","View Full Record in Web of Science")</f>
        <v>View Full Record in Web of Science</v>
      </c>
    </row>
    <row r="243" spans="1:72" x14ac:dyDescent="0.15">
      <c r="A243" t="s">
        <v>72</v>
      </c>
      <c r="B243" t="s">
        <v>5176</v>
      </c>
      <c r="C243" t="s">
        <v>74</v>
      </c>
      <c r="D243" t="s">
        <v>74</v>
      </c>
      <c r="E243" t="s">
        <v>74</v>
      </c>
      <c r="F243" t="s">
        <v>5177</v>
      </c>
      <c r="G243" t="s">
        <v>74</v>
      </c>
      <c r="H243" t="s">
        <v>74</v>
      </c>
      <c r="I243" t="s">
        <v>5178</v>
      </c>
      <c r="J243" t="s">
        <v>692</v>
      </c>
      <c r="K243" t="s">
        <v>74</v>
      </c>
      <c r="L243" t="s">
        <v>74</v>
      </c>
      <c r="M243" t="s">
        <v>78</v>
      </c>
      <c r="N243" t="s">
        <v>79</v>
      </c>
      <c r="O243" t="s">
        <v>74</v>
      </c>
      <c r="P243" t="s">
        <v>74</v>
      </c>
      <c r="Q243" t="s">
        <v>74</v>
      </c>
      <c r="R243" t="s">
        <v>74</v>
      </c>
      <c r="S243" t="s">
        <v>74</v>
      </c>
      <c r="T243" t="s">
        <v>5179</v>
      </c>
      <c r="U243" t="s">
        <v>74</v>
      </c>
      <c r="V243" t="s">
        <v>5180</v>
      </c>
      <c r="W243" t="s">
        <v>5181</v>
      </c>
      <c r="X243" t="s">
        <v>5182</v>
      </c>
      <c r="Y243" t="s">
        <v>5183</v>
      </c>
      <c r="Z243" t="s">
        <v>5184</v>
      </c>
      <c r="AA243" t="s">
        <v>74</v>
      </c>
      <c r="AB243" t="s">
        <v>74</v>
      </c>
      <c r="AC243" t="s">
        <v>5185</v>
      </c>
      <c r="AD243" t="s">
        <v>5186</v>
      </c>
      <c r="AE243" t="s">
        <v>5187</v>
      </c>
      <c r="AF243" t="s">
        <v>74</v>
      </c>
      <c r="AG243">
        <v>5</v>
      </c>
      <c r="AH243">
        <v>0</v>
      </c>
      <c r="AI243">
        <v>0</v>
      </c>
      <c r="AJ243">
        <v>0</v>
      </c>
      <c r="AK243">
        <v>1</v>
      </c>
      <c r="AL243" t="s">
        <v>428</v>
      </c>
      <c r="AM243" t="s">
        <v>531</v>
      </c>
      <c r="AN243" t="s">
        <v>748</v>
      </c>
      <c r="AO243" t="s">
        <v>703</v>
      </c>
      <c r="AP243" t="s">
        <v>704</v>
      </c>
      <c r="AQ243" t="s">
        <v>74</v>
      </c>
      <c r="AR243" t="s">
        <v>705</v>
      </c>
      <c r="AS243" t="s">
        <v>706</v>
      </c>
      <c r="AT243" t="s">
        <v>537</v>
      </c>
      <c r="AU243">
        <v>2022</v>
      </c>
      <c r="AV243">
        <v>34</v>
      </c>
      <c r="AW243">
        <v>3</v>
      </c>
      <c r="AX243" t="s">
        <v>74</v>
      </c>
      <c r="AY243" t="s">
        <v>74</v>
      </c>
      <c r="AZ243" t="s">
        <v>74</v>
      </c>
      <c r="BA243" t="s">
        <v>74</v>
      </c>
      <c r="BB243">
        <v>223</v>
      </c>
      <c r="BC243">
        <v>225</v>
      </c>
      <c r="BD243" t="s">
        <v>5188</v>
      </c>
      <c r="BE243" t="s">
        <v>5189</v>
      </c>
      <c r="BF243" t="str">
        <f>HYPERLINK("http://dx.doi.org/10.1017/S0954102022000062","http://dx.doi.org/10.1017/S0954102022000062")</f>
        <v>http://dx.doi.org/10.1017/S0954102022000062</v>
      </c>
      <c r="BG243" t="s">
        <v>74</v>
      </c>
      <c r="BH243" t="s">
        <v>3111</v>
      </c>
      <c r="BI243">
        <v>3</v>
      </c>
      <c r="BJ243" t="s">
        <v>708</v>
      </c>
      <c r="BK243" t="s">
        <v>101</v>
      </c>
      <c r="BL243" t="s">
        <v>709</v>
      </c>
      <c r="BM243" t="s">
        <v>1570</v>
      </c>
      <c r="BN243" t="s">
        <v>74</v>
      </c>
      <c r="BO243" t="s">
        <v>74</v>
      </c>
      <c r="BP243" t="s">
        <v>74</v>
      </c>
      <c r="BQ243" t="s">
        <v>74</v>
      </c>
      <c r="BR243" t="s">
        <v>103</v>
      </c>
      <c r="BS243" t="s">
        <v>5190</v>
      </c>
      <c r="BT243" t="str">
        <f>HYPERLINK("https%3A%2F%2Fwww.webofscience.com%2Fwos%2Fwoscc%2Ffull-record%2FWOS:000794420700001","View Full Record in Web of Science")</f>
        <v>View Full Record in Web of Science</v>
      </c>
    </row>
    <row r="244" spans="1:72" x14ac:dyDescent="0.15">
      <c r="A244" t="s">
        <v>72</v>
      </c>
      <c r="B244" t="s">
        <v>5191</v>
      </c>
      <c r="C244" t="s">
        <v>74</v>
      </c>
      <c r="D244" t="s">
        <v>74</v>
      </c>
      <c r="E244" t="s">
        <v>74</v>
      </c>
      <c r="F244" t="s">
        <v>5192</v>
      </c>
      <c r="G244" t="s">
        <v>74</v>
      </c>
      <c r="H244" t="s">
        <v>74</v>
      </c>
      <c r="I244" t="s">
        <v>5193</v>
      </c>
      <c r="J244" t="s">
        <v>517</v>
      </c>
      <c r="K244" t="s">
        <v>74</v>
      </c>
      <c r="L244" t="s">
        <v>74</v>
      </c>
      <c r="M244" t="s">
        <v>78</v>
      </c>
      <c r="N244" t="s">
        <v>79</v>
      </c>
      <c r="O244" t="s">
        <v>74</v>
      </c>
      <c r="P244" t="s">
        <v>74</v>
      </c>
      <c r="Q244" t="s">
        <v>74</v>
      </c>
      <c r="R244" t="s">
        <v>74</v>
      </c>
      <c r="S244" t="s">
        <v>74</v>
      </c>
      <c r="T244" t="s">
        <v>5194</v>
      </c>
      <c r="U244" t="s">
        <v>5195</v>
      </c>
      <c r="V244" t="s">
        <v>5196</v>
      </c>
      <c r="W244" t="s">
        <v>5197</v>
      </c>
      <c r="X244" t="s">
        <v>5198</v>
      </c>
      <c r="Y244" t="s">
        <v>5199</v>
      </c>
      <c r="Z244" t="s">
        <v>5200</v>
      </c>
      <c r="AA244" t="s">
        <v>5201</v>
      </c>
      <c r="AB244" t="s">
        <v>5202</v>
      </c>
      <c r="AC244" t="s">
        <v>5203</v>
      </c>
      <c r="AD244" t="s">
        <v>5204</v>
      </c>
      <c r="AE244" t="s">
        <v>5205</v>
      </c>
      <c r="AF244" t="s">
        <v>74</v>
      </c>
      <c r="AG244">
        <v>36</v>
      </c>
      <c r="AH244">
        <v>1</v>
      </c>
      <c r="AI244">
        <v>1</v>
      </c>
      <c r="AJ244">
        <v>0</v>
      </c>
      <c r="AK244">
        <v>2</v>
      </c>
      <c r="AL244" t="s">
        <v>530</v>
      </c>
      <c r="AM244" t="s">
        <v>531</v>
      </c>
      <c r="AN244" t="s">
        <v>532</v>
      </c>
      <c r="AO244" t="s">
        <v>533</v>
      </c>
      <c r="AP244" t="s">
        <v>534</v>
      </c>
      <c r="AQ244" t="s">
        <v>74</v>
      </c>
      <c r="AR244" t="s">
        <v>535</v>
      </c>
      <c r="AS244" t="s">
        <v>536</v>
      </c>
      <c r="AT244" t="s">
        <v>537</v>
      </c>
      <c r="AU244">
        <v>2022</v>
      </c>
      <c r="AV244">
        <v>45</v>
      </c>
      <c r="AW244">
        <v>6</v>
      </c>
      <c r="AX244" t="s">
        <v>74</v>
      </c>
      <c r="AY244" t="s">
        <v>74</v>
      </c>
      <c r="AZ244" t="s">
        <v>74</v>
      </c>
      <c r="BA244" t="s">
        <v>74</v>
      </c>
      <c r="BB244">
        <v>1145</v>
      </c>
      <c r="BC244">
        <v>1149</v>
      </c>
      <c r="BD244" t="s">
        <v>74</v>
      </c>
      <c r="BE244" t="s">
        <v>5206</v>
      </c>
      <c r="BF244" t="str">
        <f>HYPERLINK("http://dx.doi.org/10.1007/s00300-022-03046-z","http://dx.doi.org/10.1007/s00300-022-03046-z")</f>
        <v>http://dx.doi.org/10.1007/s00300-022-03046-z</v>
      </c>
      <c r="BG244" t="s">
        <v>74</v>
      </c>
      <c r="BH244" t="s">
        <v>3111</v>
      </c>
      <c r="BI244">
        <v>5</v>
      </c>
      <c r="BJ244" t="s">
        <v>539</v>
      </c>
      <c r="BK244" t="s">
        <v>101</v>
      </c>
      <c r="BL244" t="s">
        <v>540</v>
      </c>
      <c r="BM244" t="s">
        <v>541</v>
      </c>
      <c r="BN244" t="s">
        <v>74</v>
      </c>
      <c r="BO244" t="s">
        <v>74</v>
      </c>
      <c r="BP244" t="s">
        <v>74</v>
      </c>
      <c r="BQ244" t="s">
        <v>74</v>
      </c>
      <c r="BR244" t="s">
        <v>103</v>
      </c>
      <c r="BS244" t="s">
        <v>5207</v>
      </c>
      <c r="BT244" t="str">
        <f>HYPERLINK("https%3A%2F%2Fwww.webofscience.com%2Fwos%2Fwoscc%2Ffull-record%2FWOS:000794083500001","View Full Record in Web of Science")</f>
        <v>View Full Record in Web of Science</v>
      </c>
    </row>
    <row r="245" spans="1:72" x14ac:dyDescent="0.15">
      <c r="A245" t="s">
        <v>72</v>
      </c>
      <c r="B245" t="s">
        <v>5208</v>
      </c>
      <c r="C245" t="s">
        <v>74</v>
      </c>
      <c r="D245" t="s">
        <v>74</v>
      </c>
      <c r="E245" t="s">
        <v>74</v>
      </c>
      <c r="F245" t="s">
        <v>5209</v>
      </c>
      <c r="G245" t="s">
        <v>74</v>
      </c>
      <c r="H245" t="s">
        <v>74</v>
      </c>
      <c r="I245" t="s">
        <v>5210</v>
      </c>
      <c r="J245" t="s">
        <v>5211</v>
      </c>
      <c r="K245" t="s">
        <v>74</v>
      </c>
      <c r="L245" t="s">
        <v>74</v>
      </c>
      <c r="M245" t="s">
        <v>78</v>
      </c>
      <c r="N245" t="s">
        <v>79</v>
      </c>
      <c r="O245" t="s">
        <v>74</v>
      </c>
      <c r="P245" t="s">
        <v>74</v>
      </c>
      <c r="Q245" t="s">
        <v>74</v>
      </c>
      <c r="R245" t="s">
        <v>74</v>
      </c>
      <c r="S245" t="s">
        <v>74</v>
      </c>
      <c r="T245" t="s">
        <v>74</v>
      </c>
      <c r="U245" t="s">
        <v>5212</v>
      </c>
      <c r="V245" t="s">
        <v>5213</v>
      </c>
      <c r="W245" t="s">
        <v>5214</v>
      </c>
      <c r="X245" t="s">
        <v>5215</v>
      </c>
      <c r="Y245" t="s">
        <v>5216</v>
      </c>
      <c r="Z245" t="s">
        <v>5217</v>
      </c>
      <c r="AA245" t="s">
        <v>5218</v>
      </c>
      <c r="AB245" t="s">
        <v>5219</v>
      </c>
      <c r="AC245" t="s">
        <v>5220</v>
      </c>
      <c r="AD245" t="s">
        <v>5221</v>
      </c>
      <c r="AE245" t="s">
        <v>5222</v>
      </c>
      <c r="AF245" t="s">
        <v>74</v>
      </c>
      <c r="AG245">
        <v>94</v>
      </c>
      <c r="AH245">
        <v>4</v>
      </c>
      <c r="AI245">
        <v>4</v>
      </c>
      <c r="AJ245">
        <v>0</v>
      </c>
      <c r="AK245">
        <v>9</v>
      </c>
      <c r="AL245" t="s">
        <v>530</v>
      </c>
      <c r="AM245" t="s">
        <v>1121</v>
      </c>
      <c r="AN245" t="s">
        <v>1122</v>
      </c>
      <c r="AO245" t="s">
        <v>5223</v>
      </c>
      <c r="AP245" t="s">
        <v>5224</v>
      </c>
      <c r="AQ245" t="s">
        <v>74</v>
      </c>
      <c r="AR245" t="s">
        <v>5225</v>
      </c>
      <c r="AS245" t="s">
        <v>5226</v>
      </c>
      <c r="AT245" t="s">
        <v>346</v>
      </c>
      <c r="AU245">
        <v>2022</v>
      </c>
      <c r="AV245">
        <v>99</v>
      </c>
      <c r="AW245">
        <v>4</v>
      </c>
      <c r="AX245" t="s">
        <v>74</v>
      </c>
      <c r="AY245" t="s">
        <v>74</v>
      </c>
      <c r="AZ245" t="s">
        <v>74</v>
      </c>
      <c r="BA245" t="s">
        <v>74</v>
      </c>
      <c r="BB245">
        <v>491</v>
      </c>
      <c r="BC245">
        <v>523</v>
      </c>
      <c r="BD245" t="s">
        <v>74</v>
      </c>
      <c r="BE245" t="s">
        <v>5227</v>
      </c>
      <c r="BF245" t="str">
        <f>HYPERLINK("http://dx.doi.org/10.1007/s11230-022-10041-9","http://dx.doi.org/10.1007/s11230-022-10041-9")</f>
        <v>http://dx.doi.org/10.1007/s11230-022-10041-9</v>
      </c>
      <c r="BG245" t="s">
        <v>74</v>
      </c>
      <c r="BH245" t="s">
        <v>3111</v>
      </c>
      <c r="BI245">
        <v>33</v>
      </c>
      <c r="BJ245" t="s">
        <v>5228</v>
      </c>
      <c r="BK245" t="s">
        <v>101</v>
      </c>
      <c r="BL245" t="s">
        <v>5228</v>
      </c>
      <c r="BM245" t="s">
        <v>5229</v>
      </c>
      <c r="BN245">
        <v>35553301</v>
      </c>
      <c r="BO245" t="s">
        <v>74</v>
      </c>
      <c r="BP245" t="s">
        <v>74</v>
      </c>
      <c r="BQ245" t="s">
        <v>74</v>
      </c>
      <c r="BR245" t="s">
        <v>103</v>
      </c>
      <c r="BS245" t="s">
        <v>5230</v>
      </c>
      <c r="BT245" t="str">
        <f>HYPERLINK("https%3A%2F%2Fwww.webofscience.com%2Fwos%2Fwoscc%2Ffull-record%2FWOS:000794102600002","View Full Record in Web of Science")</f>
        <v>View Full Record in Web of Science</v>
      </c>
    </row>
    <row r="246" spans="1:72" x14ac:dyDescent="0.15">
      <c r="A246" t="s">
        <v>72</v>
      </c>
      <c r="B246" t="s">
        <v>5231</v>
      </c>
      <c r="C246" t="s">
        <v>74</v>
      </c>
      <c r="D246" t="s">
        <v>74</v>
      </c>
      <c r="E246" t="s">
        <v>74</v>
      </c>
      <c r="F246" t="s">
        <v>5232</v>
      </c>
      <c r="G246" t="s">
        <v>74</v>
      </c>
      <c r="H246" t="s">
        <v>74</v>
      </c>
      <c r="I246" t="s">
        <v>5233</v>
      </c>
      <c r="J246" t="s">
        <v>3150</v>
      </c>
      <c r="K246" t="s">
        <v>74</v>
      </c>
      <c r="L246" t="s">
        <v>74</v>
      </c>
      <c r="M246" t="s">
        <v>78</v>
      </c>
      <c r="N246" t="s">
        <v>79</v>
      </c>
      <c r="O246" t="s">
        <v>74</v>
      </c>
      <c r="P246" t="s">
        <v>74</v>
      </c>
      <c r="Q246" t="s">
        <v>74</v>
      </c>
      <c r="R246" t="s">
        <v>74</v>
      </c>
      <c r="S246" t="s">
        <v>74</v>
      </c>
      <c r="T246" t="s">
        <v>5234</v>
      </c>
      <c r="U246" t="s">
        <v>5235</v>
      </c>
      <c r="V246" t="s">
        <v>5236</v>
      </c>
      <c r="W246" t="s">
        <v>5237</v>
      </c>
      <c r="X246" t="s">
        <v>5238</v>
      </c>
      <c r="Y246" t="s">
        <v>5239</v>
      </c>
      <c r="Z246" t="s">
        <v>5240</v>
      </c>
      <c r="AA246" t="s">
        <v>5241</v>
      </c>
      <c r="AB246" t="s">
        <v>5242</v>
      </c>
      <c r="AC246" t="s">
        <v>5243</v>
      </c>
      <c r="AD246" t="s">
        <v>5243</v>
      </c>
      <c r="AE246" t="s">
        <v>5244</v>
      </c>
      <c r="AF246" t="s">
        <v>74</v>
      </c>
      <c r="AG246">
        <v>51</v>
      </c>
      <c r="AH246">
        <v>0</v>
      </c>
      <c r="AI246">
        <v>0</v>
      </c>
      <c r="AJ246">
        <v>0</v>
      </c>
      <c r="AK246">
        <v>3</v>
      </c>
      <c r="AL246" t="s">
        <v>530</v>
      </c>
      <c r="AM246" t="s">
        <v>531</v>
      </c>
      <c r="AN246" t="s">
        <v>532</v>
      </c>
      <c r="AO246" t="s">
        <v>3162</v>
      </c>
      <c r="AP246" t="s">
        <v>3163</v>
      </c>
      <c r="AQ246" t="s">
        <v>74</v>
      </c>
      <c r="AR246" t="s">
        <v>3164</v>
      </c>
      <c r="AS246" t="s">
        <v>3165</v>
      </c>
      <c r="AT246" t="s">
        <v>3166</v>
      </c>
      <c r="AU246">
        <v>2023</v>
      </c>
      <c r="AV246">
        <v>60</v>
      </c>
      <c r="AW246" t="s">
        <v>3167</v>
      </c>
      <c r="AX246" t="s">
        <v>74</v>
      </c>
      <c r="AY246" t="s">
        <v>74</v>
      </c>
      <c r="AZ246" t="s">
        <v>74</v>
      </c>
      <c r="BA246" t="s">
        <v>74</v>
      </c>
      <c r="BB246">
        <v>87</v>
      </c>
      <c r="BC246">
        <v>107</v>
      </c>
      <c r="BD246" t="s">
        <v>74</v>
      </c>
      <c r="BE246" t="s">
        <v>5245</v>
      </c>
      <c r="BF246" t="str">
        <f>HYPERLINK("http://dx.doi.org/10.1007/s00382-022-06304-2","http://dx.doi.org/10.1007/s00382-022-06304-2")</f>
        <v>http://dx.doi.org/10.1007/s00382-022-06304-2</v>
      </c>
      <c r="BG246" t="s">
        <v>74</v>
      </c>
      <c r="BH246" t="s">
        <v>3111</v>
      </c>
      <c r="BI246">
        <v>21</v>
      </c>
      <c r="BJ246" t="s">
        <v>510</v>
      </c>
      <c r="BK246" t="s">
        <v>101</v>
      </c>
      <c r="BL246" t="s">
        <v>510</v>
      </c>
      <c r="BM246" t="s">
        <v>3169</v>
      </c>
      <c r="BN246" t="s">
        <v>74</v>
      </c>
      <c r="BO246" t="s">
        <v>643</v>
      </c>
      <c r="BP246" t="s">
        <v>74</v>
      </c>
      <c r="BQ246" t="s">
        <v>74</v>
      </c>
      <c r="BR246" t="s">
        <v>103</v>
      </c>
      <c r="BS246" t="s">
        <v>5246</v>
      </c>
      <c r="BT246" t="str">
        <f>HYPERLINK("https%3A%2F%2Fwww.webofscience.com%2Fwos%2Fwoscc%2Ffull-record%2FWOS:000793653300001","View Full Record in Web of Science")</f>
        <v>View Full Record in Web of Science</v>
      </c>
    </row>
    <row r="247" spans="1:72" x14ac:dyDescent="0.15">
      <c r="A247" t="s">
        <v>72</v>
      </c>
      <c r="B247" t="s">
        <v>5247</v>
      </c>
      <c r="C247" t="s">
        <v>74</v>
      </c>
      <c r="D247" t="s">
        <v>74</v>
      </c>
      <c r="E247" t="s">
        <v>74</v>
      </c>
      <c r="F247" t="s">
        <v>5248</v>
      </c>
      <c r="G247" t="s">
        <v>74</v>
      </c>
      <c r="H247" t="s">
        <v>74</v>
      </c>
      <c r="I247" t="s">
        <v>5249</v>
      </c>
      <c r="J247" t="s">
        <v>595</v>
      </c>
      <c r="K247" t="s">
        <v>74</v>
      </c>
      <c r="L247" t="s">
        <v>74</v>
      </c>
      <c r="M247" t="s">
        <v>78</v>
      </c>
      <c r="N247" t="s">
        <v>596</v>
      </c>
      <c r="O247" t="s">
        <v>74</v>
      </c>
      <c r="P247" t="s">
        <v>74</v>
      </c>
      <c r="Q247" t="s">
        <v>74</v>
      </c>
      <c r="R247" t="s">
        <v>74</v>
      </c>
      <c r="S247" t="s">
        <v>74</v>
      </c>
      <c r="T247" t="s">
        <v>74</v>
      </c>
      <c r="U247" t="s">
        <v>5250</v>
      </c>
      <c r="V247" t="s">
        <v>5251</v>
      </c>
      <c r="W247" t="s">
        <v>5252</v>
      </c>
      <c r="X247" t="s">
        <v>5253</v>
      </c>
      <c r="Y247" t="s">
        <v>5254</v>
      </c>
      <c r="Z247" t="s">
        <v>5255</v>
      </c>
      <c r="AA247" t="s">
        <v>5256</v>
      </c>
      <c r="AB247" t="s">
        <v>5257</v>
      </c>
      <c r="AC247" t="s">
        <v>5258</v>
      </c>
      <c r="AD247" t="s">
        <v>5259</v>
      </c>
      <c r="AE247" t="s">
        <v>5260</v>
      </c>
      <c r="AF247" t="s">
        <v>74</v>
      </c>
      <c r="AG247">
        <v>106</v>
      </c>
      <c r="AH247">
        <v>10</v>
      </c>
      <c r="AI247">
        <v>12</v>
      </c>
      <c r="AJ247">
        <v>0</v>
      </c>
      <c r="AK247">
        <v>8</v>
      </c>
      <c r="AL247" t="s">
        <v>117</v>
      </c>
      <c r="AM247" t="s">
        <v>118</v>
      </c>
      <c r="AN247" t="s">
        <v>119</v>
      </c>
      <c r="AO247" t="s">
        <v>608</v>
      </c>
      <c r="AP247" t="s">
        <v>609</v>
      </c>
      <c r="AQ247" t="s">
        <v>74</v>
      </c>
      <c r="AR247" t="s">
        <v>610</v>
      </c>
      <c r="AS247" t="s">
        <v>611</v>
      </c>
      <c r="AT247" t="s">
        <v>5018</v>
      </c>
      <c r="AU247">
        <v>2022</v>
      </c>
      <c r="AV247">
        <v>14</v>
      </c>
      <c r="AW247">
        <v>5</v>
      </c>
      <c r="AX247" t="s">
        <v>74</v>
      </c>
      <c r="AY247" t="s">
        <v>74</v>
      </c>
      <c r="AZ247" t="s">
        <v>74</v>
      </c>
      <c r="BA247" t="s">
        <v>74</v>
      </c>
      <c r="BB247">
        <v>2209</v>
      </c>
      <c r="BC247">
        <v>2238</v>
      </c>
      <c r="BD247" t="s">
        <v>74</v>
      </c>
      <c r="BE247" t="s">
        <v>5261</v>
      </c>
      <c r="BF247" t="str">
        <f>HYPERLINK("http://dx.doi.org/10.5194/essd-14-2209-2022","http://dx.doi.org/10.5194/essd-14-2209-2022")</f>
        <v>http://dx.doi.org/10.5194/essd-14-2209-2022</v>
      </c>
      <c r="BG247" t="s">
        <v>74</v>
      </c>
      <c r="BH247" t="s">
        <v>74</v>
      </c>
      <c r="BI247">
        <v>30</v>
      </c>
      <c r="BJ247" t="s">
        <v>613</v>
      </c>
      <c r="BK247" t="s">
        <v>101</v>
      </c>
      <c r="BL247" t="s">
        <v>614</v>
      </c>
      <c r="BM247" t="s">
        <v>5262</v>
      </c>
      <c r="BN247" t="s">
        <v>74</v>
      </c>
      <c r="BO247" t="s">
        <v>128</v>
      </c>
      <c r="BP247" t="s">
        <v>74</v>
      </c>
      <c r="BQ247" t="s">
        <v>74</v>
      </c>
      <c r="BR247" t="s">
        <v>103</v>
      </c>
      <c r="BS247" t="s">
        <v>5263</v>
      </c>
      <c r="BT247" t="str">
        <f>HYPERLINK("https%3A%2F%2Fwww.webofscience.com%2Fwos%2Fwoscc%2Ffull-record%2FWOS:000793451100001","View Full Record in Web of Science")</f>
        <v>View Full Record in Web of Science</v>
      </c>
    </row>
    <row r="248" spans="1:72" x14ac:dyDescent="0.15">
      <c r="A248" t="s">
        <v>72</v>
      </c>
      <c r="B248" t="s">
        <v>5264</v>
      </c>
      <c r="C248" t="s">
        <v>74</v>
      </c>
      <c r="D248" t="s">
        <v>74</v>
      </c>
      <c r="E248" t="s">
        <v>74</v>
      </c>
      <c r="F248" t="s">
        <v>5265</v>
      </c>
      <c r="G248" t="s">
        <v>74</v>
      </c>
      <c r="H248" t="s">
        <v>74</v>
      </c>
      <c r="I248" t="s">
        <v>5266</v>
      </c>
      <c r="J248" t="s">
        <v>3260</v>
      </c>
      <c r="K248" t="s">
        <v>74</v>
      </c>
      <c r="L248" t="s">
        <v>74</v>
      </c>
      <c r="M248" t="s">
        <v>78</v>
      </c>
      <c r="N248" t="s">
        <v>79</v>
      </c>
      <c r="O248" t="s">
        <v>74</v>
      </c>
      <c r="P248" t="s">
        <v>74</v>
      </c>
      <c r="Q248" t="s">
        <v>74</v>
      </c>
      <c r="R248" t="s">
        <v>74</v>
      </c>
      <c r="S248" t="s">
        <v>74</v>
      </c>
      <c r="T248" t="s">
        <v>5267</v>
      </c>
      <c r="U248" t="s">
        <v>5268</v>
      </c>
      <c r="V248" t="s">
        <v>5269</v>
      </c>
      <c r="W248" t="s">
        <v>5270</v>
      </c>
      <c r="X248" t="s">
        <v>5271</v>
      </c>
      <c r="Y248" t="s">
        <v>5272</v>
      </c>
      <c r="Z248" t="s">
        <v>5273</v>
      </c>
      <c r="AA248" t="s">
        <v>5274</v>
      </c>
      <c r="AB248" t="s">
        <v>5275</v>
      </c>
      <c r="AC248" t="s">
        <v>5276</v>
      </c>
      <c r="AD248" t="s">
        <v>5277</v>
      </c>
      <c r="AE248" t="s">
        <v>5278</v>
      </c>
      <c r="AF248" t="s">
        <v>74</v>
      </c>
      <c r="AG248">
        <v>59</v>
      </c>
      <c r="AH248">
        <v>3</v>
      </c>
      <c r="AI248">
        <v>3</v>
      </c>
      <c r="AJ248">
        <v>0</v>
      </c>
      <c r="AK248">
        <v>4</v>
      </c>
      <c r="AL248" t="s">
        <v>257</v>
      </c>
      <c r="AM248" t="s">
        <v>258</v>
      </c>
      <c r="AN248" t="s">
        <v>259</v>
      </c>
      <c r="AO248" t="s">
        <v>3273</v>
      </c>
      <c r="AP248" t="s">
        <v>3274</v>
      </c>
      <c r="AQ248" t="s">
        <v>74</v>
      </c>
      <c r="AR248" t="s">
        <v>3275</v>
      </c>
      <c r="AS248" t="s">
        <v>3276</v>
      </c>
      <c r="AT248" t="s">
        <v>3234</v>
      </c>
      <c r="AU248">
        <v>2022</v>
      </c>
      <c r="AV248">
        <v>589</v>
      </c>
      <c r="AW248" t="s">
        <v>74</v>
      </c>
      <c r="AX248" t="s">
        <v>74</v>
      </c>
      <c r="AY248" t="s">
        <v>74</v>
      </c>
      <c r="AZ248" t="s">
        <v>74</v>
      </c>
      <c r="BA248" t="s">
        <v>74</v>
      </c>
      <c r="BB248" t="s">
        <v>74</v>
      </c>
      <c r="BC248" t="s">
        <v>74</v>
      </c>
      <c r="BD248">
        <v>117552</v>
      </c>
      <c r="BE248" t="s">
        <v>5279</v>
      </c>
      <c r="BF248" t="str">
        <f>HYPERLINK("http://dx.doi.org/10.1016/j.epsl.2022.117552","http://dx.doi.org/10.1016/j.epsl.2022.117552")</f>
        <v>http://dx.doi.org/10.1016/j.epsl.2022.117552</v>
      </c>
      <c r="BG248" t="s">
        <v>74</v>
      </c>
      <c r="BH248" t="s">
        <v>3111</v>
      </c>
      <c r="BI248">
        <v>11</v>
      </c>
      <c r="BJ248" t="s">
        <v>2144</v>
      </c>
      <c r="BK248" t="s">
        <v>101</v>
      </c>
      <c r="BL248" t="s">
        <v>2144</v>
      </c>
      <c r="BM248" t="s">
        <v>5280</v>
      </c>
      <c r="BN248" t="s">
        <v>74</v>
      </c>
      <c r="BO248" t="s">
        <v>267</v>
      </c>
      <c r="BP248" t="s">
        <v>74</v>
      </c>
      <c r="BQ248" t="s">
        <v>74</v>
      </c>
      <c r="BR248" t="s">
        <v>103</v>
      </c>
      <c r="BS248" t="s">
        <v>5281</v>
      </c>
      <c r="BT248" t="str">
        <f>HYPERLINK("https%3A%2F%2Fwww.webofscience.com%2Fwos%2Fwoscc%2Ffull-record%2FWOS:000831563400001","View Full Record in Web of Science")</f>
        <v>View Full Record in Web of Science</v>
      </c>
    </row>
    <row r="249" spans="1:72" x14ac:dyDescent="0.15">
      <c r="A249" t="s">
        <v>72</v>
      </c>
      <c r="B249" t="s">
        <v>5282</v>
      </c>
      <c r="C249" t="s">
        <v>74</v>
      </c>
      <c r="D249" t="s">
        <v>74</v>
      </c>
      <c r="E249" t="s">
        <v>74</v>
      </c>
      <c r="F249" t="s">
        <v>5283</v>
      </c>
      <c r="G249" t="s">
        <v>74</v>
      </c>
      <c r="H249" t="s">
        <v>74</v>
      </c>
      <c r="I249" t="s">
        <v>5284</v>
      </c>
      <c r="J249" t="s">
        <v>5285</v>
      </c>
      <c r="K249" t="s">
        <v>74</v>
      </c>
      <c r="L249" t="s">
        <v>74</v>
      </c>
      <c r="M249" t="s">
        <v>78</v>
      </c>
      <c r="N249" t="s">
        <v>79</v>
      </c>
      <c r="O249" t="s">
        <v>74</v>
      </c>
      <c r="P249" t="s">
        <v>74</v>
      </c>
      <c r="Q249" t="s">
        <v>74</v>
      </c>
      <c r="R249" t="s">
        <v>74</v>
      </c>
      <c r="S249" t="s">
        <v>74</v>
      </c>
      <c r="T249" t="s">
        <v>5286</v>
      </c>
      <c r="U249" t="s">
        <v>5287</v>
      </c>
      <c r="V249" t="s">
        <v>5288</v>
      </c>
      <c r="W249" t="s">
        <v>5289</v>
      </c>
      <c r="X249" t="s">
        <v>5290</v>
      </c>
      <c r="Y249" t="s">
        <v>5291</v>
      </c>
      <c r="Z249" t="s">
        <v>5292</v>
      </c>
      <c r="AA249" t="s">
        <v>5293</v>
      </c>
      <c r="AB249" t="s">
        <v>5294</v>
      </c>
      <c r="AC249" t="s">
        <v>5295</v>
      </c>
      <c r="AD249" t="s">
        <v>5296</v>
      </c>
      <c r="AE249" t="s">
        <v>5297</v>
      </c>
      <c r="AF249" t="s">
        <v>74</v>
      </c>
      <c r="AG249">
        <v>40</v>
      </c>
      <c r="AH249">
        <v>2</v>
      </c>
      <c r="AI249">
        <v>2</v>
      </c>
      <c r="AJ249">
        <v>2</v>
      </c>
      <c r="AK249">
        <v>8</v>
      </c>
      <c r="AL249" t="s">
        <v>5298</v>
      </c>
      <c r="AM249" t="s">
        <v>5299</v>
      </c>
      <c r="AN249" t="s">
        <v>5300</v>
      </c>
      <c r="AO249" t="s">
        <v>5301</v>
      </c>
      <c r="AP249" t="s">
        <v>5302</v>
      </c>
      <c r="AQ249" t="s">
        <v>74</v>
      </c>
      <c r="AR249" t="s">
        <v>5285</v>
      </c>
      <c r="AS249" t="s">
        <v>5303</v>
      </c>
      <c r="AT249" t="s">
        <v>5304</v>
      </c>
      <c r="AU249">
        <v>2022</v>
      </c>
      <c r="AV249" t="s">
        <v>74</v>
      </c>
      <c r="AW249">
        <v>195</v>
      </c>
      <c r="AX249" t="s">
        <v>74</v>
      </c>
      <c r="AY249" t="s">
        <v>74</v>
      </c>
      <c r="AZ249" t="s">
        <v>74</v>
      </c>
      <c r="BA249" t="s">
        <v>74</v>
      </c>
      <c r="BB249">
        <v>161</v>
      </c>
      <c r="BC249">
        <v>174</v>
      </c>
      <c r="BD249" t="s">
        <v>74</v>
      </c>
      <c r="BE249" t="s">
        <v>5305</v>
      </c>
      <c r="BF249" t="str">
        <f>HYPERLINK("http://dx.doi.org/10.3897/phytokeys.195.81632","http://dx.doi.org/10.3897/phytokeys.195.81632")</f>
        <v>http://dx.doi.org/10.3897/phytokeys.195.81632</v>
      </c>
      <c r="BG249" t="s">
        <v>74</v>
      </c>
      <c r="BH249" t="s">
        <v>74</v>
      </c>
      <c r="BI249">
        <v>14</v>
      </c>
      <c r="BJ249" t="s">
        <v>1649</v>
      </c>
      <c r="BK249" t="s">
        <v>101</v>
      </c>
      <c r="BL249" t="s">
        <v>1649</v>
      </c>
      <c r="BM249" t="s">
        <v>5306</v>
      </c>
      <c r="BN249">
        <v>36761358</v>
      </c>
      <c r="BO249" t="s">
        <v>295</v>
      </c>
      <c r="BP249" t="s">
        <v>74</v>
      </c>
      <c r="BQ249" t="s">
        <v>74</v>
      </c>
      <c r="BR249" t="s">
        <v>103</v>
      </c>
      <c r="BS249" t="s">
        <v>5307</v>
      </c>
      <c r="BT249" t="str">
        <f>HYPERLINK("https%3A%2F%2Fwww.webofscience.com%2Fwos%2Fwoscc%2Ffull-record%2FWOS:000805766300002","View Full Record in Web of Science")</f>
        <v>View Full Record in Web of Science</v>
      </c>
    </row>
    <row r="250" spans="1:72" x14ac:dyDescent="0.15">
      <c r="A250" t="s">
        <v>72</v>
      </c>
      <c r="B250" t="s">
        <v>5308</v>
      </c>
      <c r="C250" t="s">
        <v>74</v>
      </c>
      <c r="D250" t="s">
        <v>74</v>
      </c>
      <c r="E250" t="s">
        <v>74</v>
      </c>
      <c r="F250" t="s">
        <v>5309</v>
      </c>
      <c r="G250" t="s">
        <v>74</v>
      </c>
      <c r="H250" t="s">
        <v>74</v>
      </c>
      <c r="I250" t="s">
        <v>5310</v>
      </c>
      <c r="J250" t="s">
        <v>1154</v>
      </c>
      <c r="K250" t="s">
        <v>74</v>
      </c>
      <c r="L250" t="s">
        <v>74</v>
      </c>
      <c r="M250" t="s">
        <v>78</v>
      </c>
      <c r="N250" t="s">
        <v>79</v>
      </c>
      <c r="O250" t="s">
        <v>74</v>
      </c>
      <c r="P250" t="s">
        <v>74</v>
      </c>
      <c r="Q250" t="s">
        <v>74</v>
      </c>
      <c r="R250" t="s">
        <v>74</v>
      </c>
      <c r="S250" t="s">
        <v>74</v>
      </c>
      <c r="T250" t="s">
        <v>5311</v>
      </c>
      <c r="U250" t="s">
        <v>5312</v>
      </c>
      <c r="V250" t="s">
        <v>5313</v>
      </c>
      <c r="W250" t="s">
        <v>5314</v>
      </c>
      <c r="X250" t="s">
        <v>5315</v>
      </c>
      <c r="Y250" t="s">
        <v>5316</v>
      </c>
      <c r="Z250" t="s">
        <v>5317</v>
      </c>
      <c r="AA250" t="s">
        <v>5318</v>
      </c>
      <c r="AB250" t="s">
        <v>5319</v>
      </c>
      <c r="AC250" t="s">
        <v>5320</v>
      </c>
      <c r="AD250" t="s">
        <v>5321</v>
      </c>
      <c r="AE250" t="s">
        <v>5322</v>
      </c>
      <c r="AF250" t="s">
        <v>74</v>
      </c>
      <c r="AG250">
        <v>104</v>
      </c>
      <c r="AH250">
        <v>3</v>
      </c>
      <c r="AI250">
        <v>3</v>
      </c>
      <c r="AJ250">
        <v>1</v>
      </c>
      <c r="AK250">
        <v>6</v>
      </c>
      <c r="AL250" t="s">
        <v>199</v>
      </c>
      <c r="AM250" t="s">
        <v>200</v>
      </c>
      <c r="AN250" t="s">
        <v>201</v>
      </c>
      <c r="AO250" t="s">
        <v>1167</v>
      </c>
      <c r="AP250" t="s">
        <v>1168</v>
      </c>
      <c r="AQ250" t="s">
        <v>74</v>
      </c>
      <c r="AR250" t="s">
        <v>1169</v>
      </c>
      <c r="AS250" t="s">
        <v>1170</v>
      </c>
      <c r="AT250" t="s">
        <v>3999</v>
      </c>
      <c r="AU250">
        <v>2022</v>
      </c>
      <c r="AV250">
        <v>286</v>
      </c>
      <c r="AW250" t="s">
        <v>74</v>
      </c>
      <c r="AX250" t="s">
        <v>74</v>
      </c>
      <c r="AY250" t="s">
        <v>74</v>
      </c>
      <c r="AZ250" t="s">
        <v>74</v>
      </c>
      <c r="BA250" t="s">
        <v>74</v>
      </c>
      <c r="BB250" t="s">
        <v>74</v>
      </c>
      <c r="BC250" t="s">
        <v>74</v>
      </c>
      <c r="BD250">
        <v>107527</v>
      </c>
      <c r="BE250" t="s">
        <v>5323</v>
      </c>
      <c r="BF250" t="str">
        <f>HYPERLINK("http://dx.doi.org/10.1016/j.quascirev.2022.107527","http://dx.doi.org/10.1016/j.quascirev.2022.107527")</f>
        <v>http://dx.doi.org/10.1016/j.quascirev.2022.107527</v>
      </c>
      <c r="BG250" t="s">
        <v>74</v>
      </c>
      <c r="BH250" t="s">
        <v>3111</v>
      </c>
      <c r="BI250">
        <v>14</v>
      </c>
      <c r="BJ250" t="s">
        <v>125</v>
      </c>
      <c r="BK250" t="s">
        <v>101</v>
      </c>
      <c r="BL250" t="s">
        <v>126</v>
      </c>
      <c r="BM250" t="s">
        <v>4538</v>
      </c>
      <c r="BN250" t="s">
        <v>74</v>
      </c>
      <c r="BO250" t="s">
        <v>267</v>
      </c>
      <c r="BP250" t="s">
        <v>74</v>
      </c>
      <c r="BQ250" t="s">
        <v>74</v>
      </c>
      <c r="BR250" t="s">
        <v>103</v>
      </c>
      <c r="BS250" t="s">
        <v>5324</v>
      </c>
      <c r="BT250" t="str">
        <f>HYPERLINK("https%3A%2F%2Fwww.webofscience.com%2Fwos%2Fwoscc%2Ffull-record%2FWOS:000803954700005","View Full Record in Web of Science")</f>
        <v>View Full Record in Web of Science</v>
      </c>
    </row>
    <row r="251" spans="1:72" x14ac:dyDescent="0.15">
      <c r="A251" t="s">
        <v>72</v>
      </c>
      <c r="B251" t="s">
        <v>5325</v>
      </c>
      <c r="C251" t="s">
        <v>74</v>
      </c>
      <c r="D251" t="s">
        <v>74</v>
      </c>
      <c r="E251" t="s">
        <v>74</v>
      </c>
      <c r="F251" t="s">
        <v>5326</v>
      </c>
      <c r="G251" t="s">
        <v>74</v>
      </c>
      <c r="H251" t="s">
        <v>74</v>
      </c>
      <c r="I251" t="s">
        <v>5327</v>
      </c>
      <c r="J251" t="s">
        <v>5328</v>
      </c>
      <c r="K251" t="s">
        <v>74</v>
      </c>
      <c r="L251" t="s">
        <v>74</v>
      </c>
      <c r="M251" t="s">
        <v>78</v>
      </c>
      <c r="N251" t="s">
        <v>79</v>
      </c>
      <c r="O251" t="s">
        <v>74</v>
      </c>
      <c r="P251" t="s">
        <v>74</v>
      </c>
      <c r="Q251" t="s">
        <v>74</v>
      </c>
      <c r="R251" t="s">
        <v>74</v>
      </c>
      <c r="S251" t="s">
        <v>74</v>
      </c>
      <c r="T251" t="s">
        <v>5329</v>
      </c>
      <c r="U251" t="s">
        <v>5330</v>
      </c>
      <c r="V251" t="s">
        <v>5331</v>
      </c>
      <c r="W251" t="s">
        <v>5332</v>
      </c>
      <c r="X251" t="s">
        <v>5333</v>
      </c>
      <c r="Y251" t="s">
        <v>5334</v>
      </c>
      <c r="Z251" t="s">
        <v>5335</v>
      </c>
      <c r="AA251" t="s">
        <v>5336</v>
      </c>
      <c r="AB251" t="s">
        <v>5337</v>
      </c>
      <c r="AC251" t="s">
        <v>5338</v>
      </c>
      <c r="AD251" t="s">
        <v>5339</v>
      </c>
      <c r="AE251" t="s">
        <v>5340</v>
      </c>
      <c r="AF251" t="s">
        <v>74</v>
      </c>
      <c r="AG251">
        <v>63</v>
      </c>
      <c r="AH251">
        <v>0</v>
      </c>
      <c r="AI251">
        <v>0</v>
      </c>
      <c r="AJ251">
        <v>1</v>
      </c>
      <c r="AK251">
        <v>9</v>
      </c>
      <c r="AL251" t="s">
        <v>530</v>
      </c>
      <c r="AM251" t="s">
        <v>1121</v>
      </c>
      <c r="AN251" t="s">
        <v>1122</v>
      </c>
      <c r="AO251" t="s">
        <v>5341</v>
      </c>
      <c r="AP251" t="s">
        <v>5342</v>
      </c>
      <c r="AQ251" t="s">
        <v>74</v>
      </c>
      <c r="AR251" t="s">
        <v>5343</v>
      </c>
      <c r="AS251" t="s">
        <v>5344</v>
      </c>
      <c r="AT251" t="s">
        <v>150</v>
      </c>
      <c r="AU251">
        <v>2022</v>
      </c>
      <c r="AV251">
        <v>24</v>
      </c>
      <c r="AW251">
        <v>9</v>
      </c>
      <c r="AX251" t="s">
        <v>74</v>
      </c>
      <c r="AY251" t="s">
        <v>74</v>
      </c>
      <c r="AZ251" t="s">
        <v>74</v>
      </c>
      <c r="BA251" t="s">
        <v>74</v>
      </c>
      <c r="BB251">
        <v>2795</v>
      </c>
      <c r="BC251">
        <v>2808</v>
      </c>
      <c r="BD251" t="s">
        <v>74</v>
      </c>
      <c r="BE251" t="s">
        <v>5345</v>
      </c>
      <c r="BF251" t="str">
        <f>HYPERLINK("http://dx.doi.org/10.1007/s10530-022-02806-6","http://dx.doi.org/10.1007/s10530-022-02806-6")</f>
        <v>http://dx.doi.org/10.1007/s10530-022-02806-6</v>
      </c>
      <c r="BG251" t="s">
        <v>74</v>
      </c>
      <c r="BH251" t="s">
        <v>3111</v>
      </c>
      <c r="BI251">
        <v>14</v>
      </c>
      <c r="BJ251" t="s">
        <v>539</v>
      </c>
      <c r="BK251" t="s">
        <v>101</v>
      </c>
      <c r="BL251" t="s">
        <v>540</v>
      </c>
      <c r="BM251" t="s">
        <v>5346</v>
      </c>
      <c r="BN251" t="s">
        <v>74</v>
      </c>
      <c r="BO251" t="s">
        <v>74</v>
      </c>
      <c r="BP251" t="s">
        <v>74</v>
      </c>
      <c r="BQ251" t="s">
        <v>74</v>
      </c>
      <c r="BR251" t="s">
        <v>103</v>
      </c>
      <c r="BS251" t="s">
        <v>5347</v>
      </c>
      <c r="BT251" t="str">
        <f>HYPERLINK("https%3A%2F%2Fwww.webofscience.com%2Fwos%2Fwoscc%2Ffull-record%2FWOS:000793617700002","View Full Record in Web of Science")</f>
        <v>View Full Record in Web of Science</v>
      </c>
    </row>
    <row r="252" spans="1:72" x14ac:dyDescent="0.15">
      <c r="A252" t="s">
        <v>72</v>
      </c>
      <c r="B252" t="s">
        <v>5348</v>
      </c>
      <c r="C252" t="s">
        <v>74</v>
      </c>
      <c r="D252" t="s">
        <v>74</v>
      </c>
      <c r="E252" t="s">
        <v>74</v>
      </c>
      <c r="F252" t="s">
        <v>5349</v>
      </c>
      <c r="G252" t="s">
        <v>74</v>
      </c>
      <c r="H252" t="s">
        <v>74</v>
      </c>
      <c r="I252" t="s">
        <v>5350</v>
      </c>
      <c r="J252" t="s">
        <v>3751</v>
      </c>
      <c r="K252" t="s">
        <v>74</v>
      </c>
      <c r="L252" t="s">
        <v>74</v>
      </c>
      <c r="M252" t="s">
        <v>78</v>
      </c>
      <c r="N252" t="s">
        <v>79</v>
      </c>
      <c r="O252" t="s">
        <v>74</v>
      </c>
      <c r="P252" t="s">
        <v>74</v>
      </c>
      <c r="Q252" t="s">
        <v>74</v>
      </c>
      <c r="R252" t="s">
        <v>74</v>
      </c>
      <c r="S252" t="s">
        <v>74</v>
      </c>
      <c r="T252" t="s">
        <v>5351</v>
      </c>
      <c r="U252" t="s">
        <v>5352</v>
      </c>
      <c r="V252" t="s">
        <v>5353</v>
      </c>
      <c r="W252" t="s">
        <v>5354</v>
      </c>
      <c r="X252" t="s">
        <v>74</v>
      </c>
      <c r="Y252" t="s">
        <v>5355</v>
      </c>
      <c r="Z252" t="s">
        <v>5356</v>
      </c>
      <c r="AA252" t="s">
        <v>5357</v>
      </c>
      <c r="AB252" t="s">
        <v>5358</v>
      </c>
      <c r="AC252" t="s">
        <v>5359</v>
      </c>
      <c r="AD252" t="s">
        <v>5359</v>
      </c>
      <c r="AE252" t="s">
        <v>5360</v>
      </c>
      <c r="AF252" t="s">
        <v>74</v>
      </c>
      <c r="AG252">
        <v>78</v>
      </c>
      <c r="AH252">
        <v>2</v>
      </c>
      <c r="AI252">
        <v>2</v>
      </c>
      <c r="AJ252">
        <v>2</v>
      </c>
      <c r="AK252">
        <v>12</v>
      </c>
      <c r="AL252" t="s">
        <v>91</v>
      </c>
      <c r="AM252" t="s">
        <v>92</v>
      </c>
      <c r="AN252" t="s">
        <v>93</v>
      </c>
      <c r="AO252" t="s">
        <v>3763</v>
      </c>
      <c r="AP252" t="s">
        <v>3764</v>
      </c>
      <c r="AQ252" t="s">
        <v>74</v>
      </c>
      <c r="AR252" t="s">
        <v>3765</v>
      </c>
      <c r="AS252" t="s">
        <v>3766</v>
      </c>
      <c r="AT252" t="s">
        <v>5361</v>
      </c>
      <c r="AU252">
        <v>2022</v>
      </c>
      <c r="AV252">
        <v>42</v>
      </c>
      <c r="AW252">
        <v>14</v>
      </c>
      <c r="AX252" t="s">
        <v>74</v>
      </c>
      <c r="AY252" t="s">
        <v>74</v>
      </c>
      <c r="AZ252" t="s">
        <v>74</v>
      </c>
      <c r="BA252" t="s">
        <v>74</v>
      </c>
      <c r="BB252">
        <v>7426</v>
      </c>
      <c r="BC252">
        <v>7442</v>
      </c>
      <c r="BD252" t="s">
        <v>74</v>
      </c>
      <c r="BE252" t="s">
        <v>5362</v>
      </c>
      <c r="BF252" t="str">
        <f>HYPERLINK("http://dx.doi.org/10.1002/joc.7661","http://dx.doi.org/10.1002/joc.7661")</f>
        <v>http://dx.doi.org/10.1002/joc.7661</v>
      </c>
      <c r="BG252" t="s">
        <v>74</v>
      </c>
      <c r="BH252" t="s">
        <v>3111</v>
      </c>
      <c r="BI252">
        <v>17</v>
      </c>
      <c r="BJ252" t="s">
        <v>510</v>
      </c>
      <c r="BK252" t="s">
        <v>101</v>
      </c>
      <c r="BL252" t="s">
        <v>510</v>
      </c>
      <c r="BM252" t="s">
        <v>5363</v>
      </c>
      <c r="BN252" t="s">
        <v>74</v>
      </c>
      <c r="BO252" t="s">
        <v>74</v>
      </c>
      <c r="BP252" t="s">
        <v>74</v>
      </c>
      <c r="BQ252" t="s">
        <v>74</v>
      </c>
      <c r="BR252" t="s">
        <v>103</v>
      </c>
      <c r="BS252" t="s">
        <v>5364</v>
      </c>
      <c r="BT252" t="str">
        <f>HYPERLINK("https%3A%2F%2Fwww.webofscience.com%2Fwos%2Fwoscc%2Ffull-record%2FWOS:000793445600001","View Full Record in Web of Science")</f>
        <v>View Full Record in Web of Science</v>
      </c>
    </row>
    <row r="253" spans="1:72" x14ac:dyDescent="0.15">
      <c r="A253" t="s">
        <v>72</v>
      </c>
      <c r="B253" t="s">
        <v>5365</v>
      </c>
      <c r="C253" t="s">
        <v>74</v>
      </c>
      <c r="D253" t="s">
        <v>74</v>
      </c>
      <c r="E253" t="s">
        <v>74</v>
      </c>
      <c r="F253" t="s">
        <v>5366</v>
      </c>
      <c r="G253" t="s">
        <v>74</v>
      </c>
      <c r="H253" t="s">
        <v>74</v>
      </c>
      <c r="I253" t="s">
        <v>5367</v>
      </c>
      <c r="J253" t="s">
        <v>108</v>
      </c>
      <c r="K253" t="s">
        <v>74</v>
      </c>
      <c r="L253" t="s">
        <v>74</v>
      </c>
      <c r="M253" t="s">
        <v>78</v>
      </c>
      <c r="N253" t="s">
        <v>79</v>
      </c>
      <c r="O253" t="s">
        <v>74</v>
      </c>
      <c r="P253" t="s">
        <v>74</v>
      </c>
      <c r="Q253" t="s">
        <v>74</v>
      </c>
      <c r="R253" t="s">
        <v>74</v>
      </c>
      <c r="S253" t="s">
        <v>74</v>
      </c>
      <c r="T253" t="s">
        <v>74</v>
      </c>
      <c r="U253" t="s">
        <v>74</v>
      </c>
      <c r="V253" t="s">
        <v>5368</v>
      </c>
      <c r="W253" t="s">
        <v>5369</v>
      </c>
      <c r="X253" t="s">
        <v>5370</v>
      </c>
      <c r="Y253" t="s">
        <v>5371</v>
      </c>
      <c r="Z253" t="s">
        <v>5372</v>
      </c>
      <c r="AA253" t="s">
        <v>74</v>
      </c>
      <c r="AB253" t="s">
        <v>5373</v>
      </c>
      <c r="AC253" t="s">
        <v>5374</v>
      </c>
      <c r="AD253" t="s">
        <v>5375</v>
      </c>
      <c r="AE253" t="s">
        <v>5376</v>
      </c>
      <c r="AF253" t="s">
        <v>74</v>
      </c>
      <c r="AG253">
        <v>70</v>
      </c>
      <c r="AH253">
        <v>5</v>
      </c>
      <c r="AI253">
        <v>5</v>
      </c>
      <c r="AJ253">
        <v>6</v>
      </c>
      <c r="AK253">
        <v>18</v>
      </c>
      <c r="AL253" t="s">
        <v>117</v>
      </c>
      <c r="AM253" t="s">
        <v>118</v>
      </c>
      <c r="AN253" t="s">
        <v>119</v>
      </c>
      <c r="AO253" t="s">
        <v>120</v>
      </c>
      <c r="AP253" t="s">
        <v>121</v>
      </c>
      <c r="AQ253" t="s">
        <v>74</v>
      </c>
      <c r="AR253" t="s">
        <v>108</v>
      </c>
      <c r="AS253" t="s">
        <v>122</v>
      </c>
      <c r="AT253" t="s">
        <v>5304</v>
      </c>
      <c r="AU253">
        <v>2022</v>
      </c>
      <c r="AV253">
        <v>16</v>
      </c>
      <c r="AW253">
        <v>5</v>
      </c>
      <c r="AX253" t="s">
        <v>74</v>
      </c>
      <c r="AY253" t="s">
        <v>74</v>
      </c>
      <c r="AZ253" t="s">
        <v>74</v>
      </c>
      <c r="BA253" t="s">
        <v>74</v>
      </c>
      <c r="BB253">
        <v>1807</v>
      </c>
      <c r="BC253">
        <v>1819</v>
      </c>
      <c r="BD253" t="s">
        <v>74</v>
      </c>
      <c r="BE253" t="s">
        <v>5377</v>
      </c>
      <c r="BF253" t="str">
        <f>HYPERLINK("http://dx.doi.org/10.5194/tc-16-1807-2022","http://dx.doi.org/10.5194/tc-16-1807-2022")</f>
        <v>http://dx.doi.org/10.5194/tc-16-1807-2022</v>
      </c>
      <c r="BG253" t="s">
        <v>74</v>
      </c>
      <c r="BH253" t="s">
        <v>74</v>
      </c>
      <c r="BI253">
        <v>13</v>
      </c>
      <c r="BJ253" t="s">
        <v>125</v>
      </c>
      <c r="BK253" t="s">
        <v>101</v>
      </c>
      <c r="BL253" t="s">
        <v>126</v>
      </c>
      <c r="BM253" t="s">
        <v>5378</v>
      </c>
      <c r="BN253" t="s">
        <v>74</v>
      </c>
      <c r="BO253" t="s">
        <v>2560</v>
      </c>
      <c r="BP253" t="s">
        <v>74</v>
      </c>
      <c r="BQ253" t="s">
        <v>74</v>
      </c>
      <c r="BR253" t="s">
        <v>103</v>
      </c>
      <c r="BS253" t="s">
        <v>5379</v>
      </c>
      <c r="BT253" t="str">
        <f>HYPERLINK("https%3A%2F%2Fwww.webofscience.com%2Fwos%2Fwoscc%2Ffull-record%2FWOS:000793195000001","View Full Record in Web of Science")</f>
        <v>View Full Record in Web of Science</v>
      </c>
    </row>
    <row r="254" spans="1:72" x14ac:dyDescent="0.15">
      <c r="A254" t="s">
        <v>72</v>
      </c>
      <c r="B254" t="s">
        <v>5380</v>
      </c>
      <c r="C254" t="s">
        <v>74</v>
      </c>
      <c r="D254" t="s">
        <v>74</v>
      </c>
      <c r="E254" t="s">
        <v>74</v>
      </c>
      <c r="F254" t="s">
        <v>5381</v>
      </c>
      <c r="G254" t="s">
        <v>74</v>
      </c>
      <c r="H254" t="s">
        <v>74</v>
      </c>
      <c r="I254" t="s">
        <v>5382</v>
      </c>
      <c r="J254" t="s">
        <v>5383</v>
      </c>
      <c r="K254" t="s">
        <v>74</v>
      </c>
      <c r="L254" t="s">
        <v>74</v>
      </c>
      <c r="M254" t="s">
        <v>78</v>
      </c>
      <c r="N254" t="s">
        <v>161</v>
      </c>
      <c r="O254" t="s">
        <v>74</v>
      </c>
      <c r="P254" t="s">
        <v>74</v>
      </c>
      <c r="Q254" t="s">
        <v>74</v>
      </c>
      <c r="R254" t="s">
        <v>74</v>
      </c>
      <c r="S254" t="s">
        <v>74</v>
      </c>
      <c r="T254" t="s">
        <v>74</v>
      </c>
      <c r="U254" t="s">
        <v>5384</v>
      </c>
      <c r="V254" t="s">
        <v>5385</v>
      </c>
      <c r="W254" t="s">
        <v>5386</v>
      </c>
      <c r="X254" t="s">
        <v>5387</v>
      </c>
      <c r="Y254" t="s">
        <v>5388</v>
      </c>
      <c r="Z254" t="s">
        <v>5389</v>
      </c>
      <c r="AA254" t="s">
        <v>5390</v>
      </c>
      <c r="AB254" t="s">
        <v>5391</v>
      </c>
      <c r="AC254" t="s">
        <v>5392</v>
      </c>
      <c r="AD254" t="s">
        <v>5392</v>
      </c>
      <c r="AE254" t="s">
        <v>5393</v>
      </c>
      <c r="AF254" t="s">
        <v>74</v>
      </c>
      <c r="AG254">
        <v>99</v>
      </c>
      <c r="AH254">
        <v>55</v>
      </c>
      <c r="AI254">
        <v>60</v>
      </c>
      <c r="AJ254">
        <v>25</v>
      </c>
      <c r="AK254">
        <v>79</v>
      </c>
      <c r="AL254" t="s">
        <v>5394</v>
      </c>
      <c r="AM254" t="s">
        <v>174</v>
      </c>
      <c r="AN254" t="s">
        <v>5395</v>
      </c>
      <c r="AO254" t="s">
        <v>5396</v>
      </c>
      <c r="AP254" t="s">
        <v>5397</v>
      </c>
      <c r="AQ254" t="s">
        <v>74</v>
      </c>
      <c r="AR254" t="s">
        <v>5398</v>
      </c>
      <c r="AS254" t="s">
        <v>5399</v>
      </c>
      <c r="AT254" t="s">
        <v>537</v>
      </c>
      <c r="AU254">
        <v>2022</v>
      </c>
      <c r="AV254">
        <v>37</v>
      </c>
      <c r="AW254">
        <v>6</v>
      </c>
      <c r="AX254" t="s">
        <v>74</v>
      </c>
      <c r="AY254" t="s">
        <v>74</v>
      </c>
      <c r="AZ254" t="s">
        <v>74</v>
      </c>
      <c r="BA254" t="s">
        <v>74</v>
      </c>
      <c r="BB254">
        <v>517</v>
      </c>
      <c r="BC254">
        <v>528</v>
      </c>
      <c r="BD254" t="s">
        <v>74</v>
      </c>
      <c r="BE254" t="s">
        <v>5400</v>
      </c>
      <c r="BF254" t="str">
        <f>HYPERLINK("http://dx.doi.org/10.1016/j.tree.2022.02.002","http://dx.doi.org/10.1016/j.tree.2022.02.002")</f>
        <v>http://dx.doi.org/10.1016/j.tree.2022.02.002</v>
      </c>
      <c r="BG254" t="s">
        <v>74</v>
      </c>
      <c r="BH254" t="s">
        <v>3111</v>
      </c>
      <c r="BI254">
        <v>12</v>
      </c>
      <c r="BJ254" t="s">
        <v>5401</v>
      </c>
      <c r="BK254" t="s">
        <v>101</v>
      </c>
      <c r="BL254" t="s">
        <v>5402</v>
      </c>
      <c r="BM254" t="s">
        <v>5403</v>
      </c>
      <c r="BN254">
        <v>35246323</v>
      </c>
      <c r="BO254" t="s">
        <v>74</v>
      </c>
      <c r="BP254" t="s">
        <v>816</v>
      </c>
      <c r="BQ254" t="s">
        <v>5404</v>
      </c>
      <c r="BR254" t="s">
        <v>103</v>
      </c>
      <c r="BS254" t="s">
        <v>5405</v>
      </c>
      <c r="BT254" t="str">
        <f>HYPERLINK("https%3A%2F%2Fwww.webofscience.com%2Fwos%2Fwoscc%2Ffull-record%2FWOS:000799945400009","View Full Record in Web of Science")</f>
        <v>View Full Record in Web of Science</v>
      </c>
    </row>
    <row r="255" spans="1:72" x14ac:dyDescent="0.15">
      <c r="A255" t="s">
        <v>72</v>
      </c>
      <c r="B255" t="s">
        <v>5406</v>
      </c>
      <c r="C255" t="s">
        <v>74</v>
      </c>
      <c r="D255" t="s">
        <v>74</v>
      </c>
      <c r="E255" t="s">
        <v>74</v>
      </c>
      <c r="F255" t="s">
        <v>5407</v>
      </c>
      <c r="G255" t="s">
        <v>74</v>
      </c>
      <c r="H255" t="s">
        <v>74</v>
      </c>
      <c r="I255" t="s">
        <v>5408</v>
      </c>
      <c r="J255" t="s">
        <v>5409</v>
      </c>
      <c r="K255" t="s">
        <v>74</v>
      </c>
      <c r="L255" t="s">
        <v>74</v>
      </c>
      <c r="M255" t="s">
        <v>78</v>
      </c>
      <c r="N255" t="s">
        <v>161</v>
      </c>
      <c r="O255" t="s">
        <v>74</v>
      </c>
      <c r="P255" t="s">
        <v>74</v>
      </c>
      <c r="Q255" t="s">
        <v>74</v>
      </c>
      <c r="R255" t="s">
        <v>74</v>
      </c>
      <c r="S255" t="s">
        <v>74</v>
      </c>
      <c r="T255" t="s">
        <v>5410</v>
      </c>
      <c r="U255" t="s">
        <v>5411</v>
      </c>
      <c r="V255" t="s">
        <v>5412</v>
      </c>
      <c r="W255" t="s">
        <v>5413</v>
      </c>
      <c r="X255" t="s">
        <v>5414</v>
      </c>
      <c r="Y255" t="s">
        <v>5415</v>
      </c>
      <c r="Z255" t="s">
        <v>5416</v>
      </c>
      <c r="AA255" t="s">
        <v>5417</v>
      </c>
      <c r="AB255" t="s">
        <v>5418</v>
      </c>
      <c r="AC255" t="s">
        <v>5419</v>
      </c>
      <c r="AD255" t="s">
        <v>5420</v>
      </c>
      <c r="AE255" t="s">
        <v>5421</v>
      </c>
      <c r="AF255" t="s">
        <v>74</v>
      </c>
      <c r="AG255">
        <v>63</v>
      </c>
      <c r="AH255">
        <v>1</v>
      </c>
      <c r="AI255">
        <v>1</v>
      </c>
      <c r="AJ255">
        <v>3</v>
      </c>
      <c r="AK255">
        <v>12</v>
      </c>
      <c r="AL255" t="s">
        <v>199</v>
      </c>
      <c r="AM255" t="s">
        <v>200</v>
      </c>
      <c r="AN255" t="s">
        <v>201</v>
      </c>
      <c r="AO255" t="s">
        <v>5422</v>
      </c>
      <c r="AP255" t="s">
        <v>5423</v>
      </c>
      <c r="AQ255" t="s">
        <v>74</v>
      </c>
      <c r="AR255" t="s">
        <v>5424</v>
      </c>
      <c r="AS255" t="s">
        <v>5425</v>
      </c>
      <c r="AT255" t="s">
        <v>537</v>
      </c>
      <c r="AU255">
        <v>2022</v>
      </c>
      <c r="AV255">
        <v>204</v>
      </c>
      <c r="AW255" t="s">
        <v>74</v>
      </c>
      <c r="AX255" t="s">
        <v>74</v>
      </c>
      <c r="AY255" t="s">
        <v>74</v>
      </c>
      <c r="AZ255" t="s">
        <v>74</v>
      </c>
      <c r="BA255" t="s">
        <v>74</v>
      </c>
      <c r="BB255" t="s">
        <v>74</v>
      </c>
      <c r="BC255" t="s">
        <v>74</v>
      </c>
      <c r="BD255">
        <v>102810</v>
      </c>
      <c r="BE255" t="s">
        <v>5426</v>
      </c>
      <c r="BF255" t="str">
        <f>HYPERLINK("http://dx.doi.org/10.1016/j.pocean.2022.102810","http://dx.doi.org/10.1016/j.pocean.2022.102810")</f>
        <v>http://dx.doi.org/10.1016/j.pocean.2022.102810</v>
      </c>
      <c r="BG255" t="s">
        <v>74</v>
      </c>
      <c r="BH255" t="s">
        <v>3111</v>
      </c>
      <c r="BI255">
        <v>11</v>
      </c>
      <c r="BJ255" t="s">
        <v>208</v>
      </c>
      <c r="BK255" t="s">
        <v>101</v>
      </c>
      <c r="BL255" t="s">
        <v>208</v>
      </c>
      <c r="BM255" t="s">
        <v>5427</v>
      </c>
      <c r="BN255" t="s">
        <v>74</v>
      </c>
      <c r="BO255" t="s">
        <v>74</v>
      </c>
      <c r="BP255" t="s">
        <v>74</v>
      </c>
      <c r="BQ255" t="s">
        <v>74</v>
      </c>
      <c r="BR255" t="s">
        <v>103</v>
      </c>
      <c r="BS255" t="s">
        <v>5428</v>
      </c>
      <c r="BT255" t="str">
        <f>HYPERLINK("https%3A%2F%2Fwww.webofscience.com%2Fwos%2Fwoscc%2Ffull-record%2FWOS:000806687000001","View Full Record in Web of Science")</f>
        <v>View Full Record in Web of Science</v>
      </c>
    </row>
    <row r="256" spans="1:72" x14ac:dyDescent="0.15">
      <c r="A256" t="s">
        <v>72</v>
      </c>
      <c r="B256" t="s">
        <v>5429</v>
      </c>
      <c r="C256" t="s">
        <v>74</v>
      </c>
      <c r="D256" t="s">
        <v>74</v>
      </c>
      <c r="E256" t="s">
        <v>74</v>
      </c>
      <c r="F256" t="s">
        <v>5430</v>
      </c>
      <c r="G256" t="s">
        <v>74</v>
      </c>
      <c r="H256" t="s">
        <v>74</v>
      </c>
      <c r="I256" t="s">
        <v>5431</v>
      </c>
      <c r="J256" t="s">
        <v>5432</v>
      </c>
      <c r="K256" t="s">
        <v>74</v>
      </c>
      <c r="L256" t="s">
        <v>74</v>
      </c>
      <c r="M256" t="s">
        <v>78</v>
      </c>
      <c r="N256" t="s">
        <v>79</v>
      </c>
      <c r="O256" t="s">
        <v>74</v>
      </c>
      <c r="P256" t="s">
        <v>74</v>
      </c>
      <c r="Q256" t="s">
        <v>74</v>
      </c>
      <c r="R256" t="s">
        <v>74</v>
      </c>
      <c r="S256" t="s">
        <v>74</v>
      </c>
      <c r="T256" t="s">
        <v>5433</v>
      </c>
      <c r="U256" t="s">
        <v>5434</v>
      </c>
      <c r="V256" t="s">
        <v>5435</v>
      </c>
      <c r="W256" t="s">
        <v>5436</v>
      </c>
      <c r="X256" t="s">
        <v>5437</v>
      </c>
      <c r="Y256" t="s">
        <v>5438</v>
      </c>
      <c r="Z256" t="s">
        <v>5439</v>
      </c>
      <c r="AA256" t="s">
        <v>74</v>
      </c>
      <c r="AB256" t="s">
        <v>74</v>
      </c>
      <c r="AC256" t="s">
        <v>5440</v>
      </c>
      <c r="AD256" t="s">
        <v>5441</v>
      </c>
      <c r="AE256" t="s">
        <v>5442</v>
      </c>
      <c r="AF256" t="s">
        <v>74</v>
      </c>
      <c r="AG256">
        <v>42</v>
      </c>
      <c r="AH256">
        <v>1</v>
      </c>
      <c r="AI256">
        <v>1</v>
      </c>
      <c r="AJ256">
        <v>4</v>
      </c>
      <c r="AK256">
        <v>31</v>
      </c>
      <c r="AL256" t="s">
        <v>199</v>
      </c>
      <c r="AM256" t="s">
        <v>200</v>
      </c>
      <c r="AN256" t="s">
        <v>201</v>
      </c>
      <c r="AO256" t="s">
        <v>5443</v>
      </c>
      <c r="AP256" t="s">
        <v>5444</v>
      </c>
      <c r="AQ256" t="s">
        <v>74</v>
      </c>
      <c r="AR256" t="s">
        <v>5445</v>
      </c>
      <c r="AS256" t="s">
        <v>5446</v>
      </c>
      <c r="AT256" t="s">
        <v>2579</v>
      </c>
      <c r="AU256">
        <v>2022</v>
      </c>
      <c r="AV256">
        <v>242</v>
      </c>
      <c r="AW256" t="s">
        <v>74</v>
      </c>
      <c r="AX256" t="s">
        <v>74</v>
      </c>
      <c r="AY256" t="s">
        <v>74</v>
      </c>
      <c r="AZ256" t="s">
        <v>74</v>
      </c>
      <c r="BA256" t="s">
        <v>74</v>
      </c>
      <c r="BB256" t="s">
        <v>74</v>
      </c>
      <c r="BC256" t="s">
        <v>74</v>
      </c>
      <c r="BD256">
        <v>104747</v>
      </c>
      <c r="BE256" t="s">
        <v>5447</v>
      </c>
      <c r="BF256" t="str">
        <f>HYPERLINK("http://dx.doi.org/10.1016/j.csr.2022.104747","http://dx.doi.org/10.1016/j.csr.2022.104747")</f>
        <v>http://dx.doi.org/10.1016/j.csr.2022.104747</v>
      </c>
      <c r="BG256" t="s">
        <v>74</v>
      </c>
      <c r="BH256" t="s">
        <v>3111</v>
      </c>
      <c r="BI256">
        <v>8</v>
      </c>
      <c r="BJ256" t="s">
        <v>208</v>
      </c>
      <c r="BK256" t="s">
        <v>101</v>
      </c>
      <c r="BL256" t="s">
        <v>208</v>
      </c>
      <c r="BM256" t="s">
        <v>5448</v>
      </c>
      <c r="BN256" t="s">
        <v>74</v>
      </c>
      <c r="BO256" t="s">
        <v>74</v>
      </c>
      <c r="BP256" t="s">
        <v>74</v>
      </c>
      <c r="BQ256" t="s">
        <v>74</v>
      </c>
      <c r="BR256" t="s">
        <v>103</v>
      </c>
      <c r="BS256" t="s">
        <v>5449</v>
      </c>
      <c r="BT256" t="str">
        <f>HYPERLINK("https%3A%2F%2Fwww.webofscience.com%2Fwos%2Fwoscc%2Ffull-record%2FWOS:000800520900001","View Full Record in Web of Science")</f>
        <v>View Full Record in Web of Science</v>
      </c>
    </row>
    <row r="257" spans="1:72" x14ac:dyDescent="0.15">
      <c r="A257" t="s">
        <v>72</v>
      </c>
      <c r="B257" t="s">
        <v>5450</v>
      </c>
      <c r="C257" t="s">
        <v>74</v>
      </c>
      <c r="D257" t="s">
        <v>74</v>
      </c>
      <c r="E257" t="s">
        <v>74</v>
      </c>
      <c r="F257" t="s">
        <v>5451</v>
      </c>
      <c r="G257" t="s">
        <v>74</v>
      </c>
      <c r="H257" t="s">
        <v>74</v>
      </c>
      <c r="I257" t="s">
        <v>5452</v>
      </c>
      <c r="J257" t="s">
        <v>546</v>
      </c>
      <c r="K257" t="s">
        <v>74</v>
      </c>
      <c r="L257" t="s">
        <v>74</v>
      </c>
      <c r="M257" t="s">
        <v>78</v>
      </c>
      <c r="N257" t="s">
        <v>79</v>
      </c>
      <c r="O257" t="s">
        <v>74</v>
      </c>
      <c r="P257" t="s">
        <v>74</v>
      </c>
      <c r="Q257" t="s">
        <v>74</v>
      </c>
      <c r="R257" t="s">
        <v>74</v>
      </c>
      <c r="S257" t="s">
        <v>74</v>
      </c>
      <c r="T257" t="s">
        <v>5453</v>
      </c>
      <c r="U257" t="s">
        <v>5454</v>
      </c>
      <c r="V257" t="s">
        <v>5455</v>
      </c>
      <c r="W257" t="s">
        <v>5456</v>
      </c>
      <c r="X257" t="s">
        <v>5457</v>
      </c>
      <c r="Y257" t="s">
        <v>5458</v>
      </c>
      <c r="Z257" t="s">
        <v>5459</v>
      </c>
      <c r="AA257" t="s">
        <v>5460</v>
      </c>
      <c r="AB257" t="s">
        <v>5461</v>
      </c>
      <c r="AC257" t="s">
        <v>5462</v>
      </c>
      <c r="AD257" t="s">
        <v>5463</v>
      </c>
      <c r="AE257" t="s">
        <v>5464</v>
      </c>
      <c r="AF257" t="s">
        <v>74</v>
      </c>
      <c r="AG257">
        <v>34</v>
      </c>
      <c r="AH257">
        <v>4</v>
      </c>
      <c r="AI257">
        <v>4</v>
      </c>
      <c r="AJ257">
        <v>2</v>
      </c>
      <c r="AK257">
        <v>6</v>
      </c>
      <c r="AL257" t="s">
        <v>285</v>
      </c>
      <c r="AM257" t="s">
        <v>286</v>
      </c>
      <c r="AN257" t="s">
        <v>287</v>
      </c>
      <c r="AO257" t="s">
        <v>74</v>
      </c>
      <c r="AP257" t="s">
        <v>558</v>
      </c>
      <c r="AQ257" t="s">
        <v>74</v>
      </c>
      <c r="AR257" t="s">
        <v>559</v>
      </c>
      <c r="AS257" t="s">
        <v>560</v>
      </c>
      <c r="AT257" t="s">
        <v>5465</v>
      </c>
      <c r="AU257">
        <v>2022</v>
      </c>
      <c r="AV257">
        <v>9</v>
      </c>
      <c r="AW257" t="s">
        <v>74</v>
      </c>
      <c r="AX257" t="s">
        <v>74</v>
      </c>
      <c r="AY257" t="s">
        <v>74</v>
      </c>
      <c r="AZ257" t="s">
        <v>74</v>
      </c>
      <c r="BA257" t="s">
        <v>74</v>
      </c>
      <c r="BB257" t="s">
        <v>74</v>
      </c>
      <c r="BC257" t="s">
        <v>74</v>
      </c>
      <c r="BD257">
        <v>879953</v>
      </c>
      <c r="BE257" t="s">
        <v>5466</v>
      </c>
      <c r="BF257" t="str">
        <f>HYPERLINK("http://dx.doi.org/10.3389/fmars.2022.879953","http://dx.doi.org/10.3389/fmars.2022.879953")</f>
        <v>http://dx.doi.org/10.3389/fmars.2022.879953</v>
      </c>
      <c r="BG257" t="s">
        <v>74</v>
      </c>
      <c r="BH257" t="s">
        <v>74</v>
      </c>
      <c r="BI257">
        <v>8</v>
      </c>
      <c r="BJ257" t="s">
        <v>563</v>
      </c>
      <c r="BK257" t="s">
        <v>101</v>
      </c>
      <c r="BL257" t="s">
        <v>564</v>
      </c>
      <c r="BM257" t="s">
        <v>5467</v>
      </c>
      <c r="BN257" t="s">
        <v>74</v>
      </c>
      <c r="BO257" t="s">
        <v>295</v>
      </c>
      <c r="BP257" t="s">
        <v>74</v>
      </c>
      <c r="BQ257" t="s">
        <v>74</v>
      </c>
      <c r="BR257" t="s">
        <v>103</v>
      </c>
      <c r="BS257" t="s">
        <v>5468</v>
      </c>
      <c r="BT257" t="str">
        <f>HYPERLINK("https%3A%2F%2Fwww.webofscience.com%2Fwos%2Fwoscc%2Ffull-record%2FWOS:000803932000001","View Full Record in Web of Science")</f>
        <v>View Full Record in Web of Science</v>
      </c>
    </row>
    <row r="258" spans="1:72" x14ac:dyDescent="0.15">
      <c r="A258" t="s">
        <v>72</v>
      </c>
      <c r="B258" t="s">
        <v>5469</v>
      </c>
      <c r="C258" t="s">
        <v>74</v>
      </c>
      <c r="D258" t="s">
        <v>74</v>
      </c>
      <c r="E258" t="s">
        <v>74</v>
      </c>
      <c r="F258" t="s">
        <v>5470</v>
      </c>
      <c r="G258" t="s">
        <v>74</v>
      </c>
      <c r="H258" t="s">
        <v>74</v>
      </c>
      <c r="I258" t="s">
        <v>5471</v>
      </c>
      <c r="J258" t="s">
        <v>5472</v>
      </c>
      <c r="K258" t="s">
        <v>74</v>
      </c>
      <c r="L258" t="s">
        <v>74</v>
      </c>
      <c r="M258" t="s">
        <v>78</v>
      </c>
      <c r="N258" t="s">
        <v>79</v>
      </c>
      <c r="O258" t="s">
        <v>74</v>
      </c>
      <c r="P258" t="s">
        <v>74</v>
      </c>
      <c r="Q258" t="s">
        <v>74</v>
      </c>
      <c r="R258" t="s">
        <v>74</v>
      </c>
      <c r="S258" t="s">
        <v>74</v>
      </c>
      <c r="T258" t="s">
        <v>5473</v>
      </c>
      <c r="U258" t="s">
        <v>5474</v>
      </c>
      <c r="V258" t="s">
        <v>5475</v>
      </c>
      <c r="W258" t="s">
        <v>5476</v>
      </c>
      <c r="X258" t="s">
        <v>5477</v>
      </c>
      <c r="Y258" t="s">
        <v>5478</v>
      </c>
      <c r="Z258" t="s">
        <v>5479</v>
      </c>
      <c r="AA258" t="s">
        <v>5480</v>
      </c>
      <c r="AB258" t="s">
        <v>5481</v>
      </c>
      <c r="AC258" t="s">
        <v>5482</v>
      </c>
      <c r="AD258" t="s">
        <v>5483</v>
      </c>
      <c r="AE258" t="s">
        <v>5484</v>
      </c>
      <c r="AF258" t="s">
        <v>74</v>
      </c>
      <c r="AG258">
        <v>134</v>
      </c>
      <c r="AH258">
        <v>3</v>
      </c>
      <c r="AI258">
        <v>3</v>
      </c>
      <c r="AJ258">
        <v>0</v>
      </c>
      <c r="AK258">
        <v>5</v>
      </c>
      <c r="AL258" t="s">
        <v>5485</v>
      </c>
      <c r="AM258" t="s">
        <v>401</v>
      </c>
      <c r="AN258" t="s">
        <v>5486</v>
      </c>
      <c r="AO258" t="s">
        <v>5487</v>
      </c>
      <c r="AP258" t="s">
        <v>5488</v>
      </c>
      <c r="AQ258" t="s">
        <v>74</v>
      </c>
      <c r="AR258" t="s">
        <v>5489</v>
      </c>
      <c r="AS258" t="s">
        <v>5490</v>
      </c>
      <c r="AT258" t="s">
        <v>346</v>
      </c>
      <c r="AU258">
        <v>2022</v>
      </c>
      <c r="AV258">
        <v>136</v>
      </c>
      <c r="AW258" t="s">
        <v>74</v>
      </c>
      <c r="AX258" t="s">
        <v>74</v>
      </c>
      <c r="AY258" t="s">
        <v>74</v>
      </c>
      <c r="AZ258" t="s">
        <v>74</v>
      </c>
      <c r="BA258" t="s">
        <v>74</v>
      </c>
      <c r="BB258" t="s">
        <v>74</v>
      </c>
      <c r="BC258" t="s">
        <v>74</v>
      </c>
      <c r="BD258">
        <v>105185</v>
      </c>
      <c r="BE258" t="s">
        <v>5491</v>
      </c>
      <c r="BF258" t="str">
        <f>HYPERLINK("http://dx.doi.org/10.1016/j.cretres.2022.105185","http://dx.doi.org/10.1016/j.cretres.2022.105185")</f>
        <v>http://dx.doi.org/10.1016/j.cretres.2022.105185</v>
      </c>
      <c r="BG258" t="s">
        <v>74</v>
      </c>
      <c r="BH258" t="s">
        <v>3111</v>
      </c>
      <c r="BI258">
        <v>19</v>
      </c>
      <c r="BJ258" t="s">
        <v>1506</v>
      </c>
      <c r="BK258" t="s">
        <v>101</v>
      </c>
      <c r="BL258" t="s">
        <v>1506</v>
      </c>
      <c r="BM258" t="s">
        <v>5492</v>
      </c>
      <c r="BN258" t="s">
        <v>74</v>
      </c>
      <c r="BO258" t="s">
        <v>74</v>
      </c>
      <c r="BP258" t="s">
        <v>74</v>
      </c>
      <c r="BQ258" t="s">
        <v>74</v>
      </c>
      <c r="BR258" t="s">
        <v>103</v>
      </c>
      <c r="BS258" t="s">
        <v>5493</v>
      </c>
      <c r="BT258" t="str">
        <f>HYPERLINK("https%3A%2F%2Fwww.webofscience.com%2Fwos%2Fwoscc%2Ffull-record%2FWOS:000799947500003","View Full Record in Web of Science")</f>
        <v>View Full Record in Web of Science</v>
      </c>
    </row>
    <row r="259" spans="1:72" x14ac:dyDescent="0.15">
      <c r="A259" t="s">
        <v>72</v>
      </c>
      <c r="B259" t="s">
        <v>5494</v>
      </c>
      <c r="C259" t="s">
        <v>74</v>
      </c>
      <c r="D259" t="s">
        <v>74</v>
      </c>
      <c r="E259" t="s">
        <v>74</v>
      </c>
      <c r="F259" t="s">
        <v>5495</v>
      </c>
      <c r="G259" t="s">
        <v>74</v>
      </c>
      <c r="H259" t="s">
        <v>74</v>
      </c>
      <c r="I259" t="s">
        <v>5496</v>
      </c>
      <c r="J259" t="s">
        <v>546</v>
      </c>
      <c r="K259" t="s">
        <v>74</v>
      </c>
      <c r="L259" t="s">
        <v>74</v>
      </c>
      <c r="M259" t="s">
        <v>78</v>
      </c>
      <c r="N259" t="s">
        <v>79</v>
      </c>
      <c r="O259" t="s">
        <v>74</v>
      </c>
      <c r="P259" t="s">
        <v>74</v>
      </c>
      <c r="Q259" t="s">
        <v>74</v>
      </c>
      <c r="R259" t="s">
        <v>74</v>
      </c>
      <c r="S259" t="s">
        <v>74</v>
      </c>
      <c r="T259" t="s">
        <v>5497</v>
      </c>
      <c r="U259" t="s">
        <v>5498</v>
      </c>
      <c r="V259" t="s">
        <v>5499</v>
      </c>
      <c r="W259" t="s">
        <v>5500</v>
      </c>
      <c r="X259" t="s">
        <v>5501</v>
      </c>
      <c r="Y259" t="s">
        <v>5502</v>
      </c>
      <c r="Z259" t="s">
        <v>5503</v>
      </c>
      <c r="AA259" t="s">
        <v>5504</v>
      </c>
      <c r="AB259" t="s">
        <v>5505</v>
      </c>
      <c r="AC259" t="s">
        <v>5506</v>
      </c>
      <c r="AD259" t="s">
        <v>5507</v>
      </c>
      <c r="AE259" t="s">
        <v>5508</v>
      </c>
      <c r="AF259" t="s">
        <v>74</v>
      </c>
      <c r="AG259">
        <v>57</v>
      </c>
      <c r="AH259">
        <v>3</v>
      </c>
      <c r="AI259">
        <v>3</v>
      </c>
      <c r="AJ259">
        <v>3</v>
      </c>
      <c r="AK259">
        <v>8</v>
      </c>
      <c r="AL259" t="s">
        <v>285</v>
      </c>
      <c r="AM259" t="s">
        <v>286</v>
      </c>
      <c r="AN259" t="s">
        <v>287</v>
      </c>
      <c r="AO259" t="s">
        <v>74</v>
      </c>
      <c r="AP259" t="s">
        <v>558</v>
      </c>
      <c r="AQ259" t="s">
        <v>74</v>
      </c>
      <c r="AR259" t="s">
        <v>559</v>
      </c>
      <c r="AS259" t="s">
        <v>560</v>
      </c>
      <c r="AT259" t="s">
        <v>5465</v>
      </c>
      <c r="AU259">
        <v>2022</v>
      </c>
      <c r="AV259">
        <v>9</v>
      </c>
      <c r="AW259" t="s">
        <v>74</v>
      </c>
      <c r="AX259" t="s">
        <v>74</v>
      </c>
      <c r="AY259" t="s">
        <v>74</v>
      </c>
      <c r="AZ259" t="s">
        <v>74</v>
      </c>
      <c r="BA259" t="s">
        <v>74</v>
      </c>
      <c r="BB259" t="s">
        <v>74</v>
      </c>
      <c r="BC259" t="s">
        <v>74</v>
      </c>
      <c r="BD259">
        <v>855832</v>
      </c>
      <c r="BE259" t="s">
        <v>5509</v>
      </c>
      <c r="BF259" t="str">
        <f>HYPERLINK("http://dx.doi.org/10.3389/fmars.2022.855832","http://dx.doi.org/10.3389/fmars.2022.855832")</f>
        <v>http://dx.doi.org/10.3389/fmars.2022.855832</v>
      </c>
      <c r="BG259" t="s">
        <v>74</v>
      </c>
      <c r="BH259" t="s">
        <v>74</v>
      </c>
      <c r="BI259">
        <v>13</v>
      </c>
      <c r="BJ259" t="s">
        <v>563</v>
      </c>
      <c r="BK259" t="s">
        <v>101</v>
      </c>
      <c r="BL259" t="s">
        <v>564</v>
      </c>
      <c r="BM259" t="s">
        <v>5510</v>
      </c>
      <c r="BN259" t="s">
        <v>74</v>
      </c>
      <c r="BO259" t="s">
        <v>438</v>
      </c>
      <c r="BP259" t="s">
        <v>74</v>
      </c>
      <c r="BQ259" t="s">
        <v>74</v>
      </c>
      <c r="BR259" t="s">
        <v>103</v>
      </c>
      <c r="BS259" t="s">
        <v>5511</v>
      </c>
      <c r="BT259" t="str">
        <f>HYPERLINK("https%3A%2F%2Fwww.webofscience.com%2Fwos%2Fwoscc%2Ffull-record%2FWOS:000800351600001","View Full Record in Web of Science")</f>
        <v>View Full Record in Web of Science</v>
      </c>
    </row>
    <row r="260" spans="1:72" x14ac:dyDescent="0.15">
      <c r="A260" t="s">
        <v>72</v>
      </c>
      <c r="B260" t="s">
        <v>5512</v>
      </c>
      <c r="C260" t="s">
        <v>74</v>
      </c>
      <c r="D260" t="s">
        <v>74</v>
      </c>
      <c r="E260" t="s">
        <v>74</v>
      </c>
      <c r="F260" t="s">
        <v>5513</v>
      </c>
      <c r="G260" t="s">
        <v>74</v>
      </c>
      <c r="H260" t="s">
        <v>74</v>
      </c>
      <c r="I260" t="s">
        <v>5514</v>
      </c>
      <c r="J260" t="s">
        <v>5515</v>
      </c>
      <c r="K260" t="s">
        <v>74</v>
      </c>
      <c r="L260" t="s">
        <v>74</v>
      </c>
      <c r="M260" t="s">
        <v>78</v>
      </c>
      <c r="N260" t="s">
        <v>79</v>
      </c>
      <c r="O260" t="s">
        <v>74</v>
      </c>
      <c r="P260" t="s">
        <v>74</v>
      </c>
      <c r="Q260" t="s">
        <v>74</v>
      </c>
      <c r="R260" t="s">
        <v>74</v>
      </c>
      <c r="S260" t="s">
        <v>74</v>
      </c>
      <c r="T260" t="s">
        <v>74</v>
      </c>
      <c r="U260" t="s">
        <v>74</v>
      </c>
      <c r="V260" t="s">
        <v>5516</v>
      </c>
      <c r="W260" t="s">
        <v>5517</v>
      </c>
      <c r="X260" t="s">
        <v>5518</v>
      </c>
      <c r="Y260" t="s">
        <v>5519</v>
      </c>
      <c r="Z260" t="s">
        <v>5520</v>
      </c>
      <c r="AA260" t="s">
        <v>5521</v>
      </c>
      <c r="AB260" t="s">
        <v>5522</v>
      </c>
      <c r="AC260" t="s">
        <v>5523</v>
      </c>
      <c r="AD260" t="s">
        <v>5524</v>
      </c>
      <c r="AE260" t="s">
        <v>5525</v>
      </c>
      <c r="AF260" t="s">
        <v>74</v>
      </c>
      <c r="AG260">
        <v>81</v>
      </c>
      <c r="AH260">
        <v>0</v>
      </c>
      <c r="AI260">
        <v>0</v>
      </c>
      <c r="AJ260">
        <v>1</v>
      </c>
      <c r="AK260">
        <v>3</v>
      </c>
      <c r="AL260" t="s">
        <v>117</v>
      </c>
      <c r="AM260" t="s">
        <v>118</v>
      </c>
      <c r="AN260" t="s">
        <v>119</v>
      </c>
      <c r="AO260" t="s">
        <v>5526</v>
      </c>
      <c r="AP260" t="s">
        <v>5527</v>
      </c>
      <c r="AQ260" t="s">
        <v>74</v>
      </c>
      <c r="AR260" t="s">
        <v>5528</v>
      </c>
      <c r="AS260" t="s">
        <v>5529</v>
      </c>
      <c r="AT260" t="s">
        <v>5465</v>
      </c>
      <c r="AU260">
        <v>2022</v>
      </c>
      <c r="AV260">
        <v>15</v>
      </c>
      <c r="AW260">
        <v>9</v>
      </c>
      <c r="AX260" t="s">
        <v>74</v>
      </c>
      <c r="AY260" t="s">
        <v>74</v>
      </c>
      <c r="AZ260" t="s">
        <v>74</v>
      </c>
      <c r="BA260" t="s">
        <v>74</v>
      </c>
      <c r="BB260">
        <v>3691</v>
      </c>
      <c r="BC260">
        <v>3719</v>
      </c>
      <c r="BD260" t="s">
        <v>74</v>
      </c>
      <c r="BE260" t="s">
        <v>5530</v>
      </c>
      <c r="BF260" t="str">
        <f>HYPERLINK("http://dx.doi.org/10.5194/gmd-15-3691-2022","http://dx.doi.org/10.5194/gmd-15-3691-2022")</f>
        <v>http://dx.doi.org/10.5194/gmd-15-3691-2022</v>
      </c>
      <c r="BG260" t="s">
        <v>74</v>
      </c>
      <c r="BH260" t="s">
        <v>74</v>
      </c>
      <c r="BI260">
        <v>29</v>
      </c>
      <c r="BJ260" t="s">
        <v>265</v>
      </c>
      <c r="BK260" t="s">
        <v>101</v>
      </c>
      <c r="BL260" t="s">
        <v>100</v>
      </c>
      <c r="BM260" t="s">
        <v>5531</v>
      </c>
      <c r="BN260" t="s">
        <v>74</v>
      </c>
      <c r="BO260" t="s">
        <v>128</v>
      </c>
      <c r="BP260" t="s">
        <v>74</v>
      </c>
      <c r="BQ260" t="s">
        <v>74</v>
      </c>
      <c r="BR260" t="s">
        <v>103</v>
      </c>
      <c r="BS260" t="s">
        <v>5532</v>
      </c>
      <c r="BT260" t="str">
        <f>HYPERLINK("https%3A%2F%2Fwww.webofscience.com%2Fwos%2Fwoscc%2Ffull-record%2FWOS:000792671000001","View Full Record in Web of Science")</f>
        <v>View Full Record in Web of Science</v>
      </c>
    </row>
    <row r="261" spans="1:72" x14ac:dyDescent="0.15">
      <c r="A261" t="s">
        <v>72</v>
      </c>
      <c r="B261" t="s">
        <v>5533</v>
      </c>
      <c r="C261" t="s">
        <v>74</v>
      </c>
      <c r="D261" t="s">
        <v>74</v>
      </c>
      <c r="E261" t="s">
        <v>74</v>
      </c>
      <c r="F261" t="s">
        <v>5534</v>
      </c>
      <c r="G261" t="s">
        <v>74</v>
      </c>
      <c r="H261" t="s">
        <v>74</v>
      </c>
      <c r="I261" t="s">
        <v>5535</v>
      </c>
      <c r="J261" t="s">
        <v>415</v>
      </c>
      <c r="K261" t="s">
        <v>74</v>
      </c>
      <c r="L261" t="s">
        <v>74</v>
      </c>
      <c r="M261" t="s">
        <v>78</v>
      </c>
      <c r="N261" t="s">
        <v>79</v>
      </c>
      <c r="O261" t="s">
        <v>74</v>
      </c>
      <c r="P261" t="s">
        <v>74</v>
      </c>
      <c r="Q261" t="s">
        <v>74</v>
      </c>
      <c r="R261" t="s">
        <v>74</v>
      </c>
      <c r="S261" t="s">
        <v>74</v>
      </c>
      <c r="T261" t="s">
        <v>5536</v>
      </c>
      <c r="U261" t="s">
        <v>5537</v>
      </c>
      <c r="V261" t="s">
        <v>5538</v>
      </c>
      <c r="W261" t="s">
        <v>5539</v>
      </c>
      <c r="X261" t="s">
        <v>5540</v>
      </c>
      <c r="Y261" t="s">
        <v>5541</v>
      </c>
      <c r="Z261" t="s">
        <v>5542</v>
      </c>
      <c r="AA261" t="s">
        <v>5543</v>
      </c>
      <c r="AB261" t="s">
        <v>5544</v>
      </c>
      <c r="AC261" t="s">
        <v>5545</v>
      </c>
      <c r="AD261" t="s">
        <v>5546</v>
      </c>
      <c r="AE261" t="s">
        <v>5547</v>
      </c>
      <c r="AF261" t="s">
        <v>74</v>
      </c>
      <c r="AG261">
        <v>54</v>
      </c>
      <c r="AH261">
        <v>7</v>
      </c>
      <c r="AI261">
        <v>9</v>
      </c>
      <c r="AJ261">
        <v>1</v>
      </c>
      <c r="AK261">
        <v>4</v>
      </c>
      <c r="AL261" t="s">
        <v>428</v>
      </c>
      <c r="AM261" t="s">
        <v>174</v>
      </c>
      <c r="AN261" t="s">
        <v>429</v>
      </c>
      <c r="AO261" t="s">
        <v>430</v>
      </c>
      <c r="AP261" t="s">
        <v>431</v>
      </c>
      <c r="AQ261" t="s">
        <v>74</v>
      </c>
      <c r="AR261" t="s">
        <v>432</v>
      </c>
      <c r="AS261" t="s">
        <v>433</v>
      </c>
      <c r="AT261" t="s">
        <v>97</v>
      </c>
      <c r="AU261">
        <v>2022</v>
      </c>
      <c r="AV261">
        <v>68</v>
      </c>
      <c r="AW261">
        <v>272</v>
      </c>
      <c r="AX261" t="s">
        <v>74</v>
      </c>
      <c r="AY261" t="s">
        <v>74</v>
      </c>
      <c r="AZ261" t="s">
        <v>74</v>
      </c>
      <c r="BA261" t="s">
        <v>74</v>
      </c>
      <c r="BB261">
        <v>1177</v>
      </c>
      <c r="BC261">
        <v>1184</v>
      </c>
      <c r="BD261" t="s">
        <v>5548</v>
      </c>
      <c r="BE261" t="s">
        <v>5549</v>
      </c>
      <c r="BF261" t="str">
        <f>HYPERLINK("http://dx.doi.org/10.1017/jog.2022.31","http://dx.doi.org/10.1017/jog.2022.31")</f>
        <v>http://dx.doi.org/10.1017/jog.2022.31</v>
      </c>
      <c r="BG261" t="s">
        <v>74</v>
      </c>
      <c r="BH261" t="s">
        <v>3111</v>
      </c>
      <c r="BI261">
        <v>8</v>
      </c>
      <c r="BJ261" t="s">
        <v>125</v>
      </c>
      <c r="BK261" t="s">
        <v>101</v>
      </c>
      <c r="BL261" t="s">
        <v>126</v>
      </c>
      <c r="BM261" t="s">
        <v>3372</v>
      </c>
      <c r="BN261" t="s">
        <v>74</v>
      </c>
      <c r="BO261" t="s">
        <v>438</v>
      </c>
      <c r="BP261" t="s">
        <v>74</v>
      </c>
      <c r="BQ261" t="s">
        <v>74</v>
      </c>
      <c r="BR261" t="s">
        <v>103</v>
      </c>
      <c r="BS261" t="s">
        <v>5550</v>
      </c>
      <c r="BT261" t="str">
        <f>HYPERLINK("https%3A%2F%2Fwww.webofscience.com%2Fwos%2Fwoscc%2Ffull-record%2FWOS:000792971500001","View Full Record in Web of Science")</f>
        <v>View Full Record in Web of Science</v>
      </c>
    </row>
    <row r="262" spans="1:72" x14ac:dyDescent="0.15">
      <c r="A262" t="s">
        <v>72</v>
      </c>
      <c r="B262" t="s">
        <v>5551</v>
      </c>
      <c r="C262" t="s">
        <v>74</v>
      </c>
      <c r="D262" t="s">
        <v>74</v>
      </c>
      <c r="E262" t="s">
        <v>74</v>
      </c>
      <c r="F262" t="s">
        <v>5552</v>
      </c>
      <c r="G262" t="s">
        <v>74</v>
      </c>
      <c r="H262" t="s">
        <v>74</v>
      </c>
      <c r="I262" t="s">
        <v>5553</v>
      </c>
      <c r="J262" t="s">
        <v>5554</v>
      </c>
      <c r="K262" t="s">
        <v>74</v>
      </c>
      <c r="L262" t="s">
        <v>74</v>
      </c>
      <c r="M262" t="s">
        <v>78</v>
      </c>
      <c r="N262" t="s">
        <v>79</v>
      </c>
      <c r="O262" t="s">
        <v>74</v>
      </c>
      <c r="P262" t="s">
        <v>74</v>
      </c>
      <c r="Q262" t="s">
        <v>74</v>
      </c>
      <c r="R262" t="s">
        <v>74</v>
      </c>
      <c r="S262" t="s">
        <v>74</v>
      </c>
      <c r="T262" t="s">
        <v>5555</v>
      </c>
      <c r="U262" t="s">
        <v>5556</v>
      </c>
      <c r="V262" t="s">
        <v>5557</v>
      </c>
      <c r="W262" t="s">
        <v>5558</v>
      </c>
      <c r="X262" t="s">
        <v>5559</v>
      </c>
      <c r="Y262" t="s">
        <v>5560</v>
      </c>
      <c r="Z262" t="s">
        <v>5561</v>
      </c>
      <c r="AA262" t="s">
        <v>5562</v>
      </c>
      <c r="AB262" t="s">
        <v>5563</v>
      </c>
      <c r="AC262" t="s">
        <v>5564</v>
      </c>
      <c r="AD262" t="s">
        <v>5564</v>
      </c>
      <c r="AE262" t="s">
        <v>5565</v>
      </c>
      <c r="AF262" t="s">
        <v>74</v>
      </c>
      <c r="AG262">
        <v>85</v>
      </c>
      <c r="AH262">
        <v>10</v>
      </c>
      <c r="AI262">
        <v>11</v>
      </c>
      <c r="AJ262">
        <v>2</v>
      </c>
      <c r="AK262">
        <v>18</v>
      </c>
      <c r="AL262" t="s">
        <v>257</v>
      </c>
      <c r="AM262" t="s">
        <v>258</v>
      </c>
      <c r="AN262" t="s">
        <v>259</v>
      </c>
      <c r="AO262" t="s">
        <v>5566</v>
      </c>
      <c r="AP262" t="s">
        <v>74</v>
      </c>
      <c r="AQ262" t="s">
        <v>74</v>
      </c>
      <c r="AR262" t="s">
        <v>5567</v>
      </c>
      <c r="AS262" t="s">
        <v>5568</v>
      </c>
      <c r="AT262" t="s">
        <v>537</v>
      </c>
      <c r="AU262">
        <v>2022</v>
      </c>
      <c r="AV262">
        <v>24</v>
      </c>
      <c r="AW262" t="s">
        <v>74</v>
      </c>
      <c r="AX262" t="s">
        <v>74</v>
      </c>
      <c r="AY262" t="s">
        <v>74</v>
      </c>
      <c r="AZ262" t="s">
        <v>74</v>
      </c>
      <c r="BA262" t="s">
        <v>74</v>
      </c>
      <c r="BB262" t="s">
        <v>74</v>
      </c>
      <c r="BC262" t="s">
        <v>74</v>
      </c>
      <c r="BD262">
        <v>101152</v>
      </c>
      <c r="BE262" t="s">
        <v>5569</v>
      </c>
      <c r="BF262" t="str">
        <f>HYPERLINK("http://dx.doi.org/10.1016/j.aqrep.2022.101152","http://dx.doi.org/10.1016/j.aqrep.2022.101152")</f>
        <v>http://dx.doi.org/10.1016/j.aqrep.2022.101152</v>
      </c>
      <c r="BG262" t="s">
        <v>74</v>
      </c>
      <c r="BH262" t="s">
        <v>3111</v>
      </c>
      <c r="BI262">
        <v>10</v>
      </c>
      <c r="BJ262" t="s">
        <v>3589</v>
      </c>
      <c r="BK262" t="s">
        <v>101</v>
      </c>
      <c r="BL262" t="s">
        <v>3589</v>
      </c>
      <c r="BM262" t="s">
        <v>5570</v>
      </c>
      <c r="BN262" t="s">
        <v>74</v>
      </c>
      <c r="BO262" t="s">
        <v>295</v>
      </c>
      <c r="BP262" t="s">
        <v>74</v>
      </c>
      <c r="BQ262" t="s">
        <v>74</v>
      </c>
      <c r="BR262" t="s">
        <v>103</v>
      </c>
      <c r="BS262" t="s">
        <v>5571</v>
      </c>
      <c r="BT262" t="str">
        <f>HYPERLINK("https%3A%2F%2Fwww.webofscience.com%2Fwos%2Fwoscc%2Ffull-record%2FWOS:000799954500002","View Full Record in Web of Science")</f>
        <v>View Full Record in Web of Science</v>
      </c>
    </row>
    <row r="263" spans="1:72" x14ac:dyDescent="0.15">
      <c r="A263" t="s">
        <v>72</v>
      </c>
      <c r="B263" t="s">
        <v>5572</v>
      </c>
      <c r="C263" t="s">
        <v>74</v>
      </c>
      <c r="D263" t="s">
        <v>74</v>
      </c>
      <c r="E263" t="s">
        <v>74</v>
      </c>
      <c r="F263" t="s">
        <v>5573</v>
      </c>
      <c r="G263" t="s">
        <v>74</v>
      </c>
      <c r="H263" t="s">
        <v>74</v>
      </c>
      <c r="I263" t="s">
        <v>5574</v>
      </c>
      <c r="J263" t="s">
        <v>272</v>
      </c>
      <c r="K263" t="s">
        <v>74</v>
      </c>
      <c r="L263" t="s">
        <v>74</v>
      </c>
      <c r="M263" t="s">
        <v>78</v>
      </c>
      <c r="N263" t="s">
        <v>79</v>
      </c>
      <c r="O263" t="s">
        <v>74</v>
      </c>
      <c r="P263" t="s">
        <v>74</v>
      </c>
      <c r="Q263" t="s">
        <v>74</v>
      </c>
      <c r="R263" t="s">
        <v>74</v>
      </c>
      <c r="S263" t="s">
        <v>74</v>
      </c>
      <c r="T263" t="s">
        <v>5575</v>
      </c>
      <c r="U263" t="s">
        <v>5576</v>
      </c>
      <c r="V263" t="s">
        <v>5577</v>
      </c>
      <c r="W263" t="s">
        <v>5578</v>
      </c>
      <c r="X263" t="s">
        <v>5579</v>
      </c>
      <c r="Y263" t="s">
        <v>5580</v>
      </c>
      <c r="Z263" t="s">
        <v>5581</v>
      </c>
      <c r="AA263" t="s">
        <v>74</v>
      </c>
      <c r="AB263" t="s">
        <v>74</v>
      </c>
      <c r="AC263" t="s">
        <v>5582</v>
      </c>
      <c r="AD263" t="s">
        <v>5583</v>
      </c>
      <c r="AE263" t="s">
        <v>5584</v>
      </c>
      <c r="AF263" t="s">
        <v>74</v>
      </c>
      <c r="AG263">
        <v>108</v>
      </c>
      <c r="AH263">
        <v>6</v>
      </c>
      <c r="AI263">
        <v>6</v>
      </c>
      <c r="AJ263">
        <v>5</v>
      </c>
      <c r="AK263">
        <v>26</v>
      </c>
      <c r="AL263" t="s">
        <v>285</v>
      </c>
      <c r="AM263" t="s">
        <v>286</v>
      </c>
      <c r="AN263" t="s">
        <v>287</v>
      </c>
      <c r="AO263" t="s">
        <v>74</v>
      </c>
      <c r="AP263" t="s">
        <v>288</v>
      </c>
      <c r="AQ263" t="s">
        <v>74</v>
      </c>
      <c r="AR263" t="s">
        <v>289</v>
      </c>
      <c r="AS263" t="s">
        <v>290</v>
      </c>
      <c r="AT263" t="s">
        <v>5585</v>
      </c>
      <c r="AU263">
        <v>2022</v>
      </c>
      <c r="AV263">
        <v>13</v>
      </c>
      <c r="AW263" t="s">
        <v>74</v>
      </c>
      <c r="AX263" t="s">
        <v>74</v>
      </c>
      <c r="AY263" t="s">
        <v>74</v>
      </c>
      <c r="AZ263" t="s">
        <v>74</v>
      </c>
      <c r="BA263" t="s">
        <v>74</v>
      </c>
      <c r="BB263" t="s">
        <v>74</v>
      </c>
      <c r="BC263" t="s">
        <v>74</v>
      </c>
      <c r="BD263">
        <v>782789</v>
      </c>
      <c r="BE263" t="s">
        <v>5586</v>
      </c>
      <c r="BF263" t="str">
        <f>HYPERLINK("http://dx.doi.org/10.3389/fmicb.2022.782789","http://dx.doi.org/10.3389/fmicb.2022.782789")</f>
        <v>http://dx.doi.org/10.3389/fmicb.2022.782789</v>
      </c>
      <c r="BG263" t="s">
        <v>74</v>
      </c>
      <c r="BH263" t="s">
        <v>74</v>
      </c>
      <c r="BI263">
        <v>14</v>
      </c>
      <c r="BJ263" t="s">
        <v>293</v>
      </c>
      <c r="BK263" t="s">
        <v>101</v>
      </c>
      <c r="BL263" t="s">
        <v>293</v>
      </c>
      <c r="BM263" t="s">
        <v>5587</v>
      </c>
      <c r="BN263">
        <v>35615521</v>
      </c>
      <c r="BO263" t="s">
        <v>5588</v>
      </c>
      <c r="BP263" t="s">
        <v>74</v>
      </c>
      <c r="BQ263" t="s">
        <v>74</v>
      </c>
      <c r="BR263" t="s">
        <v>103</v>
      </c>
      <c r="BS263" t="s">
        <v>5589</v>
      </c>
      <c r="BT263" t="str">
        <f>HYPERLINK("https%3A%2F%2Fwww.webofscience.com%2Fwos%2Fwoscc%2Ffull-record%2FWOS:000798939300001","View Full Record in Web of Science")</f>
        <v>View Full Record in Web of Science</v>
      </c>
    </row>
    <row r="264" spans="1:72" x14ac:dyDescent="0.15">
      <c r="A264" t="s">
        <v>72</v>
      </c>
      <c r="B264" t="s">
        <v>5590</v>
      </c>
      <c r="C264" t="s">
        <v>74</v>
      </c>
      <c r="D264" t="s">
        <v>74</v>
      </c>
      <c r="E264" t="s">
        <v>74</v>
      </c>
      <c r="F264" t="s">
        <v>5591</v>
      </c>
      <c r="G264" t="s">
        <v>74</v>
      </c>
      <c r="H264" t="s">
        <v>74</v>
      </c>
      <c r="I264" t="s">
        <v>5592</v>
      </c>
      <c r="J264" t="s">
        <v>5593</v>
      </c>
      <c r="K264" t="s">
        <v>74</v>
      </c>
      <c r="L264" t="s">
        <v>74</v>
      </c>
      <c r="M264" t="s">
        <v>78</v>
      </c>
      <c r="N264" t="s">
        <v>79</v>
      </c>
      <c r="O264" t="s">
        <v>74</v>
      </c>
      <c r="P264" t="s">
        <v>74</v>
      </c>
      <c r="Q264" t="s">
        <v>74</v>
      </c>
      <c r="R264" t="s">
        <v>74</v>
      </c>
      <c r="S264" t="s">
        <v>74</v>
      </c>
      <c r="T264" t="s">
        <v>74</v>
      </c>
      <c r="U264" t="s">
        <v>5594</v>
      </c>
      <c r="V264" t="s">
        <v>5595</v>
      </c>
      <c r="W264" t="s">
        <v>5596</v>
      </c>
      <c r="X264" t="s">
        <v>5597</v>
      </c>
      <c r="Y264" t="s">
        <v>5598</v>
      </c>
      <c r="Z264" t="s">
        <v>5599</v>
      </c>
      <c r="AA264" t="s">
        <v>5600</v>
      </c>
      <c r="AB264" t="s">
        <v>5601</v>
      </c>
      <c r="AC264" t="s">
        <v>5602</v>
      </c>
      <c r="AD264" t="s">
        <v>5602</v>
      </c>
      <c r="AE264" t="s">
        <v>5603</v>
      </c>
      <c r="AF264" t="s">
        <v>74</v>
      </c>
      <c r="AG264">
        <v>88</v>
      </c>
      <c r="AH264">
        <v>8</v>
      </c>
      <c r="AI264">
        <v>8</v>
      </c>
      <c r="AJ264">
        <v>2</v>
      </c>
      <c r="AK264">
        <v>6</v>
      </c>
      <c r="AL264" t="s">
        <v>5604</v>
      </c>
      <c r="AM264" t="s">
        <v>401</v>
      </c>
      <c r="AN264" t="s">
        <v>5605</v>
      </c>
      <c r="AO264" t="s">
        <v>5606</v>
      </c>
      <c r="AP264" t="s">
        <v>5607</v>
      </c>
      <c r="AQ264" t="s">
        <v>74</v>
      </c>
      <c r="AR264" t="s">
        <v>5608</v>
      </c>
      <c r="AS264" t="s">
        <v>5609</v>
      </c>
      <c r="AT264" t="s">
        <v>5585</v>
      </c>
      <c r="AU264">
        <v>2022</v>
      </c>
      <c r="AV264">
        <v>2022</v>
      </c>
      <c r="AW264" t="s">
        <v>74</v>
      </c>
      <c r="AX264" t="s">
        <v>74</v>
      </c>
      <c r="AY264" t="s">
        <v>74</v>
      </c>
      <c r="AZ264" t="s">
        <v>74</v>
      </c>
      <c r="BA264" t="s">
        <v>74</v>
      </c>
      <c r="BB264" t="s">
        <v>74</v>
      </c>
      <c r="BC264" t="s">
        <v>74</v>
      </c>
      <c r="BD264">
        <v>8991678</v>
      </c>
      <c r="BE264" t="s">
        <v>5610</v>
      </c>
      <c r="BF264" t="str">
        <f>HYPERLINK("http://dx.doi.org/10.1155/2022/8991678","http://dx.doi.org/10.1155/2022/8991678")</f>
        <v>http://dx.doi.org/10.1155/2022/8991678</v>
      </c>
      <c r="BG264" t="s">
        <v>74</v>
      </c>
      <c r="BH264" t="s">
        <v>74</v>
      </c>
      <c r="BI264">
        <v>17</v>
      </c>
      <c r="BJ264" t="s">
        <v>3589</v>
      </c>
      <c r="BK264" t="s">
        <v>101</v>
      </c>
      <c r="BL264" t="s">
        <v>3589</v>
      </c>
      <c r="BM264" t="s">
        <v>5611</v>
      </c>
      <c r="BN264">
        <v>37576918</v>
      </c>
      <c r="BO264" t="s">
        <v>5612</v>
      </c>
      <c r="BP264" t="s">
        <v>74</v>
      </c>
      <c r="BQ264" t="s">
        <v>74</v>
      </c>
      <c r="BR264" t="s">
        <v>103</v>
      </c>
      <c r="BS264" t="s">
        <v>5613</v>
      </c>
      <c r="BT264" t="str">
        <f>HYPERLINK("https%3A%2F%2Fwww.webofscience.com%2Fwos%2Fwoscc%2Ffull-record%2FWOS:000802742200001","View Full Record in Web of Science")</f>
        <v>View Full Record in Web of Science</v>
      </c>
    </row>
    <row r="265" spans="1:72" x14ac:dyDescent="0.15">
      <c r="A265" t="s">
        <v>72</v>
      </c>
      <c r="B265" t="s">
        <v>5614</v>
      </c>
      <c r="C265" t="s">
        <v>74</v>
      </c>
      <c r="D265" t="s">
        <v>74</v>
      </c>
      <c r="E265" t="s">
        <v>74</v>
      </c>
      <c r="F265" t="s">
        <v>5615</v>
      </c>
      <c r="G265" t="s">
        <v>74</v>
      </c>
      <c r="H265" t="s">
        <v>74</v>
      </c>
      <c r="I265" t="s">
        <v>5616</v>
      </c>
      <c r="J265" t="s">
        <v>5617</v>
      </c>
      <c r="K265" t="s">
        <v>74</v>
      </c>
      <c r="L265" t="s">
        <v>74</v>
      </c>
      <c r="M265" t="s">
        <v>78</v>
      </c>
      <c r="N265" t="s">
        <v>79</v>
      </c>
      <c r="O265" t="s">
        <v>74</v>
      </c>
      <c r="P265" t="s">
        <v>74</v>
      </c>
      <c r="Q265" t="s">
        <v>74</v>
      </c>
      <c r="R265" t="s">
        <v>74</v>
      </c>
      <c r="S265" t="s">
        <v>74</v>
      </c>
      <c r="T265" t="s">
        <v>5618</v>
      </c>
      <c r="U265" t="s">
        <v>5619</v>
      </c>
      <c r="V265" t="s">
        <v>5620</v>
      </c>
      <c r="W265" t="s">
        <v>5621</v>
      </c>
      <c r="X265" t="s">
        <v>5622</v>
      </c>
      <c r="Y265" t="s">
        <v>5623</v>
      </c>
      <c r="Z265" t="s">
        <v>5624</v>
      </c>
      <c r="AA265" t="s">
        <v>5625</v>
      </c>
      <c r="AB265" t="s">
        <v>5626</v>
      </c>
      <c r="AC265" t="s">
        <v>5627</v>
      </c>
      <c r="AD265" t="s">
        <v>5628</v>
      </c>
      <c r="AE265" t="s">
        <v>5629</v>
      </c>
      <c r="AF265" t="s">
        <v>74</v>
      </c>
      <c r="AG265">
        <v>181</v>
      </c>
      <c r="AH265">
        <v>1</v>
      </c>
      <c r="AI265">
        <v>1</v>
      </c>
      <c r="AJ265">
        <v>0</v>
      </c>
      <c r="AK265">
        <v>3</v>
      </c>
      <c r="AL265" t="s">
        <v>257</v>
      </c>
      <c r="AM265" t="s">
        <v>258</v>
      </c>
      <c r="AN265" t="s">
        <v>259</v>
      </c>
      <c r="AO265" t="s">
        <v>5630</v>
      </c>
      <c r="AP265" t="s">
        <v>5631</v>
      </c>
      <c r="AQ265" t="s">
        <v>74</v>
      </c>
      <c r="AR265" t="s">
        <v>5617</v>
      </c>
      <c r="AS265" t="s">
        <v>5632</v>
      </c>
      <c r="AT265" t="s">
        <v>5633</v>
      </c>
      <c r="AU265">
        <v>2022</v>
      </c>
      <c r="AV265">
        <v>834</v>
      </c>
      <c r="AW265" t="s">
        <v>74</v>
      </c>
      <c r="AX265" t="s">
        <v>74</v>
      </c>
      <c r="AY265" t="s">
        <v>74</v>
      </c>
      <c r="AZ265" t="s">
        <v>74</v>
      </c>
      <c r="BA265" t="s">
        <v>74</v>
      </c>
      <c r="BB265" t="s">
        <v>74</v>
      </c>
      <c r="BC265" t="s">
        <v>74</v>
      </c>
      <c r="BD265">
        <v>229389</v>
      </c>
      <c r="BE265" t="s">
        <v>5634</v>
      </c>
      <c r="BF265" t="str">
        <f>HYPERLINK("http://dx.doi.org/10.1016/j.tecto.2022.229389","http://dx.doi.org/10.1016/j.tecto.2022.229389")</f>
        <v>http://dx.doi.org/10.1016/j.tecto.2022.229389</v>
      </c>
      <c r="BG265" t="s">
        <v>74</v>
      </c>
      <c r="BH265" t="s">
        <v>3111</v>
      </c>
      <c r="BI265">
        <v>18</v>
      </c>
      <c r="BJ265" t="s">
        <v>2144</v>
      </c>
      <c r="BK265" t="s">
        <v>101</v>
      </c>
      <c r="BL265" t="s">
        <v>2144</v>
      </c>
      <c r="BM265" t="s">
        <v>5635</v>
      </c>
      <c r="BN265" t="s">
        <v>74</v>
      </c>
      <c r="BO265" t="s">
        <v>590</v>
      </c>
      <c r="BP265" t="s">
        <v>74</v>
      </c>
      <c r="BQ265" t="s">
        <v>74</v>
      </c>
      <c r="BR265" t="s">
        <v>103</v>
      </c>
      <c r="BS265" t="s">
        <v>5636</v>
      </c>
      <c r="BT265" t="str">
        <f>HYPERLINK("https%3A%2F%2Fwww.webofscience.com%2Fwos%2Fwoscc%2Ffull-record%2FWOS:000798926900001","View Full Record in Web of Science")</f>
        <v>View Full Record in Web of Science</v>
      </c>
    </row>
    <row r="266" spans="1:72" x14ac:dyDescent="0.15">
      <c r="A266" t="s">
        <v>72</v>
      </c>
      <c r="B266" t="s">
        <v>5637</v>
      </c>
      <c r="C266" t="s">
        <v>74</v>
      </c>
      <c r="D266" t="s">
        <v>74</v>
      </c>
      <c r="E266" t="s">
        <v>74</v>
      </c>
      <c r="F266" t="s">
        <v>5638</v>
      </c>
      <c r="G266" t="s">
        <v>74</v>
      </c>
      <c r="H266" t="s">
        <v>74</v>
      </c>
      <c r="I266" t="s">
        <v>5639</v>
      </c>
      <c r="J266" t="s">
        <v>5640</v>
      </c>
      <c r="K266" t="s">
        <v>74</v>
      </c>
      <c r="L266" t="s">
        <v>74</v>
      </c>
      <c r="M266" t="s">
        <v>78</v>
      </c>
      <c r="N266" t="s">
        <v>79</v>
      </c>
      <c r="O266" t="s">
        <v>74</v>
      </c>
      <c r="P266" t="s">
        <v>74</v>
      </c>
      <c r="Q266" t="s">
        <v>74</v>
      </c>
      <c r="R266" t="s">
        <v>74</v>
      </c>
      <c r="S266" t="s">
        <v>74</v>
      </c>
      <c r="T266" t="s">
        <v>74</v>
      </c>
      <c r="U266" t="s">
        <v>5641</v>
      </c>
      <c r="V266" t="s">
        <v>5642</v>
      </c>
      <c r="W266" t="s">
        <v>5643</v>
      </c>
      <c r="X266" t="s">
        <v>5644</v>
      </c>
      <c r="Y266" t="s">
        <v>5645</v>
      </c>
      <c r="Z266" t="s">
        <v>5646</v>
      </c>
      <c r="AA266" t="s">
        <v>5647</v>
      </c>
      <c r="AB266" t="s">
        <v>5648</v>
      </c>
      <c r="AC266" t="s">
        <v>5649</v>
      </c>
      <c r="AD266" t="s">
        <v>5650</v>
      </c>
      <c r="AE266" t="s">
        <v>5651</v>
      </c>
      <c r="AF266" t="s">
        <v>74</v>
      </c>
      <c r="AG266">
        <v>27</v>
      </c>
      <c r="AH266">
        <v>6</v>
      </c>
      <c r="AI266">
        <v>6</v>
      </c>
      <c r="AJ266">
        <v>13</v>
      </c>
      <c r="AK266">
        <v>27</v>
      </c>
      <c r="AL266" t="s">
        <v>5652</v>
      </c>
      <c r="AM266" t="s">
        <v>5653</v>
      </c>
      <c r="AN266" t="s">
        <v>5654</v>
      </c>
      <c r="AO266" t="s">
        <v>5655</v>
      </c>
      <c r="AP266" t="s">
        <v>5656</v>
      </c>
      <c r="AQ266" t="s">
        <v>74</v>
      </c>
      <c r="AR266" t="s">
        <v>5640</v>
      </c>
      <c r="AS266" t="s">
        <v>100</v>
      </c>
      <c r="AT266" t="s">
        <v>320</v>
      </c>
      <c r="AU266">
        <v>2022</v>
      </c>
      <c r="AV266">
        <v>50</v>
      </c>
      <c r="AW266">
        <v>8</v>
      </c>
      <c r="AX266" t="s">
        <v>74</v>
      </c>
      <c r="AY266" t="s">
        <v>74</v>
      </c>
      <c r="AZ266" t="s">
        <v>74</v>
      </c>
      <c r="BA266" t="s">
        <v>74</v>
      </c>
      <c r="BB266">
        <v>949</v>
      </c>
      <c r="BC266">
        <v>953</v>
      </c>
      <c r="BD266" t="s">
        <v>74</v>
      </c>
      <c r="BE266" t="s">
        <v>5657</v>
      </c>
      <c r="BF266" t="str">
        <f>HYPERLINK("http://dx.doi.org/10.1130/G50009.1","http://dx.doi.org/10.1130/G50009.1")</f>
        <v>http://dx.doi.org/10.1130/G50009.1</v>
      </c>
      <c r="BG266" t="s">
        <v>74</v>
      </c>
      <c r="BH266" t="s">
        <v>3111</v>
      </c>
      <c r="BI266">
        <v>5</v>
      </c>
      <c r="BJ266" t="s">
        <v>100</v>
      </c>
      <c r="BK266" t="s">
        <v>101</v>
      </c>
      <c r="BL266" t="s">
        <v>100</v>
      </c>
      <c r="BM266" t="s">
        <v>5658</v>
      </c>
      <c r="BN266" t="s">
        <v>74</v>
      </c>
      <c r="BO266" t="s">
        <v>5659</v>
      </c>
      <c r="BP266" t="s">
        <v>74</v>
      </c>
      <c r="BQ266" t="s">
        <v>74</v>
      </c>
      <c r="BR266" t="s">
        <v>103</v>
      </c>
      <c r="BS266" t="s">
        <v>5660</v>
      </c>
      <c r="BT266" t="str">
        <f>HYPERLINK("https%3A%2F%2Fwww.webofscience.com%2Fwos%2Fwoscc%2Ffull-record%2FWOS:000798277600001","View Full Record in Web of Science")</f>
        <v>View Full Record in Web of Science</v>
      </c>
    </row>
    <row r="267" spans="1:72" x14ac:dyDescent="0.15">
      <c r="A267" t="s">
        <v>72</v>
      </c>
      <c r="B267" t="s">
        <v>5661</v>
      </c>
      <c r="C267" t="s">
        <v>74</v>
      </c>
      <c r="D267" t="s">
        <v>74</v>
      </c>
      <c r="E267" t="s">
        <v>74</v>
      </c>
      <c r="F267" t="s">
        <v>5662</v>
      </c>
      <c r="G267" t="s">
        <v>74</v>
      </c>
      <c r="H267" t="s">
        <v>74</v>
      </c>
      <c r="I267" t="s">
        <v>5663</v>
      </c>
      <c r="J267" t="s">
        <v>5664</v>
      </c>
      <c r="K267" t="s">
        <v>74</v>
      </c>
      <c r="L267" t="s">
        <v>74</v>
      </c>
      <c r="M267" t="s">
        <v>78</v>
      </c>
      <c r="N267" t="s">
        <v>79</v>
      </c>
      <c r="O267" t="s">
        <v>74</v>
      </c>
      <c r="P267" t="s">
        <v>74</v>
      </c>
      <c r="Q267" t="s">
        <v>74</v>
      </c>
      <c r="R267" t="s">
        <v>74</v>
      </c>
      <c r="S267" t="s">
        <v>74</v>
      </c>
      <c r="T267" t="s">
        <v>5665</v>
      </c>
      <c r="U267" t="s">
        <v>5666</v>
      </c>
      <c r="V267" t="s">
        <v>5667</v>
      </c>
      <c r="W267" t="s">
        <v>5668</v>
      </c>
      <c r="X267" t="s">
        <v>5669</v>
      </c>
      <c r="Y267" t="s">
        <v>5670</v>
      </c>
      <c r="Z267" t="s">
        <v>5671</v>
      </c>
      <c r="AA267" t="s">
        <v>5672</v>
      </c>
      <c r="AB267" t="s">
        <v>5673</v>
      </c>
      <c r="AC267" t="s">
        <v>5674</v>
      </c>
      <c r="AD267" t="s">
        <v>5675</v>
      </c>
      <c r="AE267" t="s">
        <v>5676</v>
      </c>
      <c r="AF267" t="s">
        <v>74</v>
      </c>
      <c r="AG267">
        <v>76</v>
      </c>
      <c r="AH267">
        <v>7</v>
      </c>
      <c r="AI267">
        <v>8</v>
      </c>
      <c r="AJ267">
        <v>7</v>
      </c>
      <c r="AK267">
        <v>47</v>
      </c>
      <c r="AL267" t="s">
        <v>5677</v>
      </c>
      <c r="AM267" t="s">
        <v>2043</v>
      </c>
      <c r="AN267" t="s">
        <v>5678</v>
      </c>
      <c r="AO267" t="s">
        <v>5679</v>
      </c>
      <c r="AP267" t="s">
        <v>74</v>
      </c>
      <c r="AQ267" t="s">
        <v>74</v>
      </c>
      <c r="AR267" t="s">
        <v>5664</v>
      </c>
      <c r="AS267" t="s">
        <v>5680</v>
      </c>
      <c r="AT267" t="s">
        <v>5681</v>
      </c>
      <c r="AU267">
        <v>2022</v>
      </c>
      <c r="AV267">
        <v>13</v>
      </c>
      <c r="AW267">
        <v>3</v>
      </c>
      <c r="AX267" t="s">
        <v>74</v>
      </c>
      <c r="AY267" t="s">
        <v>74</v>
      </c>
      <c r="AZ267" t="s">
        <v>74</v>
      </c>
      <c r="BA267" t="s">
        <v>74</v>
      </c>
      <c r="BB267" t="s">
        <v>74</v>
      </c>
      <c r="BC267" t="s">
        <v>74</v>
      </c>
      <c r="BD267" t="s">
        <v>74</v>
      </c>
      <c r="BE267" t="s">
        <v>5682</v>
      </c>
      <c r="BF267" t="str">
        <f>HYPERLINK("http://dx.doi.org/10.1128/mbio.00651-22","http://dx.doi.org/10.1128/mbio.00651-22")</f>
        <v>http://dx.doi.org/10.1128/mbio.00651-22</v>
      </c>
      <c r="BG267" t="s">
        <v>74</v>
      </c>
      <c r="BH267" t="s">
        <v>3111</v>
      </c>
      <c r="BI267">
        <v>16</v>
      </c>
      <c r="BJ267" t="s">
        <v>293</v>
      </c>
      <c r="BK267" t="s">
        <v>101</v>
      </c>
      <c r="BL267" t="s">
        <v>293</v>
      </c>
      <c r="BM267" t="s">
        <v>5683</v>
      </c>
      <c r="BN267">
        <v>35532161</v>
      </c>
      <c r="BO267" t="s">
        <v>295</v>
      </c>
      <c r="BP267" t="s">
        <v>74</v>
      </c>
      <c r="BQ267" t="s">
        <v>74</v>
      </c>
      <c r="BR267" t="s">
        <v>103</v>
      </c>
      <c r="BS267" t="s">
        <v>5684</v>
      </c>
      <c r="BT267" t="str">
        <f>HYPERLINK("https%3A%2F%2Fwww.webofscience.com%2Fwos%2Fwoscc%2Ffull-record%2FWOS:000797888900002","View Full Record in Web of Science")</f>
        <v>View Full Record in Web of Science</v>
      </c>
    </row>
    <row r="268" spans="1:72" x14ac:dyDescent="0.15">
      <c r="A268" t="s">
        <v>72</v>
      </c>
      <c r="B268" t="s">
        <v>5685</v>
      </c>
      <c r="C268" t="s">
        <v>74</v>
      </c>
      <c r="D268" t="s">
        <v>74</v>
      </c>
      <c r="E268" t="s">
        <v>74</v>
      </c>
      <c r="F268" t="s">
        <v>5686</v>
      </c>
      <c r="G268" t="s">
        <v>74</v>
      </c>
      <c r="H268" t="s">
        <v>74</v>
      </c>
      <c r="I268" t="s">
        <v>5687</v>
      </c>
      <c r="J268" t="s">
        <v>5688</v>
      </c>
      <c r="K268" t="s">
        <v>74</v>
      </c>
      <c r="L268" t="s">
        <v>74</v>
      </c>
      <c r="M268" t="s">
        <v>78</v>
      </c>
      <c r="N268" t="s">
        <v>79</v>
      </c>
      <c r="O268" t="s">
        <v>74</v>
      </c>
      <c r="P268" t="s">
        <v>74</v>
      </c>
      <c r="Q268" t="s">
        <v>74</v>
      </c>
      <c r="R268" t="s">
        <v>74</v>
      </c>
      <c r="S268" t="s">
        <v>74</v>
      </c>
      <c r="T268" t="s">
        <v>5689</v>
      </c>
      <c r="U268" t="s">
        <v>5690</v>
      </c>
      <c r="V268" t="s">
        <v>5691</v>
      </c>
      <c r="W268" t="s">
        <v>5692</v>
      </c>
      <c r="X268" t="s">
        <v>893</v>
      </c>
      <c r="Y268" t="s">
        <v>5693</v>
      </c>
      <c r="Z268" t="s">
        <v>2877</v>
      </c>
      <c r="AA268" t="s">
        <v>2878</v>
      </c>
      <c r="AB268" t="s">
        <v>2879</v>
      </c>
      <c r="AC268" t="s">
        <v>5694</v>
      </c>
      <c r="AD268" t="s">
        <v>5695</v>
      </c>
      <c r="AE268" t="s">
        <v>5696</v>
      </c>
      <c r="AF268" t="s">
        <v>74</v>
      </c>
      <c r="AG268">
        <v>57</v>
      </c>
      <c r="AH268">
        <v>1</v>
      </c>
      <c r="AI268">
        <v>1</v>
      </c>
      <c r="AJ268">
        <v>3</v>
      </c>
      <c r="AK268">
        <v>12</v>
      </c>
      <c r="AL268" t="s">
        <v>91</v>
      </c>
      <c r="AM268" t="s">
        <v>92</v>
      </c>
      <c r="AN268" t="s">
        <v>93</v>
      </c>
      <c r="AO268" t="s">
        <v>5697</v>
      </c>
      <c r="AP268" t="s">
        <v>5698</v>
      </c>
      <c r="AQ268" t="s">
        <v>74</v>
      </c>
      <c r="AR268" t="s">
        <v>5699</v>
      </c>
      <c r="AS268" t="s">
        <v>5700</v>
      </c>
      <c r="AT268" t="s">
        <v>206</v>
      </c>
      <c r="AU268">
        <v>2022</v>
      </c>
      <c r="AV268">
        <v>32</v>
      </c>
      <c r="AW268">
        <v>7</v>
      </c>
      <c r="AX268" t="s">
        <v>74</v>
      </c>
      <c r="AY268" t="s">
        <v>74</v>
      </c>
      <c r="AZ268" t="s">
        <v>74</v>
      </c>
      <c r="BA268" t="s">
        <v>74</v>
      </c>
      <c r="BB268">
        <v>1115</v>
      </c>
      <c r="BC268">
        <v>1125</v>
      </c>
      <c r="BD268" t="s">
        <v>74</v>
      </c>
      <c r="BE268" t="s">
        <v>5701</v>
      </c>
      <c r="BF268" t="str">
        <f>HYPERLINK("http://dx.doi.org/10.1002/aqc.3825","http://dx.doi.org/10.1002/aqc.3825")</f>
        <v>http://dx.doi.org/10.1002/aqc.3825</v>
      </c>
      <c r="BG268" t="s">
        <v>74</v>
      </c>
      <c r="BH268" t="s">
        <v>3111</v>
      </c>
      <c r="BI268">
        <v>11</v>
      </c>
      <c r="BJ268" t="s">
        <v>5702</v>
      </c>
      <c r="BK268" t="s">
        <v>101</v>
      </c>
      <c r="BL268" t="s">
        <v>5703</v>
      </c>
      <c r="BM268" t="s">
        <v>5704</v>
      </c>
      <c r="BN268" t="s">
        <v>74</v>
      </c>
      <c r="BO268" t="s">
        <v>267</v>
      </c>
      <c r="BP268" t="s">
        <v>74</v>
      </c>
      <c r="BQ268" t="s">
        <v>74</v>
      </c>
      <c r="BR268" t="s">
        <v>103</v>
      </c>
      <c r="BS268" t="s">
        <v>5705</v>
      </c>
      <c r="BT268" t="str">
        <f>HYPERLINK("https%3A%2F%2Fwww.webofscience.com%2Fwos%2Fwoscc%2Ffull-record%2FWOS:000792511100001","View Full Record in Web of Science")</f>
        <v>View Full Record in Web of Science</v>
      </c>
    </row>
    <row r="269" spans="1:72" x14ac:dyDescent="0.15">
      <c r="A269" t="s">
        <v>72</v>
      </c>
      <c r="B269" t="s">
        <v>5706</v>
      </c>
      <c r="C269" t="s">
        <v>74</v>
      </c>
      <c r="D269" t="s">
        <v>74</v>
      </c>
      <c r="E269" t="s">
        <v>74</v>
      </c>
      <c r="F269" t="s">
        <v>5707</v>
      </c>
      <c r="G269" t="s">
        <v>74</v>
      </c>
      <c r="H269" t="s">
        <v>74</v>
      </c>
      <c r="I269" t="s">
        <v>5708</v>
      </c>
      <c r="J269" t="s">
        <v>5709</v>
      </c>
      <c r="K269" t="s">
        <v>74</v>
      </c>
      <c r="L269" t="s">
        <v>74</v>
      </c>
      <c r="M269" t="s">
        <v>78</v>
      </c>
      <c r="N269" t="s">
        <v>79</v>
      </c>
      <c r="O269" t="s">
        <v>74</v>
      </c>
      <c r="P269" t="s">
        <v>74</v>
      </c>
      <c r="Q269" t="s">
        <v>74</v>
      </c>
      <c r="R269" t="s">
        <v>74</v>
      </c>
      <c r="S269" t="s">
        <v>74</v>
      </c>
      <c r="T269" t="s">
        <v>5710</v>
      </c>
      <c r="U269" t="s">
        <v>5711</v>
      </c>
      <c r="V269" t="s">
        <v>5712</v>
      </c>
      <c r="W269" t="s">
        <v>5713</v>
      </c>
      <c r="X269" t="s">
        <v>5714</v>
      </c>
      <c r="Y269" t="s">
        <v>5715</v>
      </c>
      <c r="Z269" t="s">
        <v>5716</v>
      </c>
      <c r="AA269" t="s">
        <v>74</v>
      </c>
      <c r="AB269" t="s">
        <v>5717</v>
      </c>
      <c r="AC269" t="s">
        <v>74</v>
      </c>
      <c r="AD269" t="s">
        <v>74</v>
      </c>
      <c r="AE269" t="s">
        <v>74</v>
      </c>
      <c r="AF269" t="s">
        <v>74</v>
      </c>
      <c r="AG269">
        <v>73</v>
      </c>
      <c r="AH269">
        <v>0</v>
      </c>
      <c r="AI269">
        <v>0</v>
      </c>
      <c r="AJ269">
        <v>0</v>
      </c>
      <c r="AK269">
        <v>6</v>
      </c>
      <c r="AL269" t="s">
        <v>530</v>
      </c>
      <c r="AM269" t="s">
        <v>531</v>
      </c>
      <c r="AN269" t="s">
        <v>532</v>
      </c>
      <c r="AO269" t="s">
        <v>5718</v>
      </c>
      <c r="AP269" t="s">
        <v>5719</v>
      </c>
      <c r="AQ269" t="s">
        <v>74</v>
      </c>
      <c r="AR269" t="s">
        <v>5720</v>
      </c>
      <c r="AS269" t="s">
        <v>5721</v>
      </c>
      <c r="AT269" t="s">
        <v>346</v>
      </c>
      <c r="AU269">
        <v>2022</v>
      </c>
      <c r="AV269">
        <v>19</v>
      </c>
      <c r="AW269">
        <v>8</v>
      </c>
      <c r="AX269" t="s">
        <v>74</v>
      </c>
      <c r="AY269" t="s">
        <v>74</v>
      </c>
      <c r="AZ269" t="s">
        <v>74</v>
      </c>
      <c r="BA269" t="s">
        <v>74</v>
      </c>
      <c r="BB269">
        <v>3627</v>
      </c>
      <c r="BC269">
        <v>3636</v>
      </c>
      <c r="BD269" t="s">
        <v>74</v>
      </c>
      <c r="BE269" t="s">
        <v>5722</v>
      </c>
      <c r="BF269" t="str">
        <f>HYPERLINK("http://dx.doi.org/10.1007/s13738-022-02560-5","http://dx.doi.org/10.1007/s13738-022-02560-5")</f>
        <v>http://dx.doi.org/10.1007/s13738-022-02560-5</v>
      </c>
      <c r="BG269" t="s">
        <v>74</v>
      </c>
      <c r="BH269" t="s">
        <v>3111</v>
      </c>
      <c r="BI269">
        <v>10</v>
      </c>
      <c r="BJ269" t="s">
        <v>5723</v>
      </c>
      <c r="BK269" t="s">
        <v>101</v>
      </c>
      <c r="BL269" t="s">
        <v>5724</v>
      </c>
      <c r="BM269" t="s">
        <v>5725</v>
      </c>
      <c r="BN269" t="s">
        <v>74</v>
      </c>
      <c r="BO269" t="s">
        <v>74</v>
      </c>
      <c r="BP269" t="s">
        <v>74</v>
      </c>
      <c r="BQ269" t="s">
        <v>74</v>
      </c>
      <c r="BR269" t="s">
        <v>103</v>
      </c>
      <c r="BS269" t="s">
        <v>5726</v>
      </c>
      <c r="BT269" t="str">
        <f>HYPERLINK("https%3A%2F%2Fwww.webofscience.com%2Fwos%2Fwoscc%2Ffull-record%2FWOS:000791915800001","View Full Record in Web of Science")</f>
        <v>View Full Record in Web of Science</v>
      </c>
    </row>
    <row r="270" spans="1:72" x14ac:dyDescent="0.15">
      <c r="A270" t="s">
        <v>72</v>
      </c>
      <c r="B270" t="s">
        <v>5727</v>
      </c>
      <c r="C270" t="s">
        <v>74</v>
      </c>
      <c r="D270" t="s">
        <v>74</v>
      </c>
      <c r="E270" t="s">
        <v>74</v>
      </c>
      <c r="F270" t="s">
        <v>5728</v>
      </c>
      <c r="G270" t="s">
        <v>74</v>
      </c>
      <c r="H270" t="s">
        <v>74</v>
      </c>
      <c r="I270" t="s">
        <v>5729</v>
      </c>
      <c r="J270" t="s">
        <v>5730</v>
      </c>
      <c r="K270" t="s">
        <v>74</v>
      </c>
      <c r="L270" t="s">
        <v>74</v>
      </c>
      <c r="M270" t="s">
        <v>78</v>
      </c>
      <c r="N270" t="s">
        <v>79</v>
      </c>
      <c r="O270" t="s">
        <v>74</v>
      </c>
      <c r="P270" t="s">
        <v>74</v>
      </c>
      <c r="Q270" t="s">
        <v>74</v>
      </c>
      <c r="R270" t="s">
        <v>74</v>
      </c>
      <c r="S270" t="s">
        <v>74</v>
      </c>
      <c r="T270" t="s">
        <v>5731</v>
      </c>
      <c r="U270" t="s">
        <v>5732</v>
      </c>
      <c r="V270" t="s">
        <v>5733</v>
      </c>
      <c r="W270" t="s">
        <v>5734</v>
      </c>
      <c r="X270" t="s">
        <v>74</v>
      </c>
      <c r="Y270" t="s">
        <v>5735</v>
      </c>
      <c r="Z270" t="s">
        <v>5736</v>
      </c>
      <c r="AA270" t="s">
        <v>5737</v>
      </c>
      <c r="AB270" t="s">
        <v>5738</v>
      </c>
      <c r="AC270" t="s">
        <v>5739</v>
      </c>
      <c r="AD270" t="s">
        <v>5740</v>
      </c>
      <c r="AE270" t="s">
        <v>5741</v>
      </c>
      <c r="AF270" t="s">
        <v>74</v>
      </c>
      <c r="AG270">
        <v>38</v>
      </c>
      <c r="AH270">
        <v>2</v>
      </c>
      <c r="AI270">
        <v>2</v>
      </c>
      <c r="AJ270">
        <v>1</v>
      </c>
      <c r="AK270">
        <v>9</v>
      </c>
      <c r="AL270" t="s">
        <v>257</v>
      </c>
      <c r="AM270" t="s">
        <v>258</v>
      </c>
      <c r="AN270" t="s">
        <v>259</v>
      </c>
      <c r="AO270" t="s">
        <v>5742</v>
      </c>
      <c r="AP270" t="s">
        <v>5743</v>
      </c>
      <c r="AQ270" t="s">
        <v>74</v>
      </c>
      <c r="AR270" t="s">
        <v>5744</v>
      </c>
      <c r="AS270" t="s">
        <v>5745</v>
      </c>
      <c r="AT270" t="s">
        <v>5746</v>
      </c>
      <c r="AU270">
        <v>2022</v>
      </c>
      <c r="AV270">
        <v>173</v>
      </c>
      <c r="AW270" t="s">
        <v>5747</v>
      </c>
      <c r="AX270" t="s">
        <v>74</v>
      </c>
      <c r="AY270" t="s">
        <v>74</v>
      </c>
      <c r="AZ270" t="s">
        <v>74</v>
      </c>
      <c r="BA270" t="s">
        <v>74</v>
      </c>
      <c r="BB270" t="s">
        <v>74</v>
      </c>
      <c r="BC270" t="s">
        <v>74</v>
      </c>
      <c r="BD270">
        <v>103939</v>
      </c>
      <c r="BE270" t="s">
        <v>5748</v>
      </c>
      <c r="BF270" t="str">
        <f>HYPERLINK("http://dx.doi.org/10.1016/j.resmic.2022.103939","http://dx.doi.org/10.1016/j.resmic.2022.103939")</f>
        <v>http://dx.doi.org/10.1016/j.resmic.2022.103939</v>
      </c>
      <c r="BG270" t="s">
        <v>74</v>
      </c>
      <c r="BH270" t="s">
        <v>3111</v>
      </c>
      <c r="BI270">
        <v>9</v>
      </c>
      <c r="BJ270" t="s">
        <v>293</v>
      </c>
      <c r="BK270" t="s">
        <v>101</v>
      </c>
      <c r="BL270" t="s">
        <v>293</v>
      </c>
      <c r="BM270" t="s">
        <v>5749</v>
      </c>
      <c r="BN270">
        <v>35307545</v>
      </c>
      <c r="BO270" t="s">
        <v>267</v>
      </c>
      <c r="BP270" t="s">
        <v>74</v>
      </c>
      <c r="BQ270" t="s">
        <v>74</v>
      </c>
      <c r="BR270" t="s">
        <v>103</v>
      </c>
      <c r="BS270" t="s">
        <v>5750</v>
      </c>
      <c r="BT270" t="str">
        <f>HYPERLINK("https%3A%2F%2Fwww.webofscience.com%2Fwos%2Fwoscc%2Ffull-record%2FWOS:000808090400003","View Full Record in Web of Science")</f>
        <v>View Full Record in Web of Science</v>
      </c>
    </row>
    <row r="271" spans="1:72" x14ac:dyDescent="0.15">
      <c r="A271" t="s">
        <v>72</v>
      </c>
      <c r="B271" t="s">
        <v>5751</v>
      </c>
      <c r="C271" t="s">
        <v>74</v>
      </c>
      <c r="D271" t="s">
        <v>74</v>
      </c>
      <c r="E271" t="s">
        <v>74</v>
      </c>
      <c r="F271" t="s">
        <v>5752</v>
      </c>
      <c r="G271" t="s">
        <v>74</v>
      </c>
      <c r="H271" t="s">
        <v>74</v>
      </c>
      <c r="I271" t="s">
        <v>5753</v>
      </c>
      <c r="J271" t="s">
        <v>5754</v>
      </c>
      <c r="K271" t="s">
        <v>74</v>
      </c>
      <c r="L271" t="s">
        <v>74</v>
      </c>
      <c r="M271" t="s">
        <v>78</v>
      </c>
      <c r="N271" t="s">
        <v>79</v>
      </c>
      <c r="O271" t="s">
        <v>74</v>
      </c>
      <c r="P271" t="s">
        <v>74</v>
      </c>
      <c r="Q271" t="s">
        <v>74</v>
      </c>
      <c r="R271" t="s">
        <v>74</v>
      </c>
      <c r="S271" t="s">
        <v>74</v>
      </c>
      <c r="T271" t="s">
        <v>5755</v>
      </c>
      <c r="U271" t="s">
        <v>5756</v>
      </c>
      <c r="V271" t="s">
        <v>5757</v>
      </c>
      <c r="W271" t="s">
        <v>5758</v>
      </c>
      <c r="X271" t="s">
        <v>5759</v>
      </c>
      <c r="Y271" t="s">
        <v>5760</v>
      </c>
      <c r="Z271" t="s">
        <v>5761</v>
      </c>
      <c r="AA271" t="s">
        <v>5762</v>
      </c>
      <c r="AB271" t="s">
        <v>5763</v>
      </c>
      <c r="AC271" t="s">
        <v>5764</v>
      </c>
      <c r="AD271" t="s">
        <v>5765</v>
      </c>
      <c r="AE271" t="s">
        <v>5766</v>
      </c>
      <c r="AF271" t="s">
        <v>74</v>
      </c>
      <c r="AG271">
        <v>36</v>
      </c>
      <c r="AH271">
        <v>4</v>
      </c>
      <c r="AI271">
        <v>4</v>
      </c>
      <c r="AJ271">
        <v>3</v>
      </c>
      <c r="AK271">
        <v>21</v>
      </c>
      <c r="AL271" t="s">
        <v>257</v>
      </c>
      <c r="AM271" t="s">
        <v>258</v>
      </c>
      <c r="AN271" t="s">
        <v>259</v>
      </c>
      <c r="AO271" t="s">
        <v>5767</v>
      </c>
      <c r="AP271" t="s">
        <v>5768</v>
      </c>
      <c r="AQ271" t="s">
        <v>74</v>
      </c>
      <c r="AR271" t="s">
        <v>5769</v>
      </c>
      <c r="AS271" t="s">
        <v>5770</v>
      </c>
      <c r="AT271" t="s">
        <v>206</v>
      </c>
      <c r="AU271">
        <v>2022</v>
      </c>
      <c r="AV271">
        <v>199</v>
      </c>
      <c r="AW271" t="s">
        <v>74</v>
      </c>
      <c r="AX271" t="s">
        <v>74</v>
      </c>
      <c r="AY271" t="s">
        <v>74</v>
      </c>
      <c r="AZ271" t="s">
        <v>74</v>
      </c>
      <c r="BA271" t="s">
        <v>74</v>
      </c>
      <c r="BB271" t="s">
        <v>74</v>
      </c>
      <c r="BC271" t="s">
        <v>74</v>
      </c>
      <c r="BD271">
        <v>103578</v>
      </c>
      <c r="BE271" t="s">
        <v>5771</v>
      </c>
      <c r="BF271" t="str">
        <f>HYPERLINK("http://dx.doi.org/10.1016/j.coldregions.2022.103578","http://dx.doi.org/10.1016/j.coldregions.2022.103578")</f>
        <v>http://dx.doi.org/10.1016/j.coldregions.2022.103578</v>
      </c>
      <c r="BG271" t="s">
        <v>74</v>
      </c>
      <c r="BH271" t="s">
        <v>3111</v>
      </c>
      <c r="BI271">
        <v>11</v>
      </c>
      <c r="BJ271" t="s">
        <v>5772</v>
      </c>
      <c r="BK271" t="s">
        <v>101</v>
      </c>
      <c r="BL271" t="s">
        <v>5773</v>
      </c>
      <c r="BM271" t="s">
        <v>5774</v>
      </c>
      <c r="BN271" t="s">
        <v>74</v>
      </c>
      <c r="BO271" t="s">
        <v>643</v>
      </c>
      <c r="BP271" t="s">
        <v>74</v>
      </c>
      <c r="BQ271" t="s">
        <v>74</v>
      </c>
      <c r="BR271" t="s">
        <v>103</v>
      </c>
      <c r="BS271" t="s">
        <v>5775</v>
      </c>
      <c r="BT271" t="str">
        <f>HYPERLINK("https%3A%2F%2Fwww.webofscience.com%2Fwos%2Fwoscc%2Ffull-record%2FWOS:000799959500005","View Full Record in Web of Science")</f>
        <v>View Full Record in Web of Science</v>
      </c>
    </row>
    <row r="272" spans="1:72" x14ac:dyDescent="0.15">
      <c r="A272" t="s">
        <v>72</v>
      </c>
      <c r="B272" t="s">
        <v>5776</v>
      </c>
      <c r="C272" t="s">
        <v>74</v>
      </c>
      <c r="D272" t="s">
        <v>74</v>
      </c>
      <c r="E272" t="s">
        <v>74</v>
      </c>
      <c r="F272" t="s">
        <v>5777</v>
      </c>
      <c r="G272" t="s">
        <v>74</v>
      </c>
      <c r="H272" t="s">
        <v>74</v>
      </c>
      <c r="I272" t="s">
        <v>5778</v>
      </c>
      <c r="J272" t="s">
        <v>5779</v>
      </c>
      <c r="K272" t="s">
        <v>74</v>
      </c>
      <c r="L272" t="s">
        <v>74</v>
      </c>
      <c r="M272" t="s">
        <v>78</v>
      </c>
      <c r="N272" t="s">
        <v>79</v>
      </c>
      <c r="O272" t="s">
        <v>74</v>
      </c>
      <c r="P272" t="s">
        <v>74</v>
      </c>
      <c r="Q272" t="s">
        <v>74</v>
      </c>
      <c r="R272" t="s">
        <v>74</v>
      </c>
      <c r="S272" t="s">
        <v>74</v>
      </c>
      <c r="T272" t="s">
        <v>5780</v>
      </c>
      <c r="U272" t="s">
        <v>5781</v>
      </c>
      <c r="V272" t="s">
        <v>5782</v>
      </c>
      <c r="W272" t="s">
        <v>5783</v>
      </c>
      <c r="X272" t="s">
        <v>5784</v>
      </c>
      <c r="Y272" t="s">
        <v>5785</v>
      </c>
      <c r="Z272" t="s">
        <v>5786</v>
      </c>
      <c r="AA272" t="s">
        <v>5787</v>
      </c>
      <c r="AB272" t="s">
        <v>5788</v>
      </c>
      <c r="AC272" t="s">
        <v>5789</v>
      </c>
      <c r="AD272" t="s">
        <v>5790</v>
      </c>
      <c r="AE272" t="s">
        <v>5791</v>
      </c>
      <c r="AF272" t="s">
        <v>74</v>
      </c>
      <c r="AG272">
        <v>90</v>
      </c>
      <c r="AH272">
        <v>6</v>
      </c>
      <c r="AI272">
        <v>6</v>
      </c>
      <c r="AJ272">
        <v>1</v>
      </c>
      <c r="AK272">
        <v>17</v>
      </c>
      <c r="AL272" t="s">
        <v>1000</v>
      </c>
      <c r="AM272" t="s">
        <v>531</v>
      </c>
      <c r="AN272" t="s">
        <v>1001</v>
      </c>
      <c r="AO272" t="s">
        <v>5792</v>
      </c>
      <c r="AP272" t="s">
        <v>5793</v>
      </c>
      <c r="AQ272" t="s">
        <v>74</v>
      </c>
      <c r="AR272" t="s">
        <v>5794</v>
      </c>
      <c r="AS272" t="s">
        <v>5795</v>
      </c>
      <c r="AT272" t="s">
        <v>537</v>
      </c>
      <c r="AU272">
        <v>2022</v>
      </c>
      <c r="AV272">
        <v>42</v>
      </c>
      <c r="AW272" t="s">
        <v>74</v>
      </c>
      <c r="AX272" t="s">
        <v>74</v>
      </c>
      <c r="AY272" t="s">
        <v>74</v>
      </c>
      <c r="AZ272" t="s">
        <v>74</v>
      </c>
      <c r="BA272" t="s">
        <v>74</v>
      </c>
      <c r="BB272" t="s">
        <v>74</v>
      </c>
      <c r="BC272" t="s">
        <v>74</v>
      </c>
      <c r="BD272">
        <v>100994</v>
      </c>
      <c r="BE272" t="s">
        <v>5796</v>
      </c>
      <c r="BF272" t="str">
        <f>HYPERLINK("http://dx.doi.org/10.1016/j.cbd.2022.100994","http://dx.doi.org/10.1016/j.cbd.2022.100994")</f>
        <v>http://dx.doi.org/10.1016/j.cbd.2022.100994</v>
      </c>
      <c r="BG272" t="s">
        <v>74</v>
      </c>
      <c r="BH272" t="s">
        <v>3111</v>
      </c>
      <c r="BI272">
        <v>12</v>
      </c>
      <c r="BJ272" t="s">
        <v>5797</v>
      </c>
      <c r="BK272" t="s">
        <v>101</v>
      </c>
      <c r="BL272" t="s">
        <v>5797</v>
      </c>
      <c r="BM272" t="s">
        <v>5798</v>
      </c>
      <c r="BN272">
        <v>35533546</v>
      </c>
      <c r="BO272" t="s">
        <v>74</v>
      </c>
      <c r="BP272" t="s">
        <v>74</v>
      </c>
      <c r="BQ272" t="s">
        <v>74</v>
      </c>
      <c r="BR272" t="s">
        <v>103</v>
      </c>
      <c r="BS272" t="s">
        <v>5799</v>
      </c>
      <c r="BT272" t="str">
        <f>HYPERLINK("https%3A%2F%2Fwww.webofscience.com%2Fwos%2Fwoscc%2Ffull-record%2FWOS:000798284800001","View Full Record in Web of Science")</f>
        <v>View Full Record in Web of Science</v>
      </c>
    </row>
    <row r="273" spans="1:72" x14ac:dyDescent="0.15">
      <c r="A273" t="s">
        <v>72</v>
      </c>
      <c r="B273" t="s">
        <v>5800</v>
      </c>
      <c r="C273" t="s">
        <v>74</v>
      </c>
      <c r="D273" t="s">
        <v>74</v>
      </c>
      <c r="E273" t="s">
        <v>74</v>
      </c>
      <c r="F273" t="s">
        <v>5801</v>
      </c>
      <c r="G273" t="s">
        <v>74</v>
      </c>
      <c r="H273" t="s">
        <v>74</v>
      </c>
      <c r="I273" t="s">
        <v>5802</v>
      </c>
      <c r="J273" t="s">
        <v>5803</v>
      </c>
      <c r="K273" t="s">
        <v>74</v>
      </c>
      <c r="L273" t="s">
        <v>74</v>
      </c>
      <c r="M273" t="s">
        <v>78</v>
      </c>
      <c r="N273" t="s">
        <v>79</v>
      </c>
      <c r="O273" t="s">
        <v>74</v>
      </c>
      <c r="P273" t="s">
        <v>74</v>
      </c>
      <c r="Q273" t="s">
        <v>74</v>
      </c>
      <c r="R273" t="s">
        <v>74</v>
      </c>
      <c r="S273" t="s">
        <v>74</v>
      </c>
      <c r="T273" t="s">
        <v>74</v>
      </c>
      <c r="U273" t="s">
        <v>5804</v>
      </c>
      <c r="V273" t="s">
        <v>5805</v>
      </c>
      <c r="W273" t="s">
        <v>5806</v>
      </c>
      <c r="X273" t="s">
        <v>5807</v>
      </c>
      <c r="Y273" t="s">
        <v>5808</v>
      </c>
      <c r="Z273" t="s">
        <v>5809</v>
      </c>
      <c r="AA273" t="s">
        <v>5810</v>
      </c>
      <c r="AB273" t="s">
        <v>5811</v>
      </c>
      <c r="AC273" t="s">
        <v>5812</v>
      </c>
      <c r="AD273" t="s">
        <v>5813</v>
      </c>
      <c r="AE273" t="s">
        <v>5814</v>
      </c>
      <c r="AF273" t="s">
        <v>74</v>
      </c>
      <c r="AG273">
        <v>74</v>
      </c>
      <c r="AH273">
        <v>16</v>
      </c>
      <c r="AI273">
        <v>17</v>
      </c>
      <c r="AJ273">
        <v>2</v>
      </c>
      <c r="AK273">
        <v>30</v>
      </c>
      <c r="AL273" t="s">
        <v>5815</v>
      </c>
      <c r="AM273" t="s">
        <v>2043</v>
      </c>
      <c r="AN273" t="s">
        <v>5816</v>
      </c>
      <c r="AO273" t="s">
        <v>5817</v>
      </c>
      <c r="AP273" t="s">
        <v>5818</v>
      </c>
      <c r="AQ273" t="s">
        <v>74</v>
      </c>
      <c r="AR273" t="s">
        <v>5803</v>
      </c>
      <c r="AS273" t="s">
        <v>5819</v>
      </c>
      <c r="AT273" t="s">
        <v>5820</v>
      </c>
      <c r="AU273">
        <v>2022</v>
      </c>
      <c r="AV273">
        <v>376</v>
      </c>
      <c r="AW273">
        <v>6593</v>
      </c>
      <c r="AX273" t="s">
        <v>74</v>
      </c>
      <c r="AY273" t="s">
        <v>74</v>
      </c>
      <c r="AZ273" t="s">
        <v>74</v>
      </c>
      <c r="BA273" t="s">
        <v>74</v>
      </c>
      <c r="BB273">
        <v>640</v>
      </c>
      <c r="BC273" t="s">
        <v>462</v>
      </c>
      <c r="BD273" t="s">
        <v>74</v>
      </c>
      <c r="BE273" t="s">
        <v>5821</v>
      </c>
      <c r="BF273" t="str">
        <f>HYPERLINK("http://dx.doi.org/10.1126/science.abm3301","http://dx.doi.org/10.1126/science.abm3301")</f>
        <v>http://dx.doi.org/10.1126/science.abm3301</v>
      </c>
      <c r="BG273" t="s">
        <v>74</v>
      </c>
      <c r="BH273" t="s">
        <v>74</v>
      </c>
      <c r="BI273">
        <v>38</v>
      </c>
      <c r="BJ273" t="s">
        <v>657</v>
      </c>
      <c r="BK273" t="s">
        <v>101</v>
      </c>
      <c r="BL273" t="s">
        <v>658</v>
      </c>
      <c r="BM273" t="s">
        <v>5822</v>
      </c>
      <c r="BN273">
        <v>35511981</v>
      </c>
      <c r="BO273" t="s">
        <v>1483</v>
      </c>
      <c r="BP273" t="s">
        <v>74</v>
      </c>
      <c r="BQ273" t="s">
        <v>74</v>
      </c>
      <c r="BR273" t="s">
        <v>103</v>
      </c>
      <c r="BS273" t="s">
        <v>5823</v>
      </c>
      <c r="BT273" t="str">
        <f>HYPERLINK("https%3A%2F%2Fwww.webofscience.com%2Fwos%2Fwoscc%2Ffull-record%2FWOS:000796932700045","View Full Record in Web of Science")</f>
        <v>View Full Record in Web of Science</v>
      </c>
    </row>
    <row r="274" spans="1:72" x14ac:dyDescent="0.15">
      <c r="A274" t="s">
        <v>72</v>
      </c>
      <c r="B274" t="s">
        <v>5824</v>
      </c>
      <c r="C274" t="s">
        <v>74</v>
      </c>
      <c r="D274" t="s">
        <v>74</v>
      </c>
      <c r="E274" t="s">
        <v>74</v>
      </c>
      <c r="F274" t="s">
        <v>5825</v>
      </c>
      <c r="G274" t="s">
        <v>74</v>
      </c>
      <c r="H274" t="s">
        <v>74</v>
      </c>
      <c r="I274" t="s">
        <v>5826</v>
      </c>
      <c r="J274" t="s">
        <v>4294</v>
      </c>
      <c r="K274" t="s">
        <v>74</v>
      </c>
      <c r="L274" t="s">
        <v>74</v>
      </c>
      <c r="M274" t="s">
        <v>78</v>
      </c>
      <c r="N274" t="s">
        <v>79</v>
      </c>
      <c r="O274" t="s">
        <v>74</v>
      </c>
      <c r="P274" t="s">
        <v>74</v>
      </c>
      <c r="Q274" t="s">
        <v>74</v>
      </c>
      <c r="R274" t="s">
        <v>74</v>
      </c>
      <c r="S274" t="s">
        <v>74</v>
      </c>
      <c r="T274" t="s">
        <v>74</v>
      </c>
      <c r="U274" t="s">
        <v>5827</v>
      </c>
      <c r="V274" t="s">
        <v>5828</v>
      </c>
      <c r="W274" t="s">
        <v>5829</v>
      </c>
      <c r="X274" t="s">
        <v>5830</v>
      </c>
      <c r="Y274" t="s">
        <v>5831</v>
      </c>
      <c r="Z274" t="s">
        <v>5832</v>
      </c>
      <c r="AA274" t="s">
        <v>5833</v>
      </c>
      <c r="AB274" t="s">
        <v>5834</v>
      </c>
      <c r="AC274" t="s">
        <v>5835</v>
      </c>
      <c r="AD274" t="s">
        <v>5836</v>
      </c>
      <c r="AE274" t="s">
        <v>5837</v>
      </c>
      <c r="AF274" t="s">
        <v>74</v>
      </c>
      <c r="AG274">
        <v>107</v>
      </c>
      <c r="AH274">
        <v>7</v>
      </c>
      <c r="AI274">
        <v>7</v>
      </c>
      <c r="AJ274">
        <v>4</v>
      </c>
      <c r="AK274">
        <v>11</v>
      </c>
      <c r="AL274" t="s">
        <v>455</v>
      </c>
      <c r="AM274" t="s">
        <v>456</v>
      </c>
      <c r="AN274" t="s">
        <v>457</v>
      </c>
      <c r="AO274" t="s">
        <v>4306</v>
      </c>
      <c r="AP274" t="s">
        <v>74</v>
      </c>
      <c r="AQ274" t="s">
        <v>74</v>
      </c>
      <c r="AR274" t="s">
        <v>4307</v>
      </c>
      <c r="AS274" t="s">
        <v>4308</v>
      </c>
      <c r="AT274" t="s">
        <v>5820</v>
      </c>
      <c r="AU274">
        <v>2022</v>
      </c>
      <c r="AV274">
        <v>12</v>
      </c>
      <c r="AW274">
        <v>1</v>
      </c>
      <c r="AX274" t="s">
        <v>74</v>
      </c>
      <c r="AY274" t="s">
        <v>74</v>
      </c>
      <c r="AZ274" t="s">
        <v>74</v>
      </c>
      <c r="BA274" t="s">
        <v>74</v>
      </c>
      <c r="BB274" t="s">
        <v>74</v>
      </c>
      <c r="BC274" t="s">
        <v>74</v>
      </c>
      <c r="BD274">
        <v>7487</v>
      </c>
      <c r="BE274" t="s">
        <v>5838</v>
      </c>
      <c r="BF274" t="str">
        <f>HYPERLINK("http://dx.doi.org/10.1038/s41598-022-11536-7","http://dx.doi.org/10.1038/s41598-022-11536-7")</f>
        <v>http://dx.doi.org/10.1038/s41598-022-11536-7</v>
      </c>
      <c r="BG274" t="s">
        <v>74</v>
      </c>
      <c r="BH274" t="s">
        <v>74</v>
      </c>
      <c r="BI274">
        <v>16</v>
      </c>
      <c r="BJ274" t="s">
        <v>657</v>
      </c>
      <c r="BK274" t="s">
        <v>101</v>
      </c>
      <c r="BL274" t="s">
        <v>658</v>
      </c>
      <c r="BM274" t="s">
        <v>5839</v>
      </c>
      <c r="BN274">
        <v>35523932</v>
      </c>
      <c r="BO274" t="s">
        <v>1533</v>
      </c>
      <c r="BP274" t="s">
        <v>74</v>
      </c>
      <c r="BQ274" t="s">
        <v>74</v>
      </c>
      <c r="BR274" t="s">
        <v>103</v>
      </c>
      <c r="BS274" t="s">
        <v>5840</v>
      </c>
      <c r="BT274" t="str">
        <f>HYPERLINK("https%3A%2F%2Fwww.webofscience.com%2Fwos%2Fwoscc%2Ffull-record%2FWOS:000791825700005","View Full Record in Web of Science")</f>
        <v>View Full Record in Web of Science</v>
      </c>
    </row>
    <row r="275" spans="1:72" x14ac:dyDescent="0.15">
      <c r="A275" t="s">
        <v>72</v>
      </c>
      <c r="B275" t="s">
        <v>5841</v>
      </c>
      <c r="C275" t="s">
        <v>74</v>
      </c>
      <c r="D275" t="s">
        <v>74</v>
      </c>
      <c r="E275" t="s">
        <v>74</v>
      </c>
      <c r="F275" t="s">
        <v>5842</v>
      </c>
      <c r="G275" t="s">
        <v>74</v>
      </c>
      <c r="H275" t="s">
        <v>74</v>
      </c>
      <c r="I275" t="s">
        <v>5843</v>
      </c>
      <c r="J275" t="s">
        <v>5844</v>
      </c>
      <c r="K275" t="s">
        <v>74</v>
      </c>
      <c r="L275" t="s">
        <v>74</v>
      </c>
      <c r="M275" t="s">
        <v>78</v>
      </c>
      <c r="N275" t="s">
        <v>161</v>
      </c>
      <c r="O275" t="s">
        <v>74</v>
      </c>
      <c r="P275" t="s">
        <v>74</v>
      </c>
      <c r="Q275" t="s">
        <v>74</v>
      </c>
      <c r="R275" t="s">
        <v>74</v>
      </c>
      <c r="S275" t="s">
        <v>74</v>
      </c>
      <c r="T275" t="s">
        <v>5845</v>
      </c>
      <c r="U275" t="s">
        <v>5846</v>
      </c>
      <c r="V275" t="s">
        <v>5847</v>
      </c>
      <c r="W275" t="s">
        <v>5848</v>
      </c>
      <c r="X275" t="s">
        <v>5849</v>
      </c>
      <c r="Y275" t="s">
        <v>5850</v>
      </c>
      <c r="Z275" t="s">
        <v>5851</v>
      </c>
      <c r="AA275" t="s">
        <v>5852</v>
      </c>
      <c r="AB275" t="s">
        <v>5853</v>
      </c>
      <c r="AC275" t="s">
        <v>5854</v>
      </c>
      <c r="AD275" t="s">
        <v>5854</v>
      </c>
      <c r="AE275" t="s">
        <v>5855</v>
      </c>
      <c r="AF275" t="s">
        <v>74</v>
      </c>
      <c r="AG275">
        <v>86</v>
      </c>
      <c r="AH275">
        <v>21</v>
      </c>
      <c r="AI275">
        <v>21</v>
      </c>
      <c r="AJ275">
        <v>7</v>
      </c>
      <c r="AK275">
        <v>39</v>
      </c>
      <c r="AL275" t="s">
        <v>5856</v>
      </c>
      <c r="AM275" t="s">
        <v>401</v>
      </c>
      <c r="AN275" t="s">
        <v>5857</v>
      </c>
      <c r="AO275" t="s">
        <v>5858</v>
      </c>
      <c r="AP275" t="s">
        <v>74</v>
      </c>
      <c r="AQ275" t="s">
        <v>74</v>
      </c>
      <c r="AR275" t="s">
        <v>5844</v>
      </c>
      <c r="AS275" t="s">
        <v>5859</v>
      </c>
      <c r="AT275" t="s">
        <v>5820</v>
      </c>
      <c r="AU275">
        <v>2022</v>
      </c>
      <c r="AV275">
        <v>10</v>
      </c>
      <c r="AW275">
        <v>1</v>
      </c>
      <c r="AX275" t="s">
        <v>74</v>
      </c>
      <c r="AY275" t="s">
        <v>74</v>
      </c>
      <c r="AZ275" t="s">
        <v>74</v>
      </c>
      <c r="BA275" t="s">
        <v>74</v>
      </c>
      <c r="BB275" t="s">
        <v>74</v>
      </c>
      <c r="BC275" t="s">
        <v>74</v>
      </c>
      <c r="BD275">
        <v>71</v>
      </c>
      <c r="BE275" t="s">
        <v>5860</v>
      </c>
      <c r="BF275" t="str">
        <f>HYPERLINK("http://dx.doi.org/10.1186/s40168-022-01250-x","http://dx.doi.org/10.1186/s40168-022-01250-x")</f>
        <v>http://dx.doi.org/10.1186/s40168-022-01250-x</v>
      </c>
      <c r="BG275" t="s">
        <v>74</v>
      </c>
      <c r="BH275" t="s">
        <v>74</v>
      </c>
      <c r="BI275">
        <v>13</v>
      </c>
      <c r="BJ275" t="s">
        <v>293</v>
      </c>
      <c r="BK275" t="s">
        <v>101</v>
      </c>
      <c r="BL275" t="s">
        <v>293</v>
      </c>
      <c r="BM275" t="s">
        <v>5861</v>
      </c>
      <c r="BN275">
        <v>35524279</v>
      </c>
      <c r="BO275" t="s">
        <v>5862</v>
      </c>
      <c r="BP275" t="s">
        <v>74</v>
      </c>
      <c r="BQ275" t="s">
        <v>74</v>
      </c>
      <c r="BR275" t="s">
        <v>103</v>
      </c>
      <c r="BS275" t="s">
        <v>5863</v>
      </c>
      <c r="BT275" t="str">
        <f>HYPERLINK("https%3A%2F%2Fwww.webofscience.com%2Fwos%2Fwoscc%2Ffull-record%2FWOS:000791807300001","View Full Record in Web of Science")</f>
        <v>View Full Record in Web of Science</v>
      </c>
    </row>
    <row r="276" spans="1:72" x14ac:dyDescent="0.15">
      <c r="A276" t="s">
        <v>72</v>
      </c>
      <c r="B276" t="s">
        <v>5864</v>
      </c>
      <c r="C276" t="s">
        <v>74</v>
      </c>
      <c r="D276" t="s">
        <v>74</v>
      </c>
      <c r="E276" t="s">
        <v>74</v>
      </c>
      <c r="F276" t="s">
        <v>5865</v>
      </c>
      <c r="G276" t="s">
        <v>74</v>
      </c>
      <c r="H276" t="s">
        <v>74</v>
      </c>
      <c r="I276" t="s">
        <v>5866</v>
      </c>
      <c r="J276" t="s">
        <v>493</v>
      </c>
      <c r="K276" t="s">
        <v>74</v>
      </c>
      <c r="L276" t="s">
        <v>74</v>
      </c>
      <c r="M276" t="s">
        <v>78</v>
      </c>
      <c r="N276" t="s">
        <v>79</v>
      </c>
      <c r="O276" t="s">
        <v>74</v>
      </c>
      <c r="P276" t="s">
        <v>74</v>
      </c>
      <c r="Q276" t="s">
        <v>74</v>
      </c>
      <c r="R276" t="s">
        <v>74</v>
      </c>
      <c r="S276" t="s">
        <v>74</v>
      </c>
      <c r="T276" t="s">
        <v>74</v>
      </c>
      <c r="U276" t="s">
        <v>74</v>
      </c>
      <c r="V276" t="s">
        <v>5867</v>
      </c>
      <c r="W276" t="s">
        <v>5868</v>
      </c>
      <c r="X276" t="s">
        <v>5869</v>
      </c>
      <c r="Y276" t="s">
        <v>5870</v>
      </c>
      <c r="Z276" t="s">
        <v>5871</v>
      </c>
      <c r="AA276" t="s">
        <v>5872</v>
      </c>
      <c r="AB276" t="s">
        <v>5873</v>
      </c>
      <c r="AC276" t="s">
        <v>5874</v>
      </c>
      <c r="AD276" t="s">
        <v>5875</v>
      </c>
      <c r="AE276" t="s">
        <v>5876</v>
      </c>
      <c r="AF276" t="s">
        <v>74</v>
      </c>
      <c r="AG276">
        <v>51</v>
      </c>
      <c r="AH276">
        <v>5</v>
      </c>
      <c r="AI276">
        <v>5</v>
      </c>
      <c r="AJ276">
        <v>4</v>
      </c>
      <c r="AK276">
        <v>12</v>
      </c>
      <c r="AL276" t="s">
        <v>117</v>
      </c>
      <c r="AM276" t="s">
        <v>118</v>
      </c>
      <c r="AN276" t="s">
        <v>119</v>
      </c>
      <c r="AO276" t="s">
        <v>505</v>
      </c>
      <c r="AP276" t="s">
        <v>506</v>
      </c>
      <c r="AQ276" t="s">
        <v>74</v>
      </c>
      <c r="AR276" t="s">
        <v>507</v>
      </c>
      <c r="AS276" t="s">
        <v>508</v>
      </c>
      <c r="AT276" t="s">
        <v>5820</v>
      </c>
      <c r="AU276">
        <v>2022</v>
      </c>
      <c r="AV276">
        <v>15</v>
      </c>
      <c r="AW276">
        <v>9</v>
      </c>
      <c r="AX276" t="s">
        <v>74</v>
      </c>
      <c r="AY276" t="s">
        <v>74</v>
      </c>
      <c r="AZ276" t="s">
        <v>74</v>
      </c>
      <c r="BA276" t="s">
        <v>74</v>
      </c>
      <c r="BB276">
        <v>2719</v>
      </c>
      <c r="BC276">
        <v>2743</v>
      </c>
      <c r="BD276" t="s">
        <v>74</v>
      </c>
      <c r="BE276" t="s">
        <v>5877</v>
      </c>
      <c r="BF276" t="str">
        <f>HYPERLINK("http://dx.doi.org/10.5194/amt-15-2719-2022","http://dx.doi.org/10.5194/amt-15-2719-2022")</f>
        <v>http://dx.doi.org/10.5194/amt-15-2719-2022</v>
      </c>
      <c r="BG276" t="s">
        <v>74</v>
      </c>
      <c r="BH276" t="s">
        <v>74</v>
      </c>
      <c r="BI276">
        <v>25</v>
      </c>
      <c r="BJ276" t="s">
        <v>510</v>
      </c>
      <c r="BK276" t="s">
        <v>101</v>
      </c>
      <c r="BL276" t="s">
        <v>510</v>
      </c>
      <c r="BM276" t="s">
        <v>5878</v>
      </c>
      <c r="BN276" t="s">
        <v>74</v>
      </c>
      <c r="BO276" t="s">
        <v>2560</v>
      </c>
      <c r="BP276" t="s">
        <v>74</v>
      </c>
      <c r="BQ276" t="s">
        <v>74</v>
      </c>
      <c r="BR276" t="s">
        <v>103</v>
      </c>
      <c r="BS276" t="s">
        <v>5879</v>
      </c>
      <c r="BT276" t="str">
        <f>HYPERLINK("https%3A%2F%2Fwww.webofscience.com%2Fwos%2Fwoscc%2Ffull-record%2FWOS:000791268500001","View Full Record in Web of Science")</f>
        <v>View Full Record in Web of Science</v>
      </c>
    </row>
    <row r="277" spans="1:72" x14ac:dyDescent="0.15">
      <c r="A277" t="s">
        <v>72</v>
      </c>
      <c r="B277" t="s">
        <v>5880</v>
      </c>
      <c r="C277" t="s">
        <v>74</v>
      </c>
      <c r="D277" t="s">
        <v>74</v>
      </c>
      <c r="E277" t="s">
        <v>74</v>
      </c>
      <c r="F277" t="s">
        <v>5881</v>
      </c>
      <c r="G277" t="s">
        <v>74</v>
      </c>
      <c r="H277" t="s">
        <v>74</v>
      </c>
      <c r="I277" t="s">
        <v>5882</v>
      </c>
      <c r="J277" t="s">
        <v>5883</v>
      </c>
      <c r="K277" t="s">
        <v>74</v>
      </c>
      <c r="L277" t="s">
        <v>74</v>
      </c>
      <c r="M277" t="s">
        <v>78</v>
      </c>
      <c r="N277" t="s">
        <v>79</v>
      </c>
      <c r="O277" t="s">
        <v>74</v>
      </c>
      <c r="P277" t="s">
        <v>74</v>
      </c>
      <c r="Q277" t="s">
        <v>74</v>
      </c>
      <c r="R277" t="s">
        <v>74</v>
      </c>
      <c r="S277" t="s">
        <v>74</v>
      </c>
      <c r="T277" t="s">
        <v>74</v>
      </c>
      <c r="U277" t="s">
        <v>5884</v>
      </c>
      <c r="V277" t="s">
        <v>5885</v>
      </c>
      <c r="W277" t="s">
        <v>5886</v>
      </c>
      <c r="X277" t="s">
        <v>5887</v>
      </c>
      <c r="Y277" t="s">
        <v>5888</v>
      </c>
      <c r="Z277" t="s">
        <v>5889</v>
      </c>
      <c r="AA277" t="s">
        <v>5890</v>
      </c>
      <c r="AB277" t="s">
        <v>5891</v>
      </c>
      <c r="AC277" t="s">
        <v>5892</v>
      </c>
      <c r="AD277" t="s">
        <v>5893</v>
      </c>
      <c r="AE277" t="s">
        <v>5894</v>
      </c>
      <c r="AF277" t="s">
        <v>74</v>
      </c>
      <c r="AG277">
        <v>64</v>
      </c>
      <c r="AH277">
        <v>2</v>
      </c>
      <c r="AI277">
        <v>2</v>
      </c>
      <c r="AJ277">
        <v>2</v>
      </c>
      <c r="AK277">
        <v>9</v>
      </c>
      <c r="AL277" t="s">
        <v>4862</v>
      </c>
      <c r="AM277" t="s">
        <v>4863</v>
      </c>
      <c r="AN277" t="s">
        <v>4864</v>
      </c>
      <c r="AO277" t="s">
        <v>5895</v>
      </c>
      <c r="AP277" t="s">
        <v>5896</v>
      </c>
      <c r="AQ277" t="s">
        <v>74</v>
      </c>
      <c r="AR277" t="s">
        <v>5897</v>
      </c>
      <c r="AS277" t="s">
        <v>5898</v>
      </c>
      <c r="AT277" t="s">
        <v>4869</v>
      </c>
      <c r="AU277">
        <v>2023</v>
      </c>
      <c r="AV277">
        <v>32</v>
      </c>
      <c r="AW277">
        <v>1</v>
      </c>
      <c r="AX277" t="s">
        <v>74</v>
      </c>
      <c r="AY277" t="s">
        <v>74</v>
      </c>
      <c r="AZ277" t="s">
        <v>74</v>
      </c>
      <c r="BA277" t="s">
        <v>74</v>
      </c>
      <c r="BB277">
        <v>73</v>
      </c>
      <c r="BC277">
        <v>89</v>
      </c>
      <c r="BD277" t="s">
        <v>74</v>
      </c>
      <c r="BE277" t="s">
        <v>5899</v>
      </c>
      <c r="BF277" t="str">
        <f>HYPERLINK("http://dx.doi.org/10.1080/09524622.2022.2070542","http://dx.doi.org/10.1080/09524622.2022.2070542")</f>
        <v>http://dx.doi.org/10.1080/09524622.2022.2070542</v>
      </c>
      <c r="BG277" t="s">
        <v>74</v>
      </c>
      <c r="BH277" t="s">
        <v>3111</v>
      </c>
      <c r="BI277">
        <v>17</v>
      </c>
      <c r="BJ277" t="s">
        <v>1054</v>
      </c>
      <c r="BK277" t="s">
        <v>101</v>
      </c>
      <c r="BL277" t="s">
        <v>1054</v>
      </c>
      <c r="BM277" t="s">
        <v>5900</v>
      </c>
      <c r="BN277" t="s">
        <v>74</v>
      </c>
      <c r="BO277" t="s">
        <v>643</v>
      </c>
      <c r="BP277" t="s">
        <v>74</v>
      </c>
      <c r="BQ277" t="s">
        <v>74</v>
      </c>
      <c r="BR277" t="s">
        <v>103</v>
      </c>
      <c r="BS277" t="s">
        <v>5901</v>
      </c>
      <c r="BT277" t="str">
        <f>HYPERLINK("https%3A%2F%2Fwww.webofscience.com%2Fwos%2Fwoscc%2Ffull-record%2FWOS:000791154700001","View Full Record in Web of Science")</f>
        <v>View Full Record in Web of Science</v>
      </c>
    </row>
    <row r="278" spans="1:72" x14ac:dyDescent="0.15">
      <c r="A278" t="s">
        <v>72</v>
      </c>
      <c r="B278" t="s">
        <v>5902</v>
      </c>
      <c r="C278" t="s">
        <v>74</v>
      </c>
      <c r="D278" t="s">
        <v>74</v>
      </c>
      <c r="E278" t="s">
        <v>74</v>
      </c>
      <c r="F278" t="s">
        <v>5903</v>
      </c>
      <c r="G278" t="s">
        <v>74</v>
      </c>
      <c r="H278" t="s">
        <v>74</v>
      </c>
      <c r="I278" t="s">
        <v>5904</v>
      </c>
      <c r="J278" t="s">
        <v>108</v>
      </c>
      <c r="K278" t="s">
        <v>74</v>
      </c>
      <c r="L278" t="s">
        <v>74</v>
      </c>
      <c r="M278" t="s">
        <v>78</v>
      </c>
      <c r="N278" t="s">
        <v>79</v>
      </c>
      <c r="O278" t="s">
        <v>74</v>
      </c>
      <c r="P278" t="s">
        <v>74</v>
      </c>
      <c r="Q278" t="s">
        <v>74</v>
      </c>
      <c r="R278" t="s">
        <v>74</v>
      </c>
      <c r="S278" t="s">
        <v>74</v>
      </c>
      <c r="T278" t="s">
        <v>74</v>
      </c>
      <c r="U278" t="s">
        <v>74</v>
      </c>
      <c r="V278" t="s">
        <v>5905</v>
      </c>
      <c r="W278" t="s">
        <v>5906</v>
      </c>
      <c r="X278" t="s">
        <v>5907</v>
      </c>
      <c r="Y278" t="s">
        <v>5908</v>
      </c>
      <c r="Z278" t="s">
        <v>5909</v>
      </c>
      <c r="AA278" t="s">
        <v>5910</v>
      </c>
      <c r="AB278" t="s">
        <v>5911</v>
      </c>
      <c r="AC278" t="s">
        <v>5912</v>
      </c>
      <c r="AD278" t="s">
        <v>5913</v>
      </c>
      <c r="AE278" t="s">
        <v>5914</v>
      </c>
      <c r="AF278" t="s">
        <v>74</v>
      </c>
      <c r="AG278">
        <v>67</v>
      </c>
      <c r="AH278">
        <v>6</v>
      </c>
      <c r="AI278">
        <v>7</v>
      </c>
      <c r="AJ278">
        <v>2</v>
      </c>
      <c r="AK278">
        <v>6</v>
      </c>
      <c r="AL278" t="s">
        <v>117</v>
      </c>
      <c r="AM278" t="s">
        <v>118</v>
      </c>
      <c r="AN278" t="s">
        <v>119</v>
      </c>
      <c r="AO278" t="s">
        <v>120</v>
      </c>
      <c r="AP278" t="s">
        <v>121</v>
      </c>
      <c r="AQ278" t="s">
        <v>74</v>
      </c>
      <c r="AR278" t="s">
        <v>108</v>
      </c>
      <c r="AS278" t="s">
        <v>122</v>
      </c>
      <c r="AT278" t="s">
        <v>5820</v>
      </c>
      <c r="AU278">
        <v>2022</v>
      </c>
      <c r="AV278">
        <v>16</v>
      </c>
      <c r="AW278">
        <v>5</v>
      </c>
      <c r="AX278" t="s">
        <v>74</v>
      </c>
      <c r="AY278" t="s">
        <v>74</v>
      </c>
      <c r="AZ278" t="s">
        <v>74</v>
      </c>
      <c r="BA278" t="s">
        <v>74</v>
      </c>
      <c r="BB278">
        <v>1719</v>
      </c>
      <c r="BC278">
        <v>1739</v>
      </c>
      <c r="BD278" t="s">
        <v>74</v>
      </c>
      <c r="BE278" t="s">
        <v>5915</v>
      </c>
      <c r="BF278" t="str">
        <f>HYPERLINK("http://dx.doi.org/10.5194/tc-16-1719-2022","http://dx.doi.org/10.5194/tc-16-1719-2022")</f>
        <v>http://dx.doi.org/10.5194/tc-16-1719-2022</v>
      </c>
      <c r="BG278" t="s">
        <v>74</v>
      </c>
      <c r="BH278" t="s">
        <v>74</v>
      </c>
      <c r="BI278">
        <v>21</v>
      </c>
      <c r="BJ278" t="s">
        <v>125</v>
      </c>
      <c r="BK278" t="s">
        <v>101</v>
      </c>
      <c r="BL278" t="s">
        <v>126</v>
      </c>
      <c r="BM278" t="s">
        <v>5916</v>
      </c>
      <c r="BN278" t="s">
        <v>74</v>
      </c>
      <c r="BO278" t="s">
        <v>512</v>
      </c>
      <c r="BP278" t="s">
        <v>74</v>
      </c>
      <c r="BQ278" t="s">
        <v>74</v>
      </c>
      <c r="BR278" t="s">
        <v>103</v>
      </c>
      <c r="BS278" t="s">
        <v>5917</v>
      </c>
      <c r="BT278" t="str">
        <f>HYPERLINK("https%3A%2F%2Fwww.webofscience.com%2Fwos%2Fwoscc%2Ffull-record%2FWOS:000791268200001","View Full Record in Web of Science")</f>
        <v>View Full Record in Web of Science</v>
      </c>
    </row>
    <row r="279" spans="1:72" x14ac:dyDescent="0.15">
      <c r="A279" t="s">
        <v>72</v>
      </c>
      <c r="B279" t="s">
        <v>5918</v>
      </c>
      <c r="C279" t="s">
        <v>74</v>
      </c>
      <c r="D279" t="s">
        <v>74</v>
      </c>
      <c r="E279" t="s">
        <v>74</v>
      </c>
      <c r="F279" t="s">
        <v>5919</v>
      </c>
      <c r="G279" t="s">
        <v>74</v>
      </c>
      <c r="H279" t="s">
        <v>74</v>
      </c>
      <c r="I279" t="s">
        <v>5920</v>
      </c>
      <c r="J279" t="s">
        <v>1086</v>
      </c>
      <c r="K279" t="s">
        <v>74</v>
      </c>
      <c r="L279" t="s">
        <v>74</v>
      </c>
      <c r="M279" t="s">
        <v>78</v>
      </c>
      <c r="N279" t="s">
        <v>79</v>
      </c>
      <c r="O279" t="s">
        <v>74</v>
      </c>
      <c r="P279" t="s">
        <v>74</v>
      </c>
      <c r="Q279" t="s">
        <v>74</v>
      </c>
      <c r="R279" t="s">
        <v>74</v>
      </c>
      <c r="S279" t="s">
        <v>74</v>
      </c>
      <c r="T279" t="s">
        <v>5921</v>
      </c>
      <c r="U279" t="s">
        <v>5922</v>
      </c>
      <c r="V279" t="s">
        <v>5923</v>
      </c>
      <c r="W279" t="s">
        <v>5924</v>
      </c>
      <c r="X279" t="s">
        <v>5925</v>
      </c>
      <c r="Y279" t="s">
        <v>5926</v>
      </c>
      <c r="Z279" t="s">
        <v>5927</v>
      </c>
      <c r="AA279" t="s">
        <v>5928</v>
      </c>
      <c r="AB279" t="s">
        <v>5929</v>
      </c>
      <c r="AC279" t="s">
        <v>5930</v>
      </c>
      <c r="AD279" t="s">
        <v>5931</v>
      </c>
      <c r="AE279" t="s">
        <v>5932</v>
      </c>
      <c r="AF279" t="s">
        <v>74</v>
      </c>
      <c r="AG279">
        <v>73</v>
      </c>
      <c r="AH279">
        <v>20</v>
      </c>
      <c r="AI279">
        <v>20</v>
      </c>
      <c r="AJ279">
        <v>10</v>
      </c>
      <c r="AK279">
        <v>52</v>
      </c>
      <c r="AL279" t="s">
        <v>257</v>
      </c>
      <c r="AM279" t="s">
        <v>258</v>
      </c>
      <c r="AN279" t="s">
        <v>259</v>
      </c>
      <c r="AO279" t="s">
        <v>1098</v>
      </c>
      <c r="AP279" t="s">
        <v>1099</v>
      </c>
      <c r="AQ279" t="s">
        <v>74</v>
      </c>
      <c r="AR279" t="s">
        <v>1100</v>
      </c>
      <c r="AS279" t="s">
        <v>1101</v>
      </c>
      <c r="AT279" t="s">
        <v>5933</v>
      </c>
      <c r="AU279">
        <v>2022</v>
      </c>
      <c r="AV279">
        <v>835</v>
      </c>
      <c r="AW279" t="s">
        <v>74</v>
      </c>
      <c r="AX279" t="s">
        <v>74</v>
      </c>
      <c r="AY279" t="s">
        <v>74</v>
      </c>
      <c r="AZ279" t="s">
        <v>74</v>
      </c>
      <c r="BA279" t="s">
        <v>74</v>
      </c>
      <c r="BB279" t="s">
        <v>74</v>
      </c>
      <c r="BC279" t="s">
        <v>74</v>
      </c>
      <c r="BD279">
        <v>155400</v>
      </c>
      <c r="BE279" t="s">
        <v>5934</v>
      </c>
      <c r="BF279" t="str">
        <f>HYPERLINK("http://dx.doi.org/10.1016/j.scitotenv.2022.155400","http://dx.doi.org/10.1016/j.scitotenv.2022.155400")</f>
        <v>http://dx.doi.org/10.1016/j.scitotenv.2022.155400</v>
      </c>
      <c r="BG279" t="s">
        <v>74</v>
      </c>
      <c r="BH279" t="s">
        <v>3111</v>
      </c>
      <c r="BI279">
        <v>11</v>
      </c>
      <c r="BJ279" t="s">
        <v>1104</v>
      </c>
      <c r="BK279" t="s">
        <v>101</v>
      </c>
      <c r="BL279" t="s">
        <v>840</v>
      </c>
      <c r="BM279" t="s">
        <v>5935</v>
      </c>
      <c r="BN279">
        <v>35469867</v>
      </c>
      <c r="BO279" t="s">
        <v>267</v>
      </c>
      <c r="BP279" t="s">
        <v>74</v>
      </c>
      <c r="BQ279" t="s">
        <v>74</v>
      </c>
      <c r="BR279" t="s">
        <v>103</v>
      </c>
      <c r="BS279" t="s">
        <v>5936</v>
      </c>
      <c r="BT279" t="str">
        <f>HYPERLINK("https%3A%2F%2Fwww.webofscience.com%2Fwos%2Fwoscc%2Ffull-record%2FWOS:000806762000011","View Full Record in Web of Science")</f>
        <v>View Full Record in Web of Science</v>
      </c>
    </row>
    <row r="280" spans="1:72" x14ac:dyDescent="0.15">
      <c r="A280" t="s">
        <v>72</v>
      </c>
      <c r="B280" t="s">
        <v>5937</v>
      </c>
      <c r="C280" t="s">
        <v>74</v>
      </c>
      <c r="D280" t="s">
        <v>74</v>
      </c>
      <c r="E280" t="s">
        <v>74</v>
      </c>
      <c r="F280" t="s">
        <v>5938</v>
      </c>
      <c r="G280" t="s">
        <v>74</v>
      </c>
      <c r="H280" t="s">
        <v>74</v>
      </c>
      <c r="I280" t="s">
        <v>5939</v>
      </c>
      <c r="J280" t="s">
        <v>4415</v>
      </c>
      <c r="K280" t="s">
        <v>74</v>
      </c>
      <c r="L280" t="s">
        <v>74</v>
      </c>
      <c r="M280" t="s">
        <v>78</v>
      </c>
      <c r="N280" t="s">
        <v>79</v>
      </c>
      <c r="O280" t="s">
        <v>74</v>
      </c>
      <c r="P280" t="s">
        <v>74</v>
      </c>
      <c r="Q280" t="s">
        <v>74</v>
      </c>
      <c r="R280" t="s">
        <v>74</v>
      </c>
      <c r="S280" t="s">
        <v>74</v>
      </c>
      <c r="T280" t="s">
        <v>5940</v>
      </c>
      <c r="U280" t="s">
        <v>5941</v>
      </c>
      <c r="V280" t="s">
        <v>5942</v>
      </c>
      <c r="W280" t="s">
        <v>5943</v>
      </c>
      <c r="X280" t="s">
        <v>5944</v>
      </c>
      <c r="Y280" t="s">
        <v>5945</v>
      </c>
      <c r="Z280" t="s">
        <v>5946</v>
      </c>
      <c r="AA280" t="s">
        <v>74</v>
      </c>
      <c r="AB280" t="s">
        <v>74</v>
      </c>
      <c r="AC280" t="s">
        <v>5947</v>
      </c>
      <c r="AD280" t="s">
        <v>5948</v>
      </c>
      <c r="AE280" t="s">
        <v>5949</v>
      </c>
      <c r="AF280" t="s">
        <v>74</v>
      </c>
      <c r="AG280">
        <v>175</v>
      </c>
      <c r="AH280">
        <v>6</v>
      </c>
      <c r="AI280">
        <v>6</v>
      </c>
      <c r="AJ280">
        <v>7</v>
      </c>
      <c r="AK280">
        <v>30</v>
      </c>
      <c r="AL280" t="s">
        <v>3228</v>
      </c>
      <c r="AM280" t="s">
        <v>200</v>
      </c>
      <c r="AN280" t="s">
        <v>3229</v>
      </c>
      <c r="AO280" t="s">
        <v>4424</v>
      </c>
      <c r="AP280" t="s">
        <v>4425</v>
      </c>
      <c r="AQ280" t="s">
        <v>74</v>
      </c>
      <c r="AR280" t="s">
        <v>4426</v>
      </c>
      <c r="AS280" t="s">
        <v>4427</v>
      </c>
      <c r="AT280" t="s">
        <v>320</v>
      </c>
      <c r="AU280">
        <v>2022</v>
      </c>
      <c r="AV280">
        <v>306</v>
      </c>
      <c r="AW280" t="s">
        <v>74</v>
      </c>
      <c r="AX280" t="s">
        <v>74</v>
      </c>
      <c r="AY280" t="s">
        <v>74</v>
      </c>
      <c r="AZ280" t="s">
        <v>74</v>
      </c>
      <c r="BA280" t="s">
        <v>74</v>
      </c>
      <c r="BB280" t="s">
        <v>74</v>
      </c>
      <c r="BC280" t="s">
        <v>74</v>
      </c>
      <c r="BD280">
        <v>119364</v>
      </c>
      <c r="BE280" t="s">
        <v>5950</v>
      </c>
      <c r="BF280" t="str">
        <f>HYPERLINK("http://dx.doi.org/10.1016/j.envpol.2022.119364","http://dx.doi.org/10.1016/j.envpol.2022.119364")</f>
        <v>http://dx.doi.org/10.1016/j.envpol.2022.119364</v>
      </c>
      <c r="BG280" t="s">
        <v>74</v>
      </c>
      <c r="BH280" t="s">
        <v>3111</v>
      </c>
      <c r="BI280">
        <v>13</v>
      </c>
      <c r="BJ280" t="s">
        <v>1104</v>
      </c>
      <c r="BK280" t="s">
        <v>101</v>
      </c>
      <c r="BL280" t="s">
        <v>840</v>
      </c>
      <c r="BM280" t="s">
        <v>5951</v>
      </c>
      <c r="BN280">
        <v>35489539</v>
      </c>
      <c r="BO280" t="s">
        <v>74</v>
      </c>
      <c r="BP280" t="s">
        <v>74</v>
      </c>
      <c r="BQ280" t="s">
        <v>74</v>
      </c>
      <c r="BR280" t="s">
        <v>103</v>
      </c>
      <c r="BS280" t="s">
        <v>5952</v>
      </c>
      <c r="BT280" t="str">
        <f>HYPERLINK("https%3A%2F%2Fwww.webofscience.com%2Fwos%2Fwoscc%2Ffull-record%2FWOS:000804004500002","View Full Record in Web of Science")</f>
        <v>View Full Record in Web of Science</v>
      </c>
    </row>
    <row r="281" spans="1:72" x14ac:dyDescent="0.15">
      <c r="A281" t="s">
        <v>72</v>
      </c>
      <c r="B281" t="s">
        <v>5953</v>
      </c>
      <c r="C281" t="s">
        <v>74</v>
      </c>
      <c r="D281" t="s">
        <v>74</v>
      </c>
      <c r="E281" t="s">
        <v>74</v>
      </c>
      <c r="F281" t="s">
        <v>5954</v>
      </c>
      <c r="G281" t="s">
        <v>74</v>
      </c>
      <c r="H281" t="s">
        <v>74</v>
      </c>
      <c r="I281" t="s">
        <v>5955</v>
      </c>
      <c r="J281" t="s">
        <v>888</v>
      </c>
      <c r="K281" t="s">
        <v>74</v>
      </c>
      <c r="L281" t="s">
        <v>74</v>
      </c>
      <c r="M281" t="s">
        <v>78</v>
      </c>
      <c r="N281" t="s">
        <v>79</v>
      </c>
      <c r="O281" t="s">
        <v>74</v>
      </c>
      <c r="P281" t="s">
        <v>74</v>
      </c>
      <c r="Q281" t="s">
        <v>74</v>
      </c>
      <c r="R281" t="s">
        <v>74</v>
      </c>
      <c r="S281" t="s">
        <v>74</v>
      </c>
      <c r="T281" t="s">
        <v>5956</v>
      </c>
      <c r="U281" t="s">
        <v>5957</v>
      </c>
      <c r="V281" t="s">
        <v>5958</v>
      </c>
      <c r="W281" t="s">
        <v>5959</v>
      </c>
      <c r="X281" t="s">
        <v>5960</v>
      </c>
      <c r="Y281" t="s">
        <v>5961</v>
      </c>
      <c r="Z281" t="s">
        <v>5962</v>
      </c>
      <c r="AA281" t="s">
        <v>5963</v>
      </c>
      <c r="AB281" t="s">
        <v>5964</v>
      </c>
      <c r="AC281" t="s">
        <v>5965</v>
      </c>
      <c r="AD281" t="s">
        <v>5966</v>
      </c>
      <c r="AE281" t="s">
        <v>5967</v>
      </c>
      <c r="AF281" t="s">
        <v>74</v>
      </c>
      <c r="AG281">
        <v>260</v>
      </c>
      <c r="AH281">
        <v>3</v>
      </c>
      <c r="AI281">
        <v>3</v>
      </c>
      <c r="AJ281">
        <v>4</v>
      </c>
      <c r="AK281">
        <v>23</v>
      </c>
      <c r="AL281" t="s">
        <v>257</v>
      </c>
      <c r="AM281" t="s">
        <v>258</v>
      </c>
      <c r="AN281" t="s">
        <v>259</v>
      </c>
      <c r="AO281" t="s">
        <v>900</v>
      </c>
      <c r="AP281" t="s">
        <v>901</v>
      </c>
      <c r="AQ281" t="s">
        <v>74</v>
      </c>
      <c r="AR281" t="s">
        <v>902</v>
      </c>
      <c r="AS281" t="s">
        <v>903</v>
      </c>
      <c r="AT281" t="s">
        <v>537</v>
      </c>
      <c r="AU281">
        <v>2022</v>
      </c>
      <c r="AV281">
        <v>139</v>
      </c>
      <c r="AW281" t="s">
        <v>74</v>
      </c>
      <c r="AX281" t="s">
        <v>74</v>
      </c>
      <c r="AY281" t="s">
        <v>74</v>
      </c>
      <c r="AZ281" t="s">
        <v>74</v>
      </c>
      <c r="BA281" t="s">
        <v>74</v>
      </c>
      <c r="BB281" t="s">
        <v>74</v>
      </c>
      <c r="BC281" t="s">
        <v>74</v>
      </c>
      <c r="BD281">
        <v>108899</v>
      </c>
      <c r="BE281" t="s">
        <v>5968</v>
      </c>
      <c r="BF281" t="str">
        <f>HYPERLINK("http://dx.doi.org/10.1016/j.ecolind.2022.108899","http://dx.doi.org/10.1016/j.ecolind.2022.108899")</f>
        <v>http://dx.doi.org/10.1016/j.ecolind.2022.108899</v>
      </c>
      <c r="BG281" t="s">
        <v>74</v>
      </c>
      <c r="BH281" t="s">
        <v>3111</v>
      </c>
      <c r="BI281">
        <v>24</v>
      </c>
      <c r="BJ281" t="s">
        <v>905</v>
      </c>
      <c r="BK281" t="s">
        <v>101</v>
      </c>
      <c r="BL281" t="s">
        <v>540</v>
      </c>
      <c r="BM281" t="s">
        <v>5969</v>
      </c>
      <c r="BN281" t="s">
        <v>74</v>
      </c>
      <c r="BO281" t="s">
        <v>410</v>
      </c>
      <c r="BP281" t="s">
        <v>74</v>
      </c>
      <c r="BQ281" t="s">
        <v>74</v>
      </c>
      <c r="BR281" t="s">
        <v>103</v>
      </c>
      <c r="BS281" t="s">
        <v>5970</v>
      </c>
      <c r="BT281" t="str">
        <f>HYPERLINK("https%3A%2F%2Fwww.webofscience.com%2Fwos%2Fwoscc%2Ffull-record%2FWOS:000798788000006","View Full Record in Web of Science")</f>
        <v>View Full Record in Web of Science</v>
      </c>
    </row>
    <row r="282" spans="1:72" x14ac:dyDescent="0.15">
      <c r="A282" t="s">
        <v>72</v>
      </c>
      <c r="B282" t="s">
        <v>5971</v>
      </c>
      <c r="C282" t="s">
        <v>74</v>
      </c>
      <c r="D282" t="s">
        <v>74</v>
      </c>
      <c r="E282" t="s">
        <v>74</v>
      </c>
      <c r="F282" t="s">
        <v>5972</v>
      </c>
      <c r="G282" t="s">
        <v>74</v>
      </c>
      <c r="H282" t="s">
        <v>74</v>
      </c>
      <c r="I282" t="s">
        <v>5973</v>
      </c>
      <c r="J282" t="s">
        <v>4294</v>
      </c>
      <c r="K282" t="s">
        <v>74</v>
      </c>
      <c r="L282" t="s">
        <v>74</v>
      </c>
      <c r="M282" t="s">
        <v>78</v>
      </c>
      <c r="N282" t="s">
        <v>79</v>
      </c>
      <c r="O282" t="s">
        <v>74</v>
      </c>
      <c r="P282" t="s">
        <v>74</v>
      </c>
      <c r="Q282" t="s">
        <v>74</v>
      </c>
      <c r="R282" t="s">
        <v>74</v>
      </c>
      <c r="S282" t="s">
        <v>74</v>
      </c>
      <c r="T282" t="s">
        <v>74</v>
      </c>
      <c r="U282" t="s">
        <v>5974</v>
      </c>
      <c r="V282" t="s">
        <v>5975</v>
      </c>
      <c r="W282" t="s">
        <v>5976</v>
      </c>
      <c r="X282" t="s">
        <v>5977</v>
      </c>
      <c r="Y282" t="s">
        <v>5978</v>
      </c>
      <c r="Z282" t="s">
        <v>5979</v>
      </c>
      <c r="AA282" t="s">
        <v>74</v>
      </c>
      <c r="AB282" t="s">
        <v>74</v>
      </c>
      <c r="AC282" t="s">
        <v>5980</v>
      </c>
      <c r="AD282" t="s">
        <v>5981</v>
      </c>
      <c r="AE282" t="s">
        <v>5982</v>
      </c>
      <c r="AF282" t="s">
        <v>74</v>
      </c>
      <c r="AG282">
        <v>58</v>
      </c>
      <c r="AH282">
        <v>2</v>
      </c>
      <c r="AI282">
        <v>2</v>
      </c>
      <c r="AJ282">
        <v>3</v>
      </c>
      <c r="AK282">
        <v>10</v>
      </c>
      <c r="AL282" t="s">
        <v>455</v>
      </c>
      <c r="AM282" t="s">
        <v>456</v>
      </c>
      <c r="AN282" t="s">
        <v>457</v>
      </c>
      <c r="AO282" t="s">
        <v>4306</v>
      </c>
      <c r="AP282" t="s">
        <v>74</v>
      </c>
      <c r="AQ282" t="s">
        <v>74</v>
      </c>
      <c r="AR282" t="s">
        <v>4307</v>
      </c>
      <c r="AS282" t="s">
        <v>4308</v>
      </c>
      <c r="AT282" t="s">
        <v>5983</v>
      </c>
      <c r="AU282">
        <v>2022</v>
      </c>
      <c r="AV282">
        <v>12</v>
      </c>
      <c r="AW282">
        <v>1</v>
      </c>
      <c r="AX282" t="s">
        <v>74</v>
      </c>
      <c r="AY282" t="s">
        <v>74</v>
      </c>
      <c r="AZ282" t="s">
        <v>74</v>
      </c>
      <c r="BA282" t="s">
        <v>74</v>
      </c>
      <c r="BB282" t="s">
        <v>74</v>
      </c>
      <c r="BC282" t="s">
        <v>74</v>
      </c>
      <c r="BD282">
        <v>7376</v>
      </c>
      <c r="BE282" t="s">
        <v>5984</v>
      </c>
      <c r="BF282" t="str">
        <f>HYPERLINK("http://dx.doi.org/10.1038/s41598-022-10876-8","http://dx.doi.org/10.1038/s41598-022-10876-8")</f>
        <v>http://dx.doi.org/10.1038/s41598-022-10876-8</v>
      </c>
      <c r="BG282" t="s">
        <v>74</v>
      </c>
      <c r="BH282" t="s">
        <v>74</v>
      </c>
      <c r="BI282">
        <v>14</v>
      </c>
      <c r="BJ282" t="s">
        <v>657</v>
      </c>
      <c r="BK282" t="s">
        <v>101</v>
      </c>
      <c r="BL282" t="s">
        <v>658</v>
      </c>
      <c r="BM282" t="s">
        <v>5985</v>
      </c>
      <c r="BN282">
        <v>35513542</v>
      </c>
      <c r="BO282" t="s">
        <v>295</v>
      </c>
      <c r="BP282" t="s">
        <v>74</v>
      </c>
      <c r="BQ282" t="s">
        <v>74</v>
      </c>
      <c r="BR282" t="s">
        <v>103</v>
      </c>
      <c r="BS282" t="s">
        <v>5986</v>
      </c>
      <c r="BT282" t="str">
        <f>HYPERLINK("https%3A%2F%2Fwww.webofscience.com%2Fwos%2Fwoscc%2Ffull-record%2FWOS:000791506100023","View Full Record in Web of Science")</f>
        <v>View Full Record in Web of Science</v>
      </c>
    </row>
    <row r="283" spans="1:72" x14ac:dyDescent="0.15">
      <c r="A283" t="s">
        <v>72</v>
      </c>
      <c r="B283" t="s">
        <v>5987</v>
      </c>
      <c r="C283" t="s">
        <v>74</v>
      </c>
      <c r="D283" t="s">
        <v>74</v>
      </c>
      <c r="E283" t="s">
        <v>74</v>
      </c>
      <c r="F283" t="s">
        <v>5988</v>
      </c>
      <c r="G283" t="s">
        <v>74</v>
      </c>
      <c r="H283" t="s">
        <v>74</v>
      </c>
      <c r="I283" t="s">
        <v>5989</v>
      </c>
      <c r="J283" t="s">
        <v>443</v>
      </c>
      <c r="K283" t="s">
        <v>74</v>
      </c>
      <c r="L283" t="s">
        <v>74</v>
      </c>
      <c r="M283" t="s">
        <v>78</v>
      </c>
      <c r="N283" t="s">
        <v>79</v>
      </c>
      <c r="O283" t="s">
        <v>74</v>
      </c>
      <c r="P283" t="s">
        <v>74</v>
      </c>
      <c r="Q283" t="s">
        <v>74</v>
      </c>
      <c r="R283" t="s">
        <v>74</v>
      </c>
      <c r="S283" t="s">
        <v>74</v>
      </c>
      <c r="T283" t="s">
        <v>74</v>
      </c>
      <c r="U283" t="s">
        <v>5990</v>
      </c>
      <c r="V283" t="s">
        <v>5991</v>
      </c>
      <c r="W283" t="s">
        <v>5992</v>
      </c>
      <c r="X283" t="s">
        <v>5993</v>
      </c>
      <c r="Y283" t="s">
        <v>5994</v>
      </c>
      <c r="Z283" t="s">
        <v>5995</v>
      </c>
      <c r="AA283" t="s">
        <v>5996</v>
      </c>
      <c r="AB283" t="s">
        <v>5997</v>
      </c>
      <c r="AC283" t="s">
        <v>5998</v>
      </c>
      <c r="AD283" t="s">
        <v>5998</v>
      </c>
      <c r="AE283" t="s">
        <v>5999</v>
      </c>
      <c r="AF283" t="s">
        <v>74</v>
      </c>
      <c r="AG283">
        <v>80</v>
      </c>
      <c r="AH283">
        <v>28</v>
      </c>
      <c r="AI283">
        <v>30</v>
      </c>
      <c r="AJ283">
        <v>5</v>
      </c>
      <c r="AK283">
        <v>21</v>
      </c>
      <c r="AL283" t="s">
        <v>455</v>
      </c>
      <c r="AM283" t="s">
        <v>456</v>
      </c>
      <c r="AN283" t="s">
        <v>457</v>
      </c>
      <c r="AO283" t="s">
        <v>458</v>
      </c>
      <c r="AP283" t="s">
        <v>459</v>
      </c>
      <c r="AQ283" t="s">
        <v>74</v>
      </c>
      <c r="AR283" t="s">
        <v>460</v>
      </c>
      <c r="AS283" t="s">
        <v>461</v>
      </c>
      <c r="AT283" t="s">
        <v>5076</v>
      </c>
      <c r="AU283">
        <v>2022</v>
      </c>
      <c r="AV283">
        <v>15</v>
      </c>
      <c r="AW283">
        <v>5</v>
      </c>
      <c r="AX283" t="s">
        <v>74</v>
      </c>
      <c r="AY283" t="s">
        <v>74</v>
      </c>
      <c r="AZ283" t="s">
        <v>74</v>
      </c>
      <c r="BA283" t="s">
        <v>74</v>
      </c>
      <c r="BB283">
        <v>356</v>
      </c>
      <c r="BC283" t="s">
        <v>462</v>
      </c>
      <c r="BD283" t="s">
        <v>74</v>
      </c>
      <c r="BE283" t="s">
        <v>6000</v>
      </c>
      <c r="BF283" t="str">
        <f>HYPERLINK("http://dx.doi.org/10.1038/s41561-022-00938-x","http://dx.doi.org/10.1038/s41561-022-00938-x")</f>
        <v>http://dx.doi.org/10.1038/s41561-022-00938-x</v>
      </c>
      <c r="BG283" t="s">
        <v>74</v>
      </c>
      <c r="BH283" t="s">
        <v>3111</v>
      </c>
      <c r="BI283">
        <v>22</v>
      </c>
      <c r="BJ283" t="s">
        <v>265</v>
      </c>
      <c r="BK283" t="s">
        <v>101</v>
      </c>
      <c r="BL283" t="s">
        <v>100</v>
      </c>
      <c r="BM283" t="s">
        <v>6001</v>
      </c>
      <c r="BN283" t="s">
        <v>74</v>
      </c>
      <c r="BO283" t="s">
        <v>986</v>
      </c>
      <c r="BP283" t="s">
        <v>74</v>
      </c>
      <c r="BQ283" t="s">
        <v>74</v>
      </c>
      <c r="BR283" t="s">
        <v>103</v>
      </c>
      <c r="BS283" t="s">
        <v>6002</v>
      </c>
      <c r="BT283" t="str">
        <f>HYPERLINK("https%3A%2F%2Fwww.webofscience.com%2Fwos%2Fwoscc%2Ffull-record%2FWOS:000791081900001","View Full Record in Web of Science")</f>
        <v>View Full Record in Web of Science</v>
      </c>
    </row>
    <row r="284" spans="1:72" x14ac:dyDescent="0.15">
      <c r="A284" t="s">
        <v>72</v>
      </c>
      <c r="B284" t="s">
        <v>6003</v>
      </c>
      <c r="C284" t="s">
        <v>74</v>
      </c>
      <c r="D284" t="s">
        <v>74</v>
      </c>
      <c r="E284" t="s">
        <v>74</v>
      </c>
      <c r="F284" t="s">
        <v>6004</v>
      </c>
      <c r="G284" t="s">
        <v>74</v>
      </c>
      <c r="H284" t="s">
        <v>74</v>
      </c>
      <c r="I284" t="s">
        <v>6005</v>
      </c>
      <c r="J284" t="s">
        <v>6006</v>
      </c>
      <c r="K284" t="s">
        <v>74</v>
      </c>
      <c r="L284" t="s">
        <v>74</v>
      </c>
      <c r="M284" t="s">
        <v>78</v>
      </c>
      <c r="N284" t="s">
        <v>79</v>
      </c>
      <c r="O284" t="s">
        <v>74</v>
      </c>
      <c r="P284" t="s">
        <v>74</v>
      </c>
      <c r="Q284" t="s">
        <v>74</v>
      </c>
      <c r="R284" t="s">
        <v>74</v>
      </c>
      <c r="S284" t="s">
        <v>74</v>
      </c>
      <c r="T284" t="s">
        <v>6007</v>
      </c>
      <c r="U284" t="s">
        <v>6008</v>
      </c>
      <c r="V284" t="s">
        <v>6009</v>
      </c>
      <c r="W284" t="s">
        <v>6010</v>
      </c>
      <c r="X284" t="s">
        <v>6011</v>
      </c>
      <c r="Y284" t="s">
        <v>6012</v>
      </c>
      <c r="Z284" t="s">
        <v>6013</v>
      </c>
      <c r="AA284" t="s">
        <v>6014</v>
      </c>
      <c r="AB284" t="s">
        <v>6015</v>
      </c>
      <c r="AC284" t="s">
        <v>6016</v>
      </c>
      <c r="AD284" t="s">
        <v>6017</v>
      </c>
      <c r="AE284" t="s">
        <v>6018</v>
      </c>
      <c r="AF284" t="s">
        <v>74</v>
      </c>
      <c r="AG284">
        <v>48</v>
      </c>
      <c r="AH284">
        <v>2</v>
      </c>
      <c r="AI284">
        <v>2</v>
      </c>
      <c r="AJ284">
        <v>1</v>
      </c>
      <c r="AK284">
        <v>3</v>
      </c>
      <c r="AL284" t="s">
        <v>2883</v>
      </c>
      <c r="AM284" t="s">
        <v>2884</v>
      </c>
      <c r="AN284" t="s">
        <v>2885</v>
      </c>
      <c r="AO284" t="s">
        <v>6019</v>
      </c>
      <c r="AP284" t="s">
        <v>6020</v>
      </c>
      <c r="AQ284" t="s">
        <v>74</v>
      </c>
      <c r="AR284" t="s">
        <v>6021</v>
      </c>
      <c r="AS284" t="s">
        <v>6022</v>
      </c>
      <c r="AT284" t="s">
        <v>537</v>
      </c>
      <c r="AU284">
        <v>2022</v>
      </c>
      <c r="AV284">
        <v>72</v>
      </c>
      <c r="AW284">
        <v>6</v>
      </c>
      <c r="AX284" t="s">
        <v>74</v>
      </c>
      <c r="AY284" t="s">
        <v>74</v>
      </c>
      <c r="AZ284" t="s">
        <v>74</v>
      </c>
      <c r="BA284" t="s">
        <v>74</v>
      </c>
      <c r="BB284">
        <v>405</v>
      </c>
      <c r="BC284">
        <v>419</v>
      </c>
      <c r="BD284" t="s">
        <v>74</v>
      </c>
      <c r="BE284" t="s">
        <v>6023</v>
      </c>
      <c r="BF284" t="str">
        <f>HYPERLINK("http://dx.doi.org/10.1007/s10236-022-01506-y","http://dx.doi.org/10.1007/s10236-022-01506-y")</f>
        <v>http://dx.doi.org/10.1007/s10236-022-01506-y</v>
      </c>
      <c r="BG284" t="s">
        <v>74</v>
      </c>
      <c r="BH284" t="s">
        <v>3111</v>
      </c>
      <c r="BI284">
        <v>15</v>
      </c>
      <c r="BJ284" t="s">
        <v>208</v>
      </c>
      <c r="BK284" t="s">
        <v>101</v>
      </c>
      <c r="BL284" t="s">
        <v>208</v>
      </c>
      <c r="BM284" t="s">
        <v>6024</v>
      </c>
      <c r="BN284" t="s">
        <v>74</v>
      </c>
      <c r="BO284" t="s">
        <v>267</v>
      </c>
      <c r="BP284" t="s">
        <v>74</v>
      </c>
      <c r="BQ284" t="s">
        <v>74</v>
      </c>
      <c r="BR284" t="s">
        <v>103</v>
      </c>
      <c r="BS284" t="s">
        <v>6025</v>
      </c>
      <c r="BT284" t="str">
        <f>HYPERLINK("https%3A%2F%2Fwww.webofscience.com%2Fwos%2Fwoscc%2Ffull-record%2FWOS:000791065700001","View Full Record in Web of Science")</f>
        <v>View Full Record in Web of Science</v>
      </c>
    </row>
    <row r="285" spans="1:72" x14ac:dyDescent="0.15">
      <c r="A285" t="s">
        <v>72</v>
      </c>
      <c r="B285" t="s">
        <v>6026</v>
      </c>
      <c r="C285" t="s">
        <v>74</v>
      </c>
      <c r="D285" t="s">
        <v>74</v>
      </c>
      <c r="E285" t="s">
        <v>74</v>
      </c>
      <c r="F285" t="s">
        <v>6027</v>
      </c>
      <c r="G285" t="s">
        <v>74</v>
      </c>
      <c r="H285" t="s">
        <v>74</v>
      </c>
      <c r="I285" t="s">
        <v>6028</v>
      </c>
      <c r="J285" t="s">
        <v>108</v>
      </c>
      <c r="K285" t="s">
        <v>74</v>
      </c>
      <c r="L285" t="s">
        <v>74</v>
      </c>
      <c r="M285" t="s">
        <v>78</v>
      </c>
      <c r="N285" t="s">
        <v>79</v>
      </c>
      <c r="O285" t="s">
        <v>74</v>
      </c>
      <c r="P285" t="s">
        <v>74</v>
      </c>
      <c r="Q285" t="s">
        <v>74</v>
      </c>
      <c r="R285" t="s">
        <v>74</v>
      </c>
      <c r="S285" t="s">
        <v>74</v>
      </c>
      <c r="T285" t="s">
        <v>74</v>
      </c>
      <c r="U285" t="s">
        <v>6029</v>
      </c>
      <c r="V285" t="s">
        <v>6030</v>
      </c>
      <c r="W285" t="s">
        <v>6031</v>
      </c>
      <c r="X285" t="s">
        <v>6032</v>
      </c>
      <c r="Y285" t="s">
        <v>6033</v>
      </c>
      <c r="Z285" t="s">
        <v>6034</v>
      </c>
      <c r="AA285" t="s">
        <v>6035</v>
      </c>
      <c r="AB285" t="s">
        <v>6036</v>
      </c>
      <c r="AC285" t="s">
        <v>6037</v>
      </c>
      <c r="AD285" t="s">
        <v>6038</v>
      </c>
      <c r="AE285" t="s">
        <v>6039</v>
      </c>
      <c r="AF285" t="s">
        <v>74</v>
      </c>
      <c r="AG285">
        <v>84</v>
      </c>
      <c r="AH285">
        <v>18</v>
      </c>
      <c r="AI285">
        <v>18</v>
      </c>
      <c r="AJ285">
        <v>4</v>
      </c>
      <c r="AK285">
        <v>24</v>
      </c>
      <c r="AL285" t="s">
        <v>117</v>
      </c>
      <c r="AM285" t="s">
        <v>118</v>
      </c>
      <c r="AN285" t="s">
        <v>119</v>
      </c>
      <c r="AO285" t="s">
        <v>120</v>
      </c>
      <c r="AP285" t="s">
        <v>121</v>
      </c>
      <c r="AQ285" t="s">
        <v>74</v>
      </c>
      <c r="AR285" t="s">
        <v>108</v>
      </c>
      <c r="AS285" t="s">
        <v>122</v>
      </c>
      <c r="AT285" t="s">
        <v>5983</v>
      </c>
      <c r="AU285">
        <v>2022</v>
      </c>
      <c r="AV285">
        <v>16</v>
      </c>
      <c r="AW285">
        <v>5</v>
      </c>
      <c r="AX285" t="s">
        <v>74</v>
      </c>
      <c r="AY285" t="s">
        <v>74</v>
      </c>
      <c r="AZ285" t="s">
        <v>74</v>
      </c>
      <c r="BA285" t="s">
        <v>74</v>
      </c>
      <c r="BB285">
        <v>1631</v>
      </c>
      <c r="BC285">
        <v>1652</v>
      </c>
      <c r="BD285" t="s">
        <v>74</v>
      </c>
      <c r="BE285" t="s">
        <v>6040</v>
      </c>
      <c r="BF285" t="str">
        <f>HYPERLINK("http://dx.doi.org/10.5194/tc-16-1631-2022","http://dx.doi.org/10.5194/tc-16-1631-2022")</f>
        <v>http://dx.doi.org/10.5194/tc-16-1631-2022</v>
      </c>
      <c r="BG285" t="s">
        <v>74</v>
      </c>
      <c r="BH285" t="s">
        <v>74</v>
      </c>
      <c r="BI285">
        <v>22</v>
      </c>
      <c r="BJ285" t="s">
        <v>125</v>
      </c>
      <c r="BK285" t="s">
        <v>101</v>
      </c>
      <c r="BL285" t="s">
        <v>126</v>
      </c>
      <c r="BM285" t="s">
        <v>6041</v>
      </c>
      <c r="BN285" t="s">
        <v>74</v>
      </c>
      <c r="BO285" t="s">
        <v>6042</v>
      </c>
      <c r="BP285" t="s">
        <v>74</v>
      </c>
      <c r="BQ285" t="s">
        <v>74</v>
      </c>
      <c r="BR285" t="s">
        <v>103</v>
      </c>
      <c r="BS285" t="s">
        <v>6043</v>
      </c>
      <c r="BT285" t="str">
        <f>HYPERLINK("https%3A%2F%2Fwww.webofscience.com%2Fwos%2Fwoscc%2Ffull-record%2FWOS:000790755300001","View Full Record in Web of Science")</f>
        <v>View Full Record in Web of Science</v>
      </c>
    </row>
    <row r="286" spans="1:72" x14ac:dyDescent="0.15">
      <c r="A286" t="s">
        <v>72</v>
      </c>
      <c r="B286" t="s">
        <v>6044</v>
      </c>
      <c r="C286" t="s">
        <v>74</v>
      </c>
      <c r="D286" t="s">
        <v>74</v>
      </c>
      <c r="E286" t="s">
        <v>74</v>
      </c>
      <c r="F286" t="s">
        <v>6045</v>
      </c>
      <c r="G286" t="s">
        <v>74</v>
      </c>
      <c r="H286" t="s">
        <v>74</v>
      </c>
      <c r="I286" t="s">
        <v>6046</v>
      </c>
      <c r="J286" t="s">
        <v>6047</v>
      </c>
      <c r="K286" t="s">
        <v>74</v>
      </c>
      <c r="L286" t="s">
        <v>74</v>
      </c>
      <c r="M286" t="s">
        <v>78</v>
      </c>
      <c r="N286" t="s">
        <v>79</v>
      </c>
      <c r="O286" t="s">
        <v>74</v>
      </c>
      <c r="P286" t="s">
        <v>74</v>
      </c>
      <c r="Q286" t="s">
        <v>74</v>
      </c>
      <c r="R286" t="s">
        <v>74</v>
      </c>
      <c r="S286" t="s">
        <v>74</v>
      </c>
      <c r="T286" t="s">
        <v>74</v>
      </c>
      <c r="U286" t="s">
        <v>6048</v>
      </c>
      <c r="V286" t="s">
        <v>6049</v>
      </c>
      <c r="W286" t="s">
        <v>6050</v>
      </c>
      <c r="X286" t="s">
        <v>6051</v>
      </c>
      <c r="Y286" t="s">
        <v>6052</v>
      </c>
      <c r="Z286" t="s">
        <v>6053</v>
      </c>
      <c r="AA286" t="s">
        <v>6054</v>
      </c>
      <c r="AB286" t="s">
        <v>6055</v>
      </c>
      <c r="AC286" t="s">
        <v>6056</v>
      </c>
      <c r="AD286" t="s">
        <v>6057</v>
      </c>
      <c r="AE286" t="s">
        <v>6058</v>
      </c>
      <c r="AF286" t="s">
        <v>74</v>
      </c>
      <c r="AG286">
        <v>66</v>
      </c>
      <c r="AH286">
        <v>5</v>
      </c>
      <c r="AI286">
        <v>5</v>
      </c>
      <c r="AJ286">
        <v>0</v>
      </c>
      <c r="AK286">
        <v>0</v>
      </c>
      <c r="AL286" t="s">
        <v>91</v>
      </c>
      <c r="AM286" t="s">
        <v>92</v>
      </c>
      <c r="AN286" t="s">
        <v>93</v>
      </c>
      <c r="AO286" t="s">
        <v>6059</v>
      </c>
      <c r="AP286" t="s">
        <v>6060</v>
      </c>
      <c r="AQ286" t="s">
        <v>74</v>
      </c>
      <c r="AR286" t="s">
        <v>6061</v>
      </c>
      <c r="AS286" t="s">
        <v>6062</v>
      </c>
      <c r="AT286" t="s">
        <v>537</v>
      </c>
      <c r="AU286">
        <v>2022</v>
      </c>
      <c r="AV286">
        <v>57</v>
      </c>
      <c r="AW286">
        <v>6</v>
      </c>
      <c r="AX286" t="s">
        <v>74</v>
      </c>
      <c r="AY286" t="s">
        <v>74</v>
      </c>
      <c r="AZ286" t="s">
        <v>74</v>
      </c>
      <c r="BA286" t="s">
        <v>74</v>
      </c>
      <c r="BB286">
        <v>1247</v>
      </c>
      <c r="BC286">
        <v>1266</v>
      </c>
      <c r="BD286" t="s">
        <v>74</v>
      </c>
      <c r="BE286" t="s">
        <v>6063</v>
      </c>
      <c r="BF286" t="str">
        <f>HYPERLINK("http://dx.doi.org/10.1111/maps.13818","http://dx.doi.org/10.1111/maps.13818")</f>
        <v>http://dx.doi.org/10.1111/maps.13818</v>
      </c>
      <c r="BG286" t="s">
        <v>74</v>
      </c>
      <c r="BH286" t="s">
        <v>3111</v>
      </c>
      <c r="BI286">
        <v>20</v>
      </c>
      <c r="BJ286" t="s">
        <v>2144</v>
      </c>
      <c r="BK286" t="s">
        <v>101</v>
      </c>
      <c r="BL286" t="s">
        <v>2144</v>
      </c>
      <c r="BM286" t="s">
        <v>6064</v>
      </c>
      <c r="BN286" t="s">
        <v>74</v>
      </c>
      <c r="BO286" t="s">
        <v>324</v>
      </c>
      <c r="BP286" t="s">
        <v>74</v>
      </c>
      <c r="BQ286" t="s">
        <v>74</v>
      </c>
      <c r="BR286" t="s">
        <v>103</v>
      </c>
      <c r="BS286" t="s">
        <v>6065</v>
      </c>
      <c r="BT286" t="str">
        <f>HYPERLINK("https%3A%2F%2Fwww.webofscience.com%2Fwos%2Fwoscc%2Ffull-record%2FWOS:000790807100001","View Full Record in Web of Science")</f>
        <v>View Full Record in Web of Science</v>
      </c>
    </row>
    <row r="287" spans="1:72" x14ac:dyDescent="0.15">
      <c r="A287" t="s">
        <v>72</v>
      </c>
      <c r="B287" t="s">
        <v>6066</v>
      </c>
      <c r="C287" t="s">
        <v>74</v>
      </c>
      <c r="D287" t="s">
        <v>74</v>
      </c>
      <c r="E287" t="s">
        <v>74</v>
      </c>
      <c r="F287" t="s">
        <v>6067</v>
      </c>
      <c r="G287" t="s">
        <v>74</v>
      </c>
      <c r="H287" t="s">
        <v>74</v>
      </c>
      <c r="I287" t="s">
        <v>6068</v>
      </c>
      <c r="J287" t="s">
        <v>329</v>
      </c>
      <c r="K287" t="s">
        <v>74</v>
      </c>
      <c r="L287" t="s">
        <v>74</v>
      </c>
      <c r="M287" t="s">
        <v>78</v>
      </c>
      <c r="N287" t="s">
        <v>79</v>
      </c>
      <c r="O287" t="s">
        <v>74</v>
      </c>
      <c r="P287" t="s">
        <v>74</v>
      </c>
      <c r="Q287" t="s">
        <v>74</v>
      </c>
      <c r="R287" t="s">
        <v>74</v>
      </c>
      <c r="S287" t="s">
        <v>74</v>
      </c>
      <c r="T287" t="s">
        <v>6069</v>
      </c>
      <c r="U287" t="s">
        <v>6070</v>
      </c>
      <c r="V287" t="s">
        <v>6071</v>
      </c>
      <c r="W287" t="s">
        <v>6072</v>
      </c>
      <c r="X287" t="s">
        <v>6073</v>
      </c>
      <c r="Y287" t="s">
        <v>6074</v>
      </c>
      <c r="Z287" t="s">
        <v>6075</v>
      </c>
      <c r="AA287" t="s">
        <v>6076</v>
      </c>
      <c r="AB287" t="s">
        <v>6077</v>
      </c>
      <c r="AC287" t="s">
        <v>6078</v>
      </c>
      <c r="AD287" t="s">
        <v>6079</v>
      </c>
      <c r="AE287" t="s">
        <v>6080</v>
      </c>
      <c r="AF287" t="s">
        <v>74</v>
      </c>
      <c r="AG287">
        <v>110</v>
      </c>
      <c r="AH287">
        <v>2</v>
      </c>
      <c r="AI287">
        <v>2</v>
      </c>
      <c r="AJ287">
        <v>1</v>
      </c>
      <c r="AK287">
        <v>7</v>
      </c>
      <c r="AL287" t="s">
        <v>199</v>
      </c>
      <c r="AM287" t="s">
        <v>200</v>
      </c>
      <c r="AN287" t="s">
        <v>201</v>
      </c>
      <c r="AO287" t="s">
        <v>342</v>
      </c>
      <c r="AP287" t="s">
        <v>343</v>
      </c>
      <c r="AQ287" t="s">
        <v>74</v>
      </c>
      <c r="AR287" t="s">
        <v>344</v>
      </c>
      <c r="AS287" t="s">
        <v>345</v>
      </c>
      <c r="AT287" t="s">
        <v>206</v>
      </c>
      <c r="AU287">
        <v>2022</v>
      </c>
      <c r="AV287">
        <v>185</v>
      </c>
      <c r="AW287" t="s">
        <v>74</v>
      </c>
      <c r="AX287" t="s">
        <v>74</v>
      </c>
      <c r="AY287" t="s">
        <v>74</v>
      </c>
      <c r="AZ287" t="s">
        <v>74</v>
      </c>
      <c r="BA287" t="s">
        <v>74</v>
      </c>
      <c r="BB287" t="s">
        <v>74</v>
      </c>
      <c r="BC287" t="s">
        <v>74</v>
      </c>
      <c r="BD287">
        <v>103789</v>
      </c>
      <c r="BE287" t="s">
        <v>6081</v>
      </c>
      <c r="BF287" t="str">
        <f>HYPERLINK("http://dx.doi.org/10.1016/j.dsr.2022.103789","http://dx.doi.org/10.1016/j.dsr.2022.103789")</f>
        <v>http://dx.doi.org/10.1016/j.dsr.2022.103789</v>
      </c>
      <c r="BG287" t="s">
        <v>74</v>
      </c>
      <c r="BH287" t="s">
        <v>3111</v>
      </c>
      <c r="BI287">
        <v>13</v>
      </c>
      <c r="BJ287" t="s">
        <v>208</v>
      </c>
      <c r="BK287" t="s">
        <v>101</v>
      </c>
      <c r="BL287" t="s">
        <v>208</v>
      </c>
      <c r="BM287" t="s">
        <v>6082</v>
      </c>
      <c r="BN287" t="s">
        <v>74</v>
      </c>
      <c r="BO287" t="s">
        <v>1033</v>
      </c>
      <c r="BP287" t="s">
        <v>74</v>
      </c>
      <c r="BQ287" t="s">
        <v>74</v>
      </c>
      <c r="BR287" t="s">
        <v>103</v>
      </c>
      <c r="BS287" t="s">
        <v>6083</v>
      </c>
      <c r="BT287" t="str">
        <f>HYPERLINK("https%3A%2F%2Fwww.webofscience.com%2Fwos%2Fwoscc%2Ffull-record%2FWOS:000830278000004","View Full Record in Web of Science")</f>
        <v>View Full Record in Web of Science</v>
      </c>
    </row>
    <row r="288" spans="1:72" x14ac:dyDescent="0.15">
      <c r="A288" t="s">
        <v>72</v>
      </c>
      <c r="B288" t="s">
        <v>6084</v>
      </c>
      <c r="C288" t="s">
        <v>74</v>
      </c>
      <c r="D288" t="s">
        <v>74</v>
      </c>
      <c r="E288" t="s">
        <v>74</v>
      </c>
      <c r="F288" t="s">
        <v>6085</v>
      </c>
      <c r="G288" t="s">
        <v>74</v>
      </c>
      <c r="H288" t="s">
        <v>74</v>
      </c>
      <c r="I288" t="s">
        <v>6086</v>
      </c>
      <c r="J288" t="s">
        <v>4070</v>
      </c>
      <c r="K288" t="s">
        <v>74</v>
      </c>
      <c r="L288" t="s">
        <v>74</v>
      </c>
      <c r="M288" t="s">
        <v>78</v>
      </c>
      <c r="N288" t="s">
        <v>79</v>
      </c>
      <c r="O288" t="s">
        <v>74</v>
      </c>
      <c r="P288" t="s">
        <v>74</v>
      </c>
      <c r="Q288" t="s">
        <v>74</v>
      </c>
      <c r="R288" t="s">
        <v>74</v>
      </c>
      <c r="S288" t="s">
        <v>74</v>
      </c>
      <c r="T288" t="s">
        <v>6087</v>
      </c>
      <c r="U288" t="s">
        <v>6088</v>
      </c>
      <c r="V288" t="s">
        <v>6089</v>
      </c>
      <c r="W288" t="s">
        <v>6090</v>
      </c>
      <c r="X288" t="s">
        <v>6091</v>
      </c>
      <c r="Y288" t="s">
        <v>6092</v>
      </c>
      <c r="Z288" t="s">
        <v>6093</v>
      </c>
      <c r="AA288" t="s">
        <v>74</v>
      </c>
      <c r="AB288" t="s">
        <v>6094</v>
      </c>
      <c r="AC288" t="s">
        <v>6095</v>
      </c>
      <c r="AD288" t="s">
        <v>6096</v>
      </c>
      <c r="AE288" t="s">
        <v>6097</v>
      </c>
      <c r="AF288" t="s">
        <v>74</v>
      </c>
      <c r="AG288">
        <v>109</v>
      </c>
      <c r="AH288">
        <v>4</v>
      </c>
      <c r="AI288">
        <v>4</v>
      </c>
      <c r="AJ288">
        <v>2</v>
      </c>
      <c r="AK288">
        <v>16</v>
      </c>
      <c r="AL288" t="s">
        <v>199</v>
      </c>
      <c r="AM288" t="s">
        <v>200</v>
      </c>
      <c r="AN288" t="s">
        <v>201</v>
      </c>
      <c r="AO288" t="s">
        <v>4083</v>
      </c>
      <c r="AP288" t="s">
        <v>4084</v>
      </c>
      <c r="AQ288" t="s">
        <v>74</v>
      </c>
      <c r="AR288" t="s">
        <v>4085</v>
      </c>
      <c r="AS288" t="s">
        <v>4086</v>
      </c>
      <c r="AT288" t="s">
        <v>3999</v>
      </c>
      <c r="AU288">
        <v>2022</v>
      </c>
      <c r="AV288">
        <v>327</v>
      </c>
      <c r="AW288" t="s">
        <v>74</v>
      </c>
      <c r="AX288" t="s">
        <v>74</v>
      </c>
      <c r="AY288" t="s">
        <v>74</v>
      </c>
      <c r="AZ288" t="s">
        <v>74</v>
      </c>
      <c r="BA288" t="s">
        <v>74</v>
      </c>
      <c r="BB288">
        <v>1</v>
      </c>
      <c r="BC288">
        <v>20</v>
      </c>
      <c r="BD288" t="s">
        <v>74</v>
      </c>
      <c r="BE288" t="s">
        <v>6098</v>
      </c>
      <c r="BF288" t="str">
        <f>HYPERLINK("http://dx.doi.org/10.1016/j.gca.2022.04.012","http://dx.doi.org/10.1016/j.gca.2022.04.012")</f>
        <v>http://dx.doi.org/10.1016/j.gca.2022.04.012</v>
      </c>
      <c r="BG288" t="s">
        <v>74</v>
      </c>
      <c r="BH288" t="s">
        <v>3111</v>
      </c>
      <c r="BI288">
        <v>20</v>
      </c>
      <c r="BJ288" t="s">
        <v>2144</v>
      </c>
      <c r="BK288" t="s">
        <v>101</v>
      </c>
      <c r="BL288" t="s">
        <v>2144</v>
      </c>
      <c r="BM288" t="s">
        <v>6099</v>
      </c>
      <c r="BN288" t="s">
        <v>74</v>
      </c>
      <c r="BO288" t="s">
        <v>1149</v>
      </c>
      <c r="BP288" t="s">
        <v>74</v>
      </c>
      <c r="BQ288" t="s">
        <v>74</v>
      </c>
      <c r="BR288" t="s">
        <v>103</v>
      </c>
      <c r="BS288" t="s">
        <v>6100</v>
      </c>
      <c r="BT288" t="str">
        <f>HYPERLINK("https%3A%2F%2Fwww.webofscience.com%2Fwos%2Fwoscc%2Ffull-record%2FWOS:000802301600001","View Full Record in Web of Science")</f>
        <v>View Full Record in Web of Science</v>
      </c>
    </row>
    <row r="289" spans="1:72" x14ac:dyDescent="0.15">
      <c r="A289" t="s">
        <v>72</v>
      </c>
      <c r="B289" t="s">
        <v>6101</v>
      </c>
      <c r="C289" t="s">
        <v>74</v>
      </c>
      <c r="D289" t="s">
        <v>74</v>
      </c>
      <c r="E289" t="s">
        <v>74</v>
      </c>
      <c r="F289" t="s">
        <v>6102</v>
      </c>
      <c r="G289" t="s">
        <v>74</v>
      </c>
      <c r="H289" t="s">
        <v>74</v>
      </c>
      <c r="I289" t="s">
        <v>6103</v>
      </c>
      <c r="J289" t="s">
        <v>6104</v>
      </c>
      <c r="K289" t="s">
        <v>74</v>
      </c>
      <c r="L289" t="s">
        <v>74</v>
      </c>
      <c r="M289" t="s">
        <v>78</v>
      </c>
      <c r="N289" t="s">
        <v>79</v>
      </c>
      <c r="O289" t="s">
        <v>74</v>
      </c>
      <c r="P289" t="s">
        <v>74</v>
      </c>
      <c r="Q289" t="s">
        <v>74</v>
      </c>
      <c r="R289" t="s">
        <v>74</v>
      </c>
      <c r="S289" t="s">
        <v>74</v>
      </c>
      <c r="T289" t="s">
        <v>6105</v>
      </c>
      <c r="U289" t="s">
        <v>6106</v>
      </c>
      <c r="V289" t="s">
        <v>6107</v>
      </c>
      <c r="W289" t="s">
        <v>6108</v>
      </c>
      <c r="X289" t="s">
        <v>6109</v>
      </c>
      <c r="Y289" t="s">
        <v>6110</v>
      </c>
      <c r="Z289" t="s">
        <v>6111</v>
      </c>
      <c r="AA289" t="s">
        <v>6112</v>
      </c>
      <c r="AB289" t="s">
        <v>6113</v>
      </c>
      <c r="AC289" t="s">
        <v>6114</v>
      </c>
      <c r="AD289" t="s">
        <v>6115</v>
      </c>
      <c r="AE289" t="s">
        <v>6116</v>
      </c>
      <c r="AF289" t="s">
        <v>74</v>
      </c>
      <c r="AG289">
        <v>93</v>
      </c>
      <c r="AH289">
        <v>3</v>
      </c>
      <c r="AI289">
        <v>3</v>
      </c>
      <c r="AJ289">
        <v>2</v>
      </c>
      <c r="AK289">
        <v>10</v>
      </c>
      <c r="AL289" t="s">
        <v>257</v>
      </c>
      <c r="AM289" t="s">
        <v>258</v>
      </c>
      <c r="AN289" t="s">
        <v>259</v>
      </c>
      <c r="AO289" t="s">
        <v>6117</v>
      </c>
      <c r="AP289" t="s">
        <v>6118</v>
      </c>
      <c r="AQ289" t="s">
        <v>74</v>
      </c>
      <c r="AR289" t="s">
        <v>6104</v>
      </c>
      <c r="AS289" t="s">
        <v>6119</v>
      </c>
      <c r="AT289" t="s">
        <v>320</v>
      </c>
      <c r="AU289">
        <v>2022</v>
      </c>
      <c r="AV289">
        <v>410</v>
      </c>
      <c r="AW289" t="s">
        <v>74</v>
      </c>
      <c r="AX289" t="s">
        <v>74</v>
      </c>
      <c r="AY289" t="s">
        <v>74</v>
      </c>
      <c r="AZ289" t="s">
        <v>74</v>
      </c>
      <c r="BA289" t="s">
        <v>74</v>
      </c>
      <c r="BB289" t="s">
        <v>74</v>
      </c>
      <c r="BC289" t="s">
        <v>74</v>
      </c>
      <c r="BD289">
        <v>108287</v>
      </c>
      <c r="BE289" t="s">
        <v>6120</v>
      </c>
      <c r="BF289" t="str">
        <f>HYPERLINK("http://dx.doi.org/10.1016/j.geomorph.2022.108287","http://dx.doi.org/10.1016/j.geomorph.2022.108287")</f>
        <v>http://dx.doi.org/10.1016/j.geomorph.2022.108287</v>
      </c>
      <c r="BG289" t="s">
        <v>74</v>
      </c>
      <c r="BH289" t="s">
        <v>3111</v>
      </c>
      <c r="BI289">
        <v>13</v>
      </c>
      <c r="BJ289" t="s">
        <v>125</v>
      </c>
      <c r="BK289" t="s">
        <v>101</v>
      </c>
      <c r="BL289" t="s">
        <v>126</v>
      </c>
      <c r="BM289" t="s">
        <v>6121</v>
      </c>
      <c r="BN289" t="s">
        <v>74</v>
      </c>
      <c r="BO289" t="s">
        <v>74</v>
      </c>
      <c r="BP289" t="s">
        <v>74</v>
      </c>
      <c r="BQ289" t="s">
        <v>74</v>
      </c>
      <c r="BR289" t="s">
        <v>103</v>
      </c>
      <c r="BS289" t="s">
        <v>6122</v>
      </c>
      <c r="BT289" t="str">
        <f>HYPERLINK("https%3A%2F%2Fwww.webofscience.com%2Fwos%2Fwoscc%2Ffull-record%2FWOS:000800346700001","View Full Record in Web of Science")</f>
        <v>View Full Record in Web of Science</v>
      </c>
    </row>
    <row r="290" spans="1:72" x14ac:dyDescent="0.15">
      <c r="A290" t="s">
        <v>72</v>
      </c>
      <c r="B290" t="s">
        <v>6123</v>
      </c>
      <c r="C290" t="s">
        <v>74</v>
      </c>
      <c r="D290" t="s">
        <v>74</v>
      </c>
      <c r="E290" t="s">
        <v>74</v>
      </c>
      <c r="F290" t="s">
        <v>6124</v>
      </c>
      <c r="G290" t="s">
        <v>74</v>
      </c>
      <c r="H290" t="s">
        <v>74</v>
      </c>
      <c r="I290" t="s">
        <v>6125</v>
      </c>
      <c r="J290" t="s">
        <v>6126</v>
      </c>
      <c r="K290" t="s">
        <v>74</v>
      </c>
      <c r="L290" t="s">
        <v>74</v>
      </c>
      <c r="M290" t="s">
        <v>78</v>
      </c>
      <c r="N290" t="s">
        <v>79</v>
      </c>
      <c r="O290" t="s">
        <v>74</v>
      </c>
      <c r="P290" t="s">
        <v>74</v>
      </c>
      <c r="Q290" t="s">
        <v>74</v>
      </c>
      <c r="R290" t="s">
        <v>74</v>
      </c>
      <c r="S290" t="s">
        <v>74</v>
      </c>
      <c r="T290" t="s">
        <v>6127</v>
      </c>
      <c r="U290" t="s">
        <v>6128</v>
      </c>
      <c r="V290" t="s">
        <v>6129</v>
      </c>
      <c r="W290" t="s">
        <v>6130</v>
      </c>
      <c r="X290" t="s">
        <v>6131</v>
      </c>
      <c r="Y290" t="s">
        <v>6132</v>
      </c>
      <c r="Z290" t="s">
        <v>6133</v>
      </c>
      <c r="AA290" t="s">
        <v>6134</v>
      </c>
      <c r="AB290" t="s">
        <v>6135</v>
      </c>
      <c r="AC290" t="s">
        <v>6136</v>
      </c>
      <c r="AD290" t="s">
        <v>6137</v>
      </c>
      <c r="AE290" t="s">
        <v>6138</v>
      </c>
      <c r="AF290" t="s">
        <v>74</v>
      </c>
      <c r="AG290">
        <v>89</v>
      </c>
      <c r="AH290">
        <v>6</v>
      </c>
      <c r="AI290">
        <v>6</v>
      </c>
      <c r="AJ290">
        <v>2</v>
      </c>
      <c r="AK290">
        <v>18</v>
      </c>
      <c r="AL290" t="s">
        <v>257</v>
      </c>
      <c r="AM290" t="s">
        <v>258</v>
      </c>
      <c r="AN290" t="s">
        <v>259</v>
      </c>
      <c r="AO290" t="s">
        <v>6139</v>
      </c>
      <c r="AP290" t="s">
        <v>6140</v>
      </c>
      <c r="AQ290" t="s">
        <v>74</v>
      </c>
      <c r="AR290" t="s">
        <v>6141</v>
      </c>
      <c r="AS290" t="s">
        <v>6142</v>
      </c>
      <c r="AT290" t="s">
        <v>123</v>
      </c>
      <c r="AU290">
        <v>2022</v>
      </c>
      <c r="AV290">
        <v>351</v>
      </c>
      <c r="AW290" t="s">
        <v>74</v>
      </c>
      <c r="AX290" t="s">
        <v>74</v>
      </c>
      <c r="AY290" t="s">
        <v>74</v>
      </c>
      <c r="AZ290" t="s">
        <v>74</v>
      </c>
      <c r="BA290" t="s">
        <v>74</v>
      </c>
      <c r="BB290">
        <v>38</v>
      </c>
      <c r="BC290">
        <v>49</v>
      </c>
      <c r="BD290" t="s">
        <v>74</v>
      </c>
      <c r="BE290" t="s">
        <v>6143</v>
      </c>
      <c r="BF290" t="str">
        <f>HYPERLINK("http://dx.doi.org/10.1016/j.jbiotec.2022.04.014","http://dx.doi.org/10.1016/j.jbiotec.2022.04.014")</f>
        <v>http://dx.doi.org/10.1016/j.jbiotec.2022.04.014</v>
      </c>
      <c r="BG290" t="s">
        <v>74</v>
      </c>
      <c r="BH290" t="s">
        <v>3111</v>
      </c>
      <c r="BI290">
        <v>12</v>
      </c>
      <c r="BJ290" t="s">
        <v>6144</v>
      </c>
      <c r="BK290" t="s">
        <v>101</v>
      </c>
      <c r="BL290" t="s">
        <v>6144</v>
      </c>
      <c r="BM290" t="s">
        <v>6145</v>
      </c>
      <c r="BN290">
        <v>35504489</v>
      </c>
      <c r="BO290" t="s">
        <v>1448</v>
      </c>
      <c r="BP290" t="s">
        <v>74</v>
      </c>
      <c r="BQ290" t="s">
        <v>74</v>
      </c>
      <c r="BR290" t="s">
        <v>103</v>
      </c>
      <c r="BS290" t="s">
        <v>6146</v>
      </c>
      <c r="BT290" t="str">
        <f>HYPERLINK("https%3A%2F%2Fwww.webofscience.com%2Fwos%2Fwoscc%2Ffull-record%2FWOS:000800452100006","View Full Record in Web of Science")</f>
        <v>View Full Record in Web of Science</v>
      </c>
    </row>
    <row r="291" spans="1:72" x14ac:dyDescent="0.15">
      <c r="A291" t="s">
        <v>72</v>
      </c>
      <c r="B291" t="s">
        <v>6147</v>
      </c>
      <c r="C291" t="s">
        <v>74</v>
      </c>
      <c r="D291" t="s">
        <v>74</v>
      </c>
      <c r="E291" t="s">
        <v>74</v>
      </c>
      <c r="F291" t="s">
        <v>6148</v>
      </c>
      <c r="G291" t="s">
        <v>74</v>
      </c>
      <c r="H291" t="s">
        <v>74</v>
      </c>
      <c r="I291" t="s">
        <v>6149</v>
      </c>
      <c r="J291" t="s">
        <v>6150</v>
      </c>
      <c r="K291" t="s">
        <v>74</v>
      </c>
      <c r="L291" t="s">
        <v>74</v>
      </c>
      <c r="M291" t="s">
        <v>78</v>
      </c>
      <c r="N291" t="s">
        <v>79</v>
      </c>
      <c r="O291" t="s">
        <v>74</v>
      </c>
      <c r="P291" t="s">
        <v>74</v>
      </c>
      <c r="Q291" t="s">
        <v>74</v>
      </c>
      <c r="R291" t="s">
        <v>74</v>
      </c>
      <c r="S291" t="s">
        <v>74</v>
      </c>
      <c r="T291" t="s">
        <v>6151</v>
      </c>
      <c r="U291" t="s">
        <v>6152</v>
      </c>
      <c r="V291" t="s">
        <v>6153</v>
      </c>
      <c r="W291" t="s">
        <v>6154</v>
      </c>
      <c r="X291" t="s">
        <v>6155</v>
      </c>
      <c r="Y291" t="s">
        <v>6156</v>
      </c>
      <c r="Z291" t="s">
        <v>6157</v>
      </c>
      <c r="AA291" t="s">
        <v>6158</v>
      </c>
      <c r="AB291" t="s">
        <v>6159</v>
      </c>
      <c r="AC291" t="s">
        <v>6160</v>
      </c>
      <c r="AD291" t="s">
        <v>6161</v>
      </c>
      <c r="AE291" t="s">
        <v>6162</v>
      </c>
      <c r="AF291" t="s">
        <v>74</v>
      </c>
      <c r="AG291">
        <v>36</v>
      </c>
      <c r="AH291">
        <v>3</v>
      </c>
      <c r="AI291">
        <v>3</v>
      </c>
      <c r="AJ291">
        <v>1</v>
      </c>
      <c r="AK291">
        <v>2</v>
      </c>
      <c r="AL291" t="s">
        <v>199</v>
      </c>
      <c r="AM291" t="s">
        <v>200</v>
      </c>
      <c r="AN291" t="s">
        <v>201</v>
      </c>
      <c r="AO291" t="s">
        <v>6163</v>
      </c>
      <c r="AP291" t="s">
        <v>6164</v>
      </c>
      <c r="AQ291" t="s">
        <v>74</v>
      </c>
      <c r="AR291" t="s">
        <v>6165</v>
      </c>
      <c r="AS291" t="s">
        <v>6166</v>
      </c>
      <c r="AT291" t="s">
        <v>537</v>
      </c>
      <c r="AU291">
        <v>2022</v>
      </c>
      <c r="AV291">
        <v>116</v>
      </c>
      <c r="AW291" t="s">
        <v>74</v>
      </c>
      <c r="AX291" t="s">
        <v>74</v>
      </c>
      <c r="AY291" t="s">
        <v>74</v>
      </c>
      <c r="AZ291" t="s">
        <v>74</v>
      </c>
      <c r="BA291" t="s">
        <v>74</v>
      </c>
      <c r="BB291" t="s">
        <v>74</v>
      </c>
      <c r="BC291" t="s">
        <v>74</v>
      </c>
      <c r="BD291">
        <v>103804</v>
      </c>
      <c r="BE291" t="s">
        <v>6167</v>
      </c>
      <c r="BF291" t="str">
        <f>HYPERLINK("http://dx.doi.org/10.1016/j.jsames.2022.103804","http://dx.doi.org/10.1016/j.jsames.2022.103804")</f>
        <v>http://dx.doi.org/10.1016/j.jsames.2022.103804</v>
      </c>
      <c r="BG291" t="s">
        <v>74</v>
      </c>
      <c r="BH291" t="s">
        <v>3111</v>
      </c>
      <c r="BI291">
        <v>10</v>
      </c>
      <c r="BJ291" t="s">
        <v>265</v>
      </c>
      <c r="BK291" t="s">
        <v>101</v>
      </c>
      <c r="BL291" t="s">
        <v>100</v>
      </c>
      <c r="BM291" t="s">
        <v>6168</v>
      </c>
      <c r="BN291" t="s">
        <v>74</v>
      </c>
      <c r="BO291" t="s">
        <v>74</v>
      </c>
      <c r="BP291" t="s">
        <v>74</v>
      </c>
      <c r="BQ291" t="s">
        <v>74</v>
      </c>
      <c r="BR291" t="s">
        <v>103</v>
      </c>
      <c r="BS291" t="s">
        <v>6169</v>
      </c>
      <c r="BT291" t="str">
        <f>HYPERLINK("https%3A%2F%2Fwww.webofscience.com%2Fwos%2Fwoscc%2Ffull-record%2FWOS:000800379100004","View Full Record in Web of Science")</f>
        <v>View Full Record in Web of Science</v>
      </c>
    </row>
    <row r="292" spans="1:72" x14ac:dyDescent="0.15">
      <c r="A292" t="s">
        <v>72</v>
      </c>
      <c r="B292" t="s">
        <v>6170</v>
      </c>
      <c r="C292" t="s">
        <v>74</v>
      </c>
      <c r="D292" t="s">
        <v>74</v>
      </c>
      <c r="E292" t="s">
        <v>74</v>
      </c>
      <c r="F292" t="s">
        <v>6171</v>
      </c>
      <c r="G292" t="s">
        <v>74</v>
      </c>
      <c r="H292" t="s">
        <v>74</v>
      </c>
      <c r="I292" t="s">
        <v>6172</v>
      </c>
      <c r="J292" t="s">
        <v>272</v>
      </c>
      <c r="K292" t="s">
        <v>74</v>
      </c>
      <c r="L292" t="s">
        <v>74</v>
      </c>
      <c r="M292" t="s">
        <v>78</v>
      </c>
      <c r="N292" t="s">
        <v>79</v>
      </c>
      <c r="O292" t="s">
        <v>74</v>
      </c>
      <c r="P292" t="s">
        <v>74</v>
      </c>
      <c r="Q292" t="s">
        <v>74</v>
      </c>
      <c r="R292" t="s">
        <v>74</v>
      </c>
      <c r="S292" t="s">
        <v>74</v>
      </c>
      <c r="T292" t="s">
        <v>6173</v>
      </c>
      <c r="U292" t="s">
        <v>6174</v>
      </c>
      <c r="V292" t="s">
        <v>6175</v>
      </c>
      <c r="W292" t="s">
        <v>6176</v>
      </c>
      <c r="X292" t="s">
        <v>6177</v>
      </c>
      <c r="Y292" t="s">
        <v>6178</v>
      </c>
      <c r="Z292" t="s">
        <v>6179</v>
      </c>
      <c r="AA292" t="s">
        <v>6180</v>
      </c>
      <c r="AB292" t="s">
        <v>6181</v>
      </c>
      <c r="AC292" t="s">
        <v>74</v>
      </c>
      <c r="AD292" t="s">
        <v>74</v>
      </c>
      <c r="AE292" t="s">
        <v>74</v>
      </c>
      <c r="AF292" t="s">
        <v>74</v>
      </c>
      <c r="AG292">
        <v>104</v>
      </c>
      <c r="AH292">
        <v>5</v>
      </c>
      <c r="AI292">
        <v>5</v>
      </c>
      <c r="AJ292">
        <v>9</v>
      </c>
      <c r="AK292">
        <v>23</v>
      </c>
      <c r="AL292" t="s">
        <v>285</v>
      </c>
      <c r="AM292" t="s">
        <v>286</v>
      </c>
      <c r="AN292" t="s">
        <v>287</v>
      </c>
      <c r="AO292" t="s">
        <v>74</v>
      </c>
      <c r="AP292" t="s">
        <v>288</v>
      </c>
      <c r="AQ292" t="s">
        <v>74</v>
      </c>
      <c r="AR292" t="s">
        <v>289</v>
      </c>
      <c r="AS292" t="s">
        <v>290</v>
      </c>
      <c r="AT292" t="s">
        <v>6182</v>
      </c>
      <c r="AU292">
        <v>2022</v>
      </c>
      <c r="AV292">
        <v>13</v>
      </c>
      <c r="AW292" t="s">
        <v>74</v>
      </c>
      <c r="AX292" t="s">
        <v>74</v>
      </c>
      <c r="AY292" t="s">
        <v>74</v>
      </c>
      <c r="AZ292" t="s">
        <v>74</v>
      </c>
      <c r="BA292" t="s">
        <v>74</v>
      </c>
      <c r="BB292" t="s">
        <v>74</v>
      </c>
      <c r="BC292" t="s">
        <v>74</v>
      </c>
      <c r="BD292">
        <v>885557</v>
      </c>
      <c r="BE292" t="s">
        <v>6183</v>
      </c>
      <c r="BF292" t="str">
        <f>HYPERLINK("http://dx.doi.org/10.3389/fmicb.2022.885557","http://dx.doi.org/10.3389/fmicb.2022.885557")</f>
        <v>http://dx.doi.org/10.3389/fmicb.2022.885557</v>
      </c>
      <c r="BG292" t="s">
        <v>74</v>
      </c>
      <c r="BH292" t="s">
        <v>74</v>
      </c>
      <c r="BI292">
        <v>19</v>
      </c>
      <c r="BJ292" t="s">
        <v>293</v>
      </c>
      <c r="BK292" t="s">
        <v>101</v>
      </c>
      <c r="BL292" t="s">
        <v>293</v>
      </c>
      <c r="BM292" t="s">
        <v>6184</v>
      </c>
      <c r="BN292">
        <v>35602031</v>
      </c>
      <c r="BO292" t="s">
        <v>1533</v>
      </c>
      <c r="BP292" t="s">
        <v>74</v>
      </c>
      <c r="BQ292" t="s">
        <v>74</v>
      </c>
      <c r="BR292" t="s">
        <v>103</v>
      </c>
      <c r="BS292" t="s">
        <v>6185</v>
      </c>
      <c r="BT292" t="str">
        <f>HYPERLINK("https%3A%2F%2Fwww.webofscience.com%2Fwos%2Fwoscc%2Ffull-record%2FWOS:000797708700001","View Full Record in Web of Science")</f>
        <v>View Full Record in Web of Science</v>
      </c>
    </row>
    <row r="293" spans="1:72" x14ac:dyDescent="0.15">
      <c r="A293" t="s">
        <v>72</v>
      </c>
      <c r="B293" t="s">
        <v>6186</v>
      </c>
      <c r="C293" t="s">
        <v>74</v>
      </c>
      <c r="D293" t="s">
        <v>74</v>
      </c>
      <c r="E293" t="s">
        <v>74</v>
      </c>
      <c r="F293" t="s">
        <v>6187</v>
      </c>
      <c r="G293" t="s">
        <v>74</v>
      </c>
      <c r="H293" t="s">
        <v>74</v>
      </c>
      <c r="I293" t="s">
        <v>6188</v>
      </c>
      <c r="J293" t="s">
        <v>6189</v>
      </c>
      <c r="K293" t="s">
        <v>74</v>
      </c>
      <c r="L293" t="s">
        <v>74</v>
      </c>
      <c r="M293" t="s">
        <v>78</v>
      </c>
      <c r="N293" t="s">
        <v>79</v>
      </c>
      <c r="O293" t="s">
        <v>74</v>
      </c>
      <c r="P293" t="s">
        <v>74</v>
      </c>
      <c r="Q293" t="s">
        <v>74</v>
      </c>
      <c r="R293" t="s">
        <v>74</v>
      </c>
      <c r="S293" t="s">
        <v>74</v>
      </c>
      <c r="T293" t="s">
        <v>6190</v>
      </c>
      <c r="U293" t="s">
        <v>6191</v>
      </c>
      <c r="V293" t="s">
        <v>6192</v>
      </c>
      <c r="W293" t="s">
        <v>6193</v>
      </c>
      <c r="X293" t="s">
        <v>6194</v>
      </c>
      <c r="Y293" t="s">
        <v>6195</v>
      </c>
      <c r="Z293" t="s">
        <v>6196</v>
      </c>
      <c r="AA293" t="s">
        <v>6197</v>
      </c>
      <c r="AB293" t="s">
        <v>6198</v>
      </c>
      <c r="AC293" t="s">
        <v>6199</v>
      </c>
      <c r="AD293" t="s">
        <v>6200</v>
      </c>
      <c r="AE293" t="s">
        <v>6201</v>
      </c>
      <c r="AF293" t="s">
        <v>74</v>
      </c>
      <c r="AG293">
        <v>69</v>
      </c>
      <c r="AH293">
        <v>1</v>
      </c>
      <c r="AI293">
        <v>1</v>
      </c>
      <c r="AJ293">
        <v>1</v>
      </c>
      <c r="AK293">
        <v>6</v>
      </c>
      <c r="AL293" t="s">
        <v>4862</v>
      </c>
      <c r="AM293" t="s">
        <v>4863</v>
      </c>
      <c r="AN293" t="s">
        <v>4864</v>
      </c>
      <c r="AO293" t="s">
        <v>74</v>
      </c>
      <c r="AP293" t="s">
        <v>6202</v>
      </c>
      <c r="AQ293" t="s">
        <v>74</v>
      </c>
      <c r="AR293" t="s">
        <v>6203</v>
      </c>
      <c r="AS293" t="s">
        <v>6204</v>
      </c>
      <c r="AT293" t="s">
        <v>6182</v>
      </c>
      <c r="AU293">
        <v>2022</v>
      </c>
      <c r="AV293">
        <v>7</v>
      </c>
      <c r="AW293">
        <v>5</v>
      </c>
      <c r="AX293" t="s">
        <v>74</v>
      </c>
      <c r="AY293" t="s">
        <v>74</v>
      </c>
      <c r="AZ293" t="s">
        <v>74</v>
      </c>
      <c r="BA293" t="s">
        <v>74</v>
      </c>
      <c r="BB293">
        <v>810</v>
      </c>
      <c r="BC293">
        <v>818</v>
      </c>
      <c r="BD293" t="s">
        <v>74</v>
      </c>
      <c r="BE293" t="s">
        <v>6205</v>
      </c>
      <c r="BF293" t="str">
        <f>HYPERLINK("http://dx.doi.org/10.1080/23802359.2022.2073837","http://dx.doi.org/10.1080/23802359.2022.2073837")</f>
        <v>http://dx.doi.org/10.1080/23802359.2022.2073837</v>
      </c>
      <c r="BG293" t="s">
        <v>74</v>
      </c>
      <c r="BH293" t="s">
        <v>74</v>
      </c>
      <c r="BI293">
        <v>9</v>
      </c>
      <c r="BJ293" t="s">
        <v>2023</v>
      </c>
      <c r="BK293" t="s">
        <v>101</v>
      </c>
      <c r="BL293" t="s">
        <v>2023</v>
      </c>
      <c r="BM293" t="s">
        <v>6206</v>
      </c>
      <c r="BN293">
        <v>35573593</v>
      </c>
      <c r="BO293" t="s">
        <v>1533</v>
      </c>
      <c r="BP293" t="s">
        <v>74</v>
      </c>
      <c r="BQ293" t="s">
        <v>74</v>
      </c>
      <c r="BR293" t="s">
        <v>103</v>
      </c>
      <c r="BS293" t="s">
        <v>6207</v>
      </c>
      <c r="BT293" t="str">
        <f>HYPERLINK("https%3A%2F%2Fwww.webofscience.com%2Fwos%2Fwoscc%2Ffull-record%2FWOS:000792899600001","View Full Record in Web of Science")</f>
        <v>View Full Record in Web of Science</v>
      </c>
    </row>
    <row r="294" spans="1:72" x14ac:dyDescent="0.15">
      <c r="A294" t="s">
        <v>72</v>
      </c>
      <c r="B294" t="s">
        <v>6208</v>
      </c>
      <c r="C294" t="s">
        <v>74</v>
      </c>
      <c r="D294" t="s">
        <v>74</v>
      </c>
      <c r="E294" t="s">
        <v>74</v>
      </c>
      <c r="F294" t="s">
        <v>6209</v>
      </c>
      <c r="G294" t="s">
        <v>74</v>
      </c>
      <c r="H294" t="s">
        <v>74</v>
      </c>
      <c r="I294" t="s">
        <v>6210</v>
      </c>
      <c r="J294" t="s">
        <v>692</v>
      </c>
      <c r="K294" t="s">
        <v>74</v>
      </c>
      <c r="L294" t="s">
        <v>74</v>
      </c>
      <c r="M294" t="s">
        <v>78</v>
      </c>
      <c r="N294" t="s">
        <v>79</v>
      </c>
      <c r="O294" t="s">
        <v>74</v>
      </c>
      <c r="P294" t="s">
        <v>74</v>
      </c>
      <c r="Q294" t="s">
        <v>74</v>
      </c>
      <c r="R294" t="s">
        <v>74</v>
      </c>
      <c r="S294" t="s">
        <v>74</v>
      </c>
      <c r="T294" t="s">
        <v>6211</v>
      </c>
      <c r="U294" t="s">
        <v>6212</v>
      </c>
      <c r="V294" t="s">
        <v>6213</v>
      </c>
      <c r="W294" t="s">
        <v>6214</v>
      </c>
      <c r="X294" t="s">
        <v>6215</v>
      </c>
      <c r="Y294" t="s">
        <v>6216</v>
      </c>
      <c r="Z294" t="s">
        <v>6217</v>
      </c>
      <c r="AA294" t="s">
        <v>6218</v>
      </c>
      <c r="AB294" t="s">
        <v>6219</v>
      </c>
      <c r="AC294" t="s">
        <v>6220</v>
      </c>
      <c r="AD294" t="s">
        <v>6221</v>
      </c>
      <c r="AE294" t="s">
        <v>6222</v>
      </c>
      <c r="AF294" t="s">
        <v>74</v>
      </c>
      <c r="AG294">
        <v>37</v>
      </c>
      <c r="AH294">
        <v>7</v>
      </c>
      <c r="AI294">
        <v>7</v>
      </c>
      <c r="AJ294">
        <v>0</v>
      </c>
      <c r="AK294">
        <v>5</v>
      </c>
      <c r="AL294" t="s">
        <v>428</v>
      </c>
      <c r="AM294" t="s">
        <v>531</v>
      </c>
      <c r="AN294" t="s">
        <v>748</v>
      </c>
      <c r="AO294" t="s">
        <v>703</v>
      </c>
      <c r="AP294" t="s">
        <v>704</v>
      </c>
      <c r="AQ294" t="s">
        <v>74</v>
      </c>
      <c r="AR294" t="s">
        <v>705</v>
      </c>
      <c r="AS294" t="s">
        <v>706</v>
      </c>
      <c r="AT294" t="s">
        <v>537</v>
      </c>
      <c r="AU294">
        <v>2022</v>
      </c>
      <c r="AV294">
        <v>34</v>
      </c>
      <c r="AW294">
        <v>3</v>
      </c>
      <c r="AX294" t="s">
        <v>74</v>
      </c>
      <c r="AY294" t="s">
        <v>74</v>
      </c>
      <c r="AZ294" t="s">
        <v>74</v>
      </c>
      <c r="BA294" t="s">
        <v>74</v>
      </c>
      <c r="BB294">
        <v>246</v>
      </c>
      <c r="BC294">
        <v>255</v>
      </c>
      <c r="BD294" t="s">
        <v>6223</v>
      </c>
      <c r="BE294" t="s">
        <v>6224</v>
      </c>
      <c r="BF294" t="str">
        <f>HYPERLINK("http://dx.doi.org/10.1017/S0954102022000153","http://dx.doi.org/10.1017/S0954102022000153")</f>
        <v>http://dx.doi.org/10.1017/S0954102022000153</v>
      </c>
      <c r="BG294" t="s">
        <v>74</v>
      </c>
      <c r="BH294" t="s">
        <v>3111</v>
      </c>
      <c r="BI294">
        <v>10</v>
      </c>
      <c r="BJ294" t="s">
        <v>708</v>
      </c>
      <c r="BK294" t="s">
        <v>101</v>
      </c>
      <c r="BL294" t="s">
        <v>709</v>
      </c>
      <c r="BM294" t="s">
        <v>1570</v>
      </c>
      <c r="BN294" t="s">
        <v>74</v>
      </c>
      <c r="BO294" t="s">
        <v>267</v>
      </c>
      <c r="BP294" t="s">
        <v>74</v>
      </c>
      <c r="BQ294" t="s">
        <v>74</v>
      </c>
      <c r="BR294" t="s">
        <v>103</v>
      </c>
      <c r="BS294" t="s">
        <v>6225</v>
      </c>
      <c r="BT294" t="str">
        <f>HYPERLINK("https%3A%2F%2Fwww.webofscience.com%2Fwos%2Fwoscc%2Ffull-record%2FWOS:000792188400001","View Full Record in Web of Science")</f>
        <v>View Full Record in Web of Science</v>
      </c>
    </row>
    <row r="295" spans="1:72" x14ac:dyDescent="0.15">
      <c r="A295" t="s">
        <v>72</v>
      </c>
      <c r="B295" t="s">
        <v>6226</v>
      </c>
      <c r="C295" t="s">
        <v>74</v>
      </c>
      <c r="D295" t="s">
        <v>74</v>
      </c>
      <c r="E295" t="s">
        <v>74</v>
      </c>
      <c r="F295" t="s">
        <v>6227</v>
      </c>
      <c r="G295" t="s">
        <v>74</v>
      </c>
      <c r="H295" t="s">
        <v>74</v>
      </c>
      <c r="I295" t="s">
        <v>6228</v>
      </c>
      <c r="J295" t="s">
        <v>6229</v>
      </c>
      <c r="K295" t="s">
        <v>74</v>
      </c>
      <c r="L295" t="s">
        <v>74</v>
      </c>
      <c r="M295" t="s">
        <v>78</v>
      </c>
      <c r="N295" t="s">
        <v>79</v>
      </c>
      <c r="O295" t="s">
        <v>74</v>
      </c>
      <c r="P295" t="s">
        <v>74</v>
      </c>
      <c r="Q295" t="s">
        <v>74</v>
      </c>
      <c r="R295" t="s">
        <v>74</v>
      </c>
      <c r="S295" t="s">
        <v>74</v>
      </c>
      <c r="T295" t="s">
        <v>6230</v>
      </c>
      <c r="U295" t="s">
        <v>6231</v>
      </c>
      <c r="V295" t="s">
        <v>6232</v>
      </c>
      <c r="W295" t="s">
        <v>6233</v>
      </c>
      <c r="X295" t="s">
        <v>6234</v>
      </c>
      <c r="Y295" t="s">
        <v>6235</v>
      </c>
      <c r="Z295" t="s">
        <v>6236</v>
      </c>
      <c r="AA295" t="s">
        <v>6237</v>
      </c>
      <c r="AB295" t="s">
        <v>6238</v>
      </c>
      <c r="AC295" t="s">
        <v>6239</v>
      </c>
      <c r="AD295" t="s">
        <v>6240</v>
      </c>
      <c r="AE295" t="s">
        <v>6241</v>
      </c>
      <c r="AF295" t="s">
        <v>74</v>
      </c>
      <c r="AG295">
        <v>58</v>
      </c>
      <c r="AH295">
        <v>2</v>
      </c>
      <c r="AI295">
        <v>2</v>
      </c>
      <c r="AJ295">
        <v>6</v>
      </c>
      <c r="AK295">
        <v>31</v>
      </c>
      <c r="AL295" t="s">
        <v>530</v>
      </c>
      <c r="AM295" t="s">
        <v>1121</v>
      </c>
      <c r="AN295" t="s">
        <v>1122</v>
      </c>
      <c r="AO295" t="s">
        <v>6242</v>
      </c>
      <c r="AP295" t="s">
        <v>6243</v>
      </c>
      <c r="AQ295" t="s">
        <v>74</v>
      </c>
      <c r="AR295" t="s">
        <v>6229</v>
      </c>
      <c r="AS295" t="s">
        <v>6244</v>
      </c>
      <c r="AT295" t="s">
        <v>206</v>
      </c>
      <c r="AU295">
        <v>2022</v>
      </c>
      <c r="AV295">
        <v>159</v>
      </c>
      <c r="AW295">
        <v>3</v>
      </c>
      <c r="AX295" t="s">
        <v>74</v>
      </c>
      <c r="AY295" t="s">
        <v>74</v>
      </c>
      <c r="AZ295" t="s">
        <v>74</v>
      </c>
      <c r="BA295" t="s">
        <v>74</v>
      </c>
      <c r="BB295">
        <v>337</v>
      </c>
      <c r="BC295">
        <v>352</v>
      </c>
      <c r="BD295" t="s">
        <v>74</v>
      </c>
      <c r="BE295" t="s">
        <v>6245</v>
      </c>
      <c r="BF295" t="str">
        <f>HYPERLINK("http://dx.doi.org/10.1007/s10533-022-00931-x","http://dx.doi.org/10.1007/s10533-022-00931-x")</f>
        <v>http://dx.doi.org/10.1007/s10533-022-00931-x</v>
      </c>
      <c r="BG295" t="s">
        <v>74</v>
      </c>
      <c r="BH295" t="s">
        <v>3111</v>
      </c>
      <c r="BI295">
        <v>16</v>
      </c>
      <c r="BJ295" t="s">
        <v>6246</v>
      </c>
      <c r="BK295" t="s">
        <v>101</v>
      </c>
      <c r="BL295" t="s">
        <v>3113</v>
      </c>
      <c r="BM295" t="s">
        <v>6247</v>
      </c>
      <c r="BN295" t="s">
        <v>74</v>
      </c>
      <c r="BO295" t="s">
        <v>74</v>
      </c>
      <c r="BP295" t="s">
        <v>74</v>
      </c>
      <c r="BQ295" t="s">
        <v>74</v>
      </c>
      <c r="BR295" t="s">
        <v>103</v>
      </c>
      <c r="BS295" t="s">
        <v>6248</v>
      </c>
      <c r="BT295" t="str">
        <f>HYPERLINK("https%3A%2F%2Fwww.webofscience.com%2Fwos%2Fwoscc%2Ffull-record%2FWOS:000790632400001","View Full Record in Web of Science")</f>
        <v>View Full Record in Web of Science</v>
      </c>
    </row>
    <row r="296" spans="1:72" x14ac:dyDescent="0.15">
      <c r="A296" t="s">
        <v>72</v>
      </c>
      <c r="B296" t="s">
        <v>6249</v>
      </c>
      <c r="C296" t="s">
        <v>74</v>
      </c>
      <c r="D296" t="s">
        <v>74</v>
      </c>
      <c r="E296" t="s">
        <v>74</v>
      </c>
      <c r="F296" t="s">
        <v>6250</v>
      </c>
      <c r="G296" t="s">
        <v>74</v>
      </c>
      <c r="H296" t="s">
        <v>74</v>
      </c>
      <c r="I296" t="s">
        <v>6251</v>
      </c>
      <c r="J296" t="s">
        <v>6252</v>
      </c>
      <c r="K296" t="s">
        <v>74</v>
      </c>
      <c r="L296" t="s">
        <v>74</v>
      </c>
      <c r="M296" t="s">
        <v>78</v>
      </c>
      <c r="N296" t="s">
        <v>79</v>
      </c>
      <c r="O296" t="s">
        <v>74</v>
      </c>
      <c r="P296" t="s">
        <v>74</v>
      </c>
      <c r="Q296" t="s">
        <v>74</v>
      </c>
      <c r="R296" t="s">
        <v>74</v>
      </c>
      <c r="S296" t="s">
        <v>74</v>
      </c>
      <c r="T296" t="s">
        <v>74</v>
      </c>
      <c r="U296" t="s">
        <v>6253</v>
      </c>
      <c r="V296" t="s">
        <v>6254</v>
      </c>
      <c r="W296" t="s">
        <v>6255</v>
      </c>
      <c r="X296" t="s">
        <v>6256</v>
      </c>
      <c r="Y296" t="s">
        <v>6257</v>
      </c>
      <c r="Z296" t="s">
        <v>6258</v>
      </c>
      <c r="AA296" t="s">
        <v>6259</v>
      </c>
      <c r="AB296" t="s">
        <v>6260</v>
      </c>
      <c r="AC296" t="s">
        <v>6261</v>
      </c>
      <c r="AD296" t="s">
        <v>6262</v>
      </c>
      <c r="AE296" t="s">
        <v>6263</v>
      </c>
      <c r="AF296" t="s">
        <v>74</v>
      </c>
      <c r="AG296">
        <v>145</v>
      </c>
      <c r="AH296">
        <v>7</v>
      </c>
      <c r="AI296">
        <v>7</v>
      </c>
      <c r="AJ296">
        <v>3</v>
      </c>
      <c r="AK296">
        <v>19</v>
      </c>
      <c r="AL296" t="s">
        <v>91</v>
      </c>
      <c r="AM296" t="s">
        <v>92</v>
      </c>
      <c r="AN296" t="s">
        <v>93</v>
      </c>
      <c r="AO296" t="s">
        <v>6264</v>
      </c>
      <c r="AP296" t="s">
        <v>6265</v>
      </c>
      <c r="AQ296" t="s">
        <v>74</v>
      </c>
      <c r="AR296" t="s">
        <v>6266</v>
      </c>
      <c r="AS296" t="s">
        <v>6267</v>
      </c>
      <c r="AT296" t="s">
        <v>5076</v>
      </c>
      <c r="AU296">
        <v>2022</v>
      </c>
      <c r="AV296">
        <v>24</v>
      </c>
      <c r="AW296">
        <v>5</v>
      </c>
      <c r="AX296" t="s">
        <v>74</v>
      </c>
      <c r="AY296" t="s">
        <v>74</v>
      </c>
      <c r="AZ296" t="s">
        <v>772</v>
      </c>
      <c r="BA296" t="s">
        <v>74</v>
      </c>
      <c r="BB296">
        <v>2576</v>
      </c>
      <c r="BC296">
        <v>2603</v>
      </c>
      <c r="BD296" t="s">
        <v>74</v>
      </c>
      <c r="BE296" t="s">
        <v>6268</v>
      </c>
      <c r="BF296" t="str">
        <f>HYPERLINK("http://dx.doi.org/10.1111/1462-2920.16026","http://dx.doi.org/10.1111/1462-2920.16026")</f>
        <v>http://dx.doi.org/10.1111/1462-2920.16026</v>
      </c>
      <c r="BG296" t="s">
        <v>74</v>
      </c>
      <c r="BH296" t="s">
        <v>3111</v>
      </c>
      <c r="BI296">
        <v>28</v>
      </c>
      <c r="BJ296" t="s">
        <v>293</v>
      </c>
      <c r="BK296" t="s">
        <v>101</v>
      </c>
      <c r="BL296" t="s">
        <v>293</v>
      </c>
      <c r="BM296" t="s">
        <v>6269</v>
      </c>
      <c r="BN296">
        <v>35466505</v>
      </c>
      <c r="BO296" t="s">
        <v>590</v>
      </c>
      <c r="BP296" t="s">
        <v>74</v>
      </c>
      <c r="BQ296" t="s">
        <v>74</v>
      </c>
      <c r="BR296" t="s">
        <v>103</v>
      </c>
      <c r="BS296" t="s">
        <v>6270</v>
      </c>
      <c r="BT296" t="str">
        <f>HYPERLINK("https%3A%2F%2Fwww.webofscience.com%2Fwos%2Fwoscc%2Ffull-record%2FWOS:000790147500001","View Full Record in Web of Science")</f>
        <v>View Full Record in Web of Science</v>
      </c>
    </row>
    <row r="297" spans="1:72" x14ac:dyDescent="0.15">
      <c r="A297" t="s">
        <v>72</v>
      </c>
      <c r="B297" t="s">
        <v>6271</v>
      </c>
      <c r="C297" t="s">
        <v>74</v>
      </c>
      <c r="D297" t="s">
        <v>74</v>
      </c>
      <c r="E297" t="s">
        <v>74</v>
      </c>
      <c r="F297" t="s">
        <v>6272</v>
      </c>
      <c r="G297" t="s">
        <v>74</v>
      </c>
      <c r="H297" t="s">
        <v>74</v>
      </c>
      <c r="I297" t="s">
        <v>6273</v>
      </c>
      <c r="J297" t="s">
        <v>6274</v>
      </c>
      <c r="K297" t="s">
        <v>74</v>
      </c>
      <c r="L297" t="s">
        <v>74</v>
      </c>
      <c r="M297" t="s">
        <v>78</v>
      </c>
      <c r="N297" t="s">
        <v>79</v>
      </c>
      <c r="O297" t="s">
        <v>74</v>
      </c>
      <c r="P297" t="s">
        <v>74</v>
      </c>
      <c r="Q297" t="s">
        <v>74</v>
      </c>
      <c r="R297" t="s">
        <v>74</v>
      </c>
      <c r="S297" t="s">
        <v>74</v>
      </c>
      <c r="T297" t="s">
        <v>6275</v>
      </c>
      <c r="U297" t="s">
        <v>6276</v>
      </c>
      <c r="V297" t="s">
        <v>6277</v>
      </c>
      <c r="W297" t="s">
        <v>6278</v>
      </c>
      <c r="X297" t="s">
        <v>6279</v>
      </c>
      <c r="Y297" t="s">
        <v>6280</v>
      </c>
      <c r="Z297" t="s">
        <v>6281</v>
      </c>
      <c r="AA297" t="s">
        <v>6282</v>
      </c>
      <c r="AB297" t="s">
        <v>6283</v>
      </c>
      <c r="AC297" t="s">
        <v>6284</v>
      </c>
      <c r="AD297" t="s">
        <v>6285</v>
      </c>
      <c r="AE297" t="s">
        <v>6286</v>
      </c>
      <c r="AF297" t="s">
        <v>74</v>
      </c>
      <c r="AG297">
        <v>132</v>
      </c>
      <c r="AH297">
        <v>6</v>
      </c>
      <c r="AI297">
        <v>6</v>
      </c>
      <c r="AJ297">
        <v>5</v>
      </c>
      <c r="AK297">
        <v>16</v>
      </c>
      <c r="AL297" t="s">
        <v>633</v>
      </c>
      <c r="AM297" t="s">
        <v>200</v>
      </c>
      <c r="AN297" t="s">
        <v>634</v>
      </c>
      <c r="AO297" t="s">
        <v>6287</v>
      </c>
      <c r="AP297" t="s">
        <v>6288</v>
      </c>
      <c r="AQ297" t="s">
        <v>74</v>
      </c>
      <c r="AR297" t="s">
        <v>6289</v>
      </c>
      <c r="AS297" t="s">
        <v>6290</v>
      </c>
      <c r="AT297" t="s">
        <v>6291</v>
      </c>
      <c r="AU297">
        <v>2022</v>
      </c>
      <c r="AV297">
        <v>39</v>
      </c>
      <c r="AW297">
        <v>5</v>
      </c>
      <c r="AX297" t="s">
        <v>74</v>
      </c>
      <c r="AY297" t="s">
        <v>74</v>
      </c>
      <c r="AZ297" t="s">
        <v>74</v>
      </c>
      <c r="BA297" t="s">
        <v>74</v>
      </c>
      <c r="BB297" t="s">
        <v>74</v>
      </c>
      <c r="BC297" t="s">
        <v>74</v>
      </c>
      <c r="BD297" t="s">
        <v>6292</v>
      </c>
      <c r="BE297" t="s">
        <v>6293</v>
      </c>
      <c r="BF297" t="str">
        <f>HYPERLINK("http://dx.doi.org/10.1093/molbev/msac096","http://dx.doi.org/10.1093/molbev/msac096")</f>
        <v>http://dx.doi.org/10.1093/molbev/msac096</v>
      </c>
      <c r="BG297" t="s">
        <v>74</v>
      </c>
      <c r="BH297" t="s">
        <v>74</v>
      </c>
      <c r="BI297">
        <v>16</v>
      </c>
      <c r="BJ297" t="s">
        <v>6294</v>
      </c>
      <c r="BK297" t="s">
        <v>101</v>
      </c>
      <c r="BL297" t="s">
        <v>6294</v>
      </c>
      <c r="BM297" t="s">
        <v>6295</v>
      </c>
      <c r="BN297">
        <v>35512366</v>
      </c>
      <c r="BO297" t="s">
        <v>295</v>
      </c>
      <c r="BP297" t="s">
        <v>74</v>
      </c>
      <c r="BQ297" t="s">
        <v>74</v>
      </c>
      <c r="BR297" t="s">
        <v>103</v>
      </c>
      <c r="BS297" t="s">
        <v>6296</v>
      </c>
      <c r="BT297" t="str">
        <f>HYPERLINK("https%3A%2F%2Fwww.webofscience.com%2Fwos%2Fwoscc%2Ffull-record%2FWOS:000799969900004","View Full Record in Web of Science")</f>
        <v>View Full Record in Web of Science</v>
      </c>
    </row>
    <row r="298" spans="1:72" x14ac:dyDescent="0.15">
      <c r="A298" t="s">
        <v>72</v>
      </c>
      <c r="B298" t="s">
        <v>6297</v>
      </c>
      <c r="C298" t="s">
        <v>74</v>
      </c>
      <c r="D298" t="s">
        <v>74</v>
      </c>
      <c r="E298" t="s">
        <v>74</v>
      </c>
      <c r="F298" t="s">
        <v>6298</v>
      </c>
      <c r="G298" t="s">
        <v>74</v>
      </c>
      <c r="H298" t="s">
        <v>74</v>
      </c>
      <c r="I298" t="s">
        <v>6299</v>
      </c>
      <c r="J298" t="s">
        <v>272</v>
      </c>
      <c r="K298" t="s">
        <v>74</v>
      </c>
      <c r="L298" t="s">
        <v>74</v>
      </c>
      <c r="M298" t="s">
        <v>78</v>
      </c>
      <c r="N298" t="s">
        <v>79</v>
      </c>
      <c r="O298" t="s">
        <v>74</v>
      </c>
      <c r="P298" t="s">
        <v>74</v>
      </c>
      <c r="Q298" t="s">
        <v>74</v>
      </c>
      <c r="R298" t="s">
        <v>74</v>
      </c>
      <c r="S298" t="s">
        <v>74</v>
      </c>
      <c r="T298" t="s">
        <v>6300</v>
      </c>
      <c r="U298" t="s">
        <v>6301</v>
      </c>
      <c r="V298" t="s">
        <v>6302</v>
      </c>
      <c r="W298" t="s">
        <v>6303</v>
      </c>
      <c r="X298" t="s">
        <v>6304</v>
      </c>
      <c r="Y298" t="s">
        <v>6305</v>
      </c>
      <c r="Z298" t="s">
        <v>6306</v>
      </c>
      <c r="AA298" t="s">
        <v>6307</v>
      </c>
      <c r="AB298" t="s">
        <v>6308</v>
      </c>
      <c r="AC298" t="s">
        <v>74</v>
      </c>
      <c r="AD298" t="s">
        <v>74</v>
      </c>
      <c r="AE298" t="s">
        <v>74</v>
      </c>
      <c r="AF298" t="s">
        <v>74</v>
      </c>
      <c r="AG298">
        <v>105</v>
      </c>
      <c r="AH298">
        <v>3</v>
      </c>
      <c r="AI298">
        <v>3</v>
      </c>
      <c r="AJ298">
        <v>1</v>
      </c>
      <c r="AK298">
        <v>14</v>
      </c>
      <c r="AL298" t="s">
        <v>285</v>
      </c>
      <c r="AM298" t="s">
        <v>286</v>
      </c>
      <c r="AN298" t="s">
        <v>287</v>
      </c>
      <c r="AO298" t="s">
        <v>74</v>
      </c>
      <c r="AP298" t="s">
        <v>288</v>
      </c>
      <c r="AQ298" t="s">
        <v>74</v>
      </c>
      <c r="AR298" t="s">
        <v>289</v>
      </c>
      <c r="AS298" t="s">
        <v>290</v>
      </c>
      <c r="AT298" t="s">
        <v>6291</v>
      </c>
      <c r="AU298">
        <v>2022</v>
      </c>
      <c r="AV298">
        <v>13</v>
      </c>
      <c r="AW298" t="s">
        <v>74</v>
      </c>
      <c r="AX298" t="s">
        <v>74</v>
      </c>
      <c r="AY298" t="s">
        <v>74</v>
      </c>
      <c r="AZ298" t="s">
        <v>74</v>
      </c>
      <c r="BA298" t="s">
        <v>74</v>
      </c>
      <c r="BB298" t="s">
        <v>74</v>
      </c>
      <c r="BC298" t="s">
        <v>74</v>
      </c>
      <c r="BD298">
        <v>862812</v>
      </c>
      <c r="BE298" t="s">
        <v>6309</v>
      </c>
      <c r="BF298" t="str">
        <f>HYPERLINK("http://dx.doi.org/10.3389/fmicb.2022.862812","http://dx.doi.org/10.3389/fmicb.2022.862812")</f>
        <v>http://dx.doi.org/10.3389/fmicb.2022.862812</v>
      </c>
      <c r="BG298" t="s">
        <v>74</v>
      </c>
      <c r="BH298" t="s">
        <v>74</v>
      </c>
      <c r="BI298">
        <v>16</v>
      </c>
      <c r="BJ298" t="s">
        <v>293</v>
      </c>
      <c r="BK298" t="s">
        <v>101</v>
      </c>
      <c r="BL298" t="s">
        <v>293</v>
      </c>
      <c r="BM298" t="s">
        <v>6310</v>
      </c>
      <c r="BN298">
        <v>35592001</v>
      </c>
      <c r="BO298" t="s">
        <v>295</v>
      </c>
      <c r="BP298" t="s">
        <v>74</v>
      </c>
      <c r="BQ298" t="s">
        <v>74</v>
      </c>
      <c r="BR298" t="s">
        <v>103</v>
      </c>
      <c r="BS298" t="s">
        <v>6311</v>
      </c>
      <c r="BT298" t="str">
        <f>HYPERLINK("https%3A%2F%2Fwww.webofscience.com%2Fwos%2Fwoscc%2Ffull-record%2FWOS:000796987200001","View Full Record in Web of Science")</f>
        <v>View Full Record in Web of Science</v>
      </c>
    </row>
    <row r="299" spans="1:72" x14ac:dyDescent="0.15">
      <c r="A299" t="s">
        <v>72</v>
      </c>
      <c r="B299" t="s">
        <v>6312</v>
      </c>
      <c r="C299" t="s">
        <v>74</v>
      </c>
      <c r="D299" t="s">
        <v>74</v>
      </c>
      <c r="E299" t="s">
        <v>74</v>
      </c>
      <c r="F299" t="s">
        <v>6313</v>
      </c>
      <c r="G299" t="s">
        <v>74</v>
      </c>
      <c r="H299" t="s">
        <v>74</v>
      </c>
      <c r="I299" t="s">
        <v>6314</v>
      </c>
      <c r="J299" t="s">
        <v>272</v>
      </c>
      <c r="K299" t="s">
        <v>74</v>
      </c>
      <c r="L299" t="s">
        <v>74</v>
      </c>
      <c r="M299" t="s">
        <v>78</v>
      </c>
      <c r="N299" t="s">
        <v>79</v>
      </c>
      <c r="O299" t="s">
        <v>74</v>
      </c>
      <c r="P299" t="s">
        <v>74</v>
      </c>
      <c r="Q299" t="s">
        <v>74</v>
      </c>
      <c r="R299" t="s">
        <v>74</v>
      </c>
      <c r="S299" t="s">
        <v>74</v>
      </c>
      <c r="T299" t="s">
        <v>6315</v>
      </c>
      <c r="U299" t="s">
        <v>6316</v>
      </c>
      <c r="V299" t="s">
        <v>6317</v>
      </c>
      <c r="W299" t="s">
        <v>6318</v>
      </c>
      <c r="X299" t="s">
        <v>6319</v>
      </c>
      <c r="Y299" t="s">
        <v>6320</v>
      </c>
      <c r="Z299" t="s">
        <v>6321</v>
      </c>
      <c r="AA299" t="s">
        <v>6322</v>
      </c>
      <c r="AB299" t="s">
        <v>6323</v>
      </c>
      <c r="AC299" t="s">
        <v>6324</v>
      </c>
      <c r="AD299" t="s">
        <v>6325</v>
      </c>
      <c r="AE299" t="s">
        <v>6326</v>
      </c>
      <c r="AF299" t="s">
        <v>74</v>
      </c>
      <c r="AG299">
        <v>108</v>
      </c>
      <c r="AH299">
        <v>3</v>
      </c>
      <c r="AI299">
        <v>4</v>
      </c>
      <c r="AJ299">
        <v>0</v>
      </c>
      <c r="AK299">
        <v>9</v>
      </c>
      <c r="AL299" t="s">
        <v>285</v>
      </c>
      <c r="AM299" t="s">
        <v>286</v>
      </c>
      <c r="AN299" t="s">
        <v>287</v>
      </c>
      <c r="AO299" t="s">
        <v>74</v>
      </c>
      <c r="AP299" t="s">
        <v>288</v>
      </c>
      <c r="AQ299" t="s">
        <v>74</v>
      </c>
      <c r="AR299" t="s">
        <v>289</v>
      </c>
      <c r="AS299" t="s">
        <v>290</v>
      </c>
      <c r="AT299" t="s">
        <v>6291</v>
      </c>
      <c r="AU299">
        <v>2022</v>
      </c>
      <c r="AV299">
        <v>13</v>
      </c>
      <c r="AW299" t="s">
        <v>74</v>
      </c>
      <c r="AX299" t="s">
        <v>74</v>
      </c>
      <c r="AY299" t="s">
        <v>74</v>
      </c>
      <c r="AZ299" t="s">
        <v>74</v>
      </c>
      <c r="BA299" t="s">
        <v>74</v>
      </c>
      <c r="BB299" t="s">
        <v>74</v>
      </c>
      <c r="BC299" t="s">
        <v>74</v>
      </c>
      <c r="BD299">
        <v>836943</v>
      </c>
      <c r="BE299" t="s">
        <v>6327</v>
      </c>
      <c r="BF299" t="str">
        <f>HYPERLINK("http://dx.doi.org/10.3389/fmicb.2022.836943","http://dx.doi.org/10.3389/fmicb.2022.836943")</f>
        <v>http://dx.doi.org/10.3389/fmicb.2022.836943</v>
      </c>
      <c r="BG299" t="s">
        <v>74</v>
      </c>
      <c r="BH299" t="s">
        <v>74</v>
      </c>
      <c r="BI299">
        <v>15</v>
      </c>
      <c r="BJ299" t="s">
        <v>293</v>
      </c>
      <c r="BK299" t="s">
        <v>101</v>
      </c>
      <c r="BL299" t="s">
        <v>293</v>
      </c>
      <c r="BM299" t="s">
        <v>6328</v>
      </c>
      <c r="BN299">
        <v>35591982</v>
      </c>
      <c r="BO299" t="s">
        <v>295</v>
      </c>
      <c r="BP299" t="s">
        <v>74</v>
      </c>
      <c r="BQ299" t="s">
        <v>74</v>
      </c>
      <c r="BR299" t="s">
        <v>103</v>
      </c>
      <c r="BS299" t="s">
        <v>6329</v>
      </c>
      <c r="BT299" t="str">
        <f>HYPERLINK("https%3A%2F%2Fwww.webofscience.com%2Fwos%2Fwoscc%2Ffull-record%2FWOS:000796984700001","View Full Record in Web of Science")</f>
        <v>View Full Record in Web of Science</v>
      </c>
    </row>
    <row r="300" spans="1:72" x14ac:dyDescent="0.15">
      <c r="A300" t="s">
        <v>72</v>
      </c>
      <c r="B300" t="s">
        <v>6330</v>
      </c>
      <c r="C300" t="s">
        <v>74</v>
      </c>
      <c r="D300" t="s">
        <v>74</v>
      </c>
      <c r="E300" t="s">
        <v>74</v>
      </c>
      <c r="F300" t="s">
        <v>6331</v>
      </c>
      <c r="G300" t="s">
        <v>74</v>
      </c>
      <c r="H300" t="s">
        <v>74</v>
      </c>
      <c r="I300" t="s">
        <v>6332</v>
      </c>
      <c r="J300" t="s">
        <v>3837</v>
      </c>
      <c r="K300" t="s">
        <v>74</v>
      </c>
      <c r="L300" t="s">
        <v>74</v>
      </c>
      <c r="M300" t="s">
        <v>78</v>
      </c>
      <c r="N300" t="s">
        <v>79</v>
      </c>
      <c r="O300" t="s">
        <v>74</v>
      </c>
      <c r="P300" t="s">
        <v>74</v>
      </c>
      <c r="Q300" t="s">
        <v>74</v>
      </c>
      <c r="R300" t="s">
        <v>74</v>
      </c>
      <c r="S300" t="s">
        <v>74</v>
      </c>
      <c r="T300" t="s">
        <v>74</v>
      </c>
      <c r="U300" t="s">
        <v>6333</v>
      </c>
      <c r="V300" t="s">
        <v>6334</v>
      </c>
      <c r="W300" t="s">
        <v>6335</v>
      </c>
      <c r="X300" t="s">
        <v>6336</v>
      </c>
      <c r="Y300" t="s">
        <v>6337</v>
      </c>
      <c r="Z300" t="s">
        <v>6338</v>
      </c>
      <c r="AA300" t="s">
        <v>6339</v>
      </c>
      <c r="AB300" t="s">
        <v>6340</v>
      </c>
      <c r="AC300" t="s">
        <v>6341</v>
      </c>
      <c r="AD300" t="s">
        <v>6342</v>
      </c>
      <c r="AE300" t="s">
        <v>6343</v>
      </c>
      <c r="AF300" t="s">
        <v>74</v>
      </c>
      <c r="AG300">
        <v>75</v>
      </c>
      <c r="AH300">
        <v>2</v>
      </c>
      <c r="AI300">
        <v>2</v>
      </c>
      <c r="AJ300">
        <v>0</v>
      </c>
      <c r="AK300">
        <v>10</v>
      </c>
      <c r="AL300" t="s">
        <v>117</v>
      </c>
      <c r="AM300" t="s">
        <v>118</v>
      </c>
      <c r="AN300" t="s">
        <v>119</v>
      </c>
      <c r="AO300" t="s">
        <v>3849</v>
      </c>
      <c r="AP300" t="s">
        <v>3850</v>
      </c>
      <c r="AQ300" t="s">
        <v>74</v>
      </c>
      <c r="AR300" t="s">
        <v>3851</v>
      </c>
      <c r="AS300" t="s">
        <v>3852</v>
      </c>
      <c r="AT300" t="s">
        <v>6291</v>
      </c>
      <c r="AU300">
        <v>2022</v>
      </c>
      <c r="AV300">
        <v>22</v>
      </c>
      <c r="AW300">
        <v>9</v>
      </c>
      <c r="AX300" t="s">
        <v>74</v>
      </c>
      <c r="AY300" t="s">
        <v>74</v>
      </c>
      <c r="AZ300" t="s">
        <v>74</v>
      </c>
      <c r="BA300" t="s">
        <v>74</v>
      </c>
      <c r="BB300">
        <v>5757</v>
      </c>
      <c r="BC300">
        <v>5773</v>
      </c>
      <c r="BD300" t="s">
        <v>74</v>
      </c>
      <c r="BE300" t="s">
        <v>6344</v>
      </c>
      <c r="BF300" t="str">
        <f>HYPERLINK("http://dx.doi.org/10.5194/acp-22-5757-2022","http://dx.doi.org/10.5194/acp-22-5757-2022")</f>
        <v>http://dx.doi.org/10.5194/acp-22-5757-2022</v>
      </c>
      <c r="BG300" t="s">
        <v>74</v>
      </c>
      <c r="BH300" t="s">
        <v>74</v>
      </c>
      <c r="BI300">
        <v>17</v>
      </c>
      <c r="BJ300" t="s">
        <v>1797</v>
      </c>
      <c r="BK300" t="s">
        <v>101</v>
      </c>
      <c r="BL300" t="s">
        <v>957</v>
      </c>
      <c r="BM300" t="s">
        <v>6345</v>
      </c>
      <c r="BN300" t="s">
        <v>74</v>
      </c>
      <c r="BO300" t="s">
        <v>2560</v>
      </c>
      <c r="BP300" t="s">
        <v>74</v>
      </c>
      <c r="BQ300" t="s">
        <v>74</v>
      </c>
      <c r="BR300" t="s">
        <v>103</v>
      </c>
      <c r="BS300" t="s">
        <v>6346</v>
      </c>
      <c r="BT300" t="str">
        <f>HYPERLINK("https%3A%2F%2Fwww.webofscience.com%2Fwos%2Fwoscc%2Ffull-record%2FWOS:000789846900001","View Full Record in Web of Science")</f>
        <v>View Full Record in Web of Science</v>
      </c>
    </row>
    <row r="301" spans="1:72" x14ac:dyDescent="0.15">
      <c r="A301" t="s">
        <v>72</v>
      </c>
      <c r="B301" t="s">
        <v>6347</v>
      </c>
      <c r="C301" t="s">
        <v>74</v>
      </c>
      <c r="D301" t="s">
        <v>74</v>
      </c>
      <c r="E301" t="s">
        <v>74</v>
      </c>
      <c r="F301" t="s">
        <v>6348</v>
      </c>
      <c r="G301" t="s">
        <v>74</v>
      </c>
      <c r="H301" t="s">
        <v>74</v>
      </c>
      <c r="I301" t="s">
        <v>6349</v>
      </c>
      <c r="J301" t="s">
        <v>108</v>
      </c>
      <c r="K301" t="s">
        <v>74</v>
      </c>
      <c r="L301" t="s">
        <v>74</v>
      </c>
      <c r="M301" t="s">
        <v>78</v>
      </c>
      <c r="N301" t="s">
        <v>161</v>
      </c>
      <c r="O301" t="s">
        <v>74</v>
      </c>
      <c r="P301" t="s">
        <v>74</v>
      </c>
      <c r="Q301" t="s">
        <v>74</v>
      </c>
      <c r="R301" t="s">
        <v>74</v>
      </c>
      <c r="S301" t="s">
        <v>74</v>
      </c>
      <c r="T301" t="s">
        <v>74</v>
      </c>
      <c r="U301" t="s">
        <v>6350</v>
      </c>
      <c r="V301" t="s">
        <v>6351</v>
      </c>
      <c r="W301" t="s">
        <v>6352</v>
      </c>
      <c r="X301" t="s">
        <v>6353</v>
      </c>
      <c r="Y301" t="s">
        <v>6354</v>
      </c>
      <c r="Z301" t="s">
        <v>6355</v>
      </c>
      <c r="AA301" t="s">
        <v>6356</v>
      </c>
      <c r="AB301" t="s">
        <v>6357</v>
      </c>
      <c r="AC301" t="s">
        <v>6358</v>
      </c>
      <c r="AD301" t="s">
        <v>6359</v>
      </c>
      <c r="AE301" t="s">
        <v>6360</v>
      </c>
      <c r="AF301" t="s">
        <v>74</v>
      </c>
      <c r="AG301">
        <v>133</v>
      </c>
      <c r="AH301">
        <v>17</v>
      </c>
      <c r="AI301">
        <v>18</v>
      </c>
      <c r="AJ301">
        <v>3</v>
      </c>
      <c r="AK301">
        <v>17</v>
      </c>
      <c r="AL301" t="s">
        <v>117</v>
      </c>
      <c r="AM301" t="s">
        <v>118</v>
      </c>
      <c r="AN301" t="s">
        <v>119</v>
      </c>
      <c r="AO301" t="s">
        <v>120</v>
      </c>
      <c r="AP301" t="s">
        <v>121</v>
      </c>
      <c r="AQ301" t="s">
        <v>74</v>
      </c>
      <c r="AR301" t="s">
        <v>108</v>
      </c>
      <c r="AS301" t="s">
        <v>122</v>
      </c>
      <c r="AT301" t="s">
        <v>6291</v>
      </c>
      <c r="AU301">
        <v>2022</v>
      </c>
      <c r="AV301">
        <v>16</v>
      </c>
      <c r="AW301">
        <v>5</v>
      </c>
      <c r="AX301" t="s">
        <v>74</v>
      </c>
      <c r="AY301" t="s">
        <v>74</v>
      </c>
      <c r="AZ301" t="s">
        <v>74</v>
      </c>
      <c r="BA301" t="s">
        <v>74</v>
      </c>
      <c r="BB301">
        <v>1543</v>
      </c>
      <c r="BC301">
        <v>1562</v>
      </c>
      <c r="BD301" t="s">
        <v>74</v>
      </c>
      <c r="BE301" t="s">
        <v>6361</v>
      </c>
      <c r="BF301" t="str">
        <f>HYPERLINK("http://dx.doi.org/10.5194/tc-16-1543-2022","http://dx.doi.org/10.5194/tc-16-1543-2022")</f>
        <v>http://dx.doi.org/10.5194/tc-16-1543-2022</v>
      </c>
      <c r="BG301" t="s">
        <v>74</v>
      </c>
      <c r="BH301" t="s">
        <v>74</v>
      </c>
      <c r="BI301">
        <v>20</v>
      </c>
      <c r="BJ301" t="s">
        <v>125</v>
      </c>
      <c r="BK301" t="s">
        <v>101</v>
      </c>
      <c r="BL301" t="s">
        <v>126</v>
      </c>
      <c r="BM301" t="s">
        <v>6362</v>
      </c>
      <c r="BN301" t="s">
        <v>74</v>
      </c>
      <c r="BO301" t="s">
        <v>6363</v>
      </c>
      <c r="BP301" t="s">
        <v>74</v>
      </c>
      <c r="BQ301" t="s">
        <v>74</v>
      </c>
      <c r="BR301" t="s">
        <v>103</v>
      </c>
      <c r="BS301" t="s">
        <v>6364</v>
      </c>
      <c r="BT301" t="str">
        <f>HYPERLINK("https%3A%2F%2Fwww.webofscience.com%2Fwos%2Fwoscc%2Ffull-record%2FWOS:000789888300001","View Full Record in Web of Science")</f>
        <v>View Full Record in Web of Science</v>
      </c>
    </row>
    <row r="302" spans="1:72" x14ac:dyDescent="0.15">
      <c r="A302" t="s">
        <v>72</v>
      </c>
      <c r="B302" t="s">
        <v>6365</v>
      </c>
      <c r="C302" t="s">
        <v>74</v>
      </c>
      <c r="D302" t="s">
        <v>74</v>
      </c>
      <c r="E302" t="s">
        <v>74</v>
      </c>
      <c r="F302" t="s">
        <v>6366</v>
      </c>
      <c r="G302" t="s">
        <v>74</v>
      </c>
      <c r="H302" t="s">
        <v>74</v>
      </c>
      <c r="I302" t="s">
        <v>6367</v>
      </c>
      <c r="J302" t="s">
        <v>1110</v>
      </c>
      <c r="K302" t="s">
        <v>74</v>
      </c>
      <c r="L302" t="s">
        <v>74</v>
      </c>
      <c r="M302" t="s">
        <v>78</v>
      </c>
      <c r="N302" t="s">
        <v>79</v>
      </c>
      <c r="O302" t="s">
        <v>74</v>
      </c>
      <c r="P302" t="s">
        <v>74</v>
      </c>
      <c r="Q302" t="s">
        <v>74</v>
      </c>
      <c r="R302" t="s">
        <v>74</v>
      </c>
      <c r="S302" t="s">
        <v>74</v>
      </c>
      <c r="T302" t="s">
        <v>6368</v>
      </c>
      <c r="U302" t="s">
        <v>6369</v>
      </c>
      <c r="V302" t="s">
        <v>6370</v>
      </c>
      <c r="W302" t="s">
        <v>6371</v>
      </c>
      <c r="X302" t="s">
        <v>6372</v>
      </c>
      <c r="Y302" t="s">
        <v>6373</v>
      </c>
      <c r="Z302" t="s">
        <v>6374</v>
      </c>
      <c r="AA302" t="s">
        <v>6375</v>
      </c>
      <c r="AB302" t="s">
        <v>6376</v>
      </c>
      <c r="AC302" t="s">
        <v>6377</v>
      </c>
      <c r="AD302" t="s">
        <v>6377</v>
      </c>
      <c r="AE302" t="s">
        <v>6378</v>
      </c>
      <c r="AF302" t="s">
        <v>74</v>
      </c>
      <c r="AG302">
        <v>133</v>
      </c>
      <c r="AH302">
        <v>11</v>
      </c>
      <c r="AI302">
        <v>11</v>
      </c>
      <c r="AJ302">
        <v>1</v>
      </c>
      <c r="AK302">
        <v>13</v>
      </c>
      <c r="AL302" t="s">
        <v>530</v>
      </c>
      <c r="AM302" t="s">
        <v>1121</v>
      </c>
      <c r="AN302" t="s">
        <v>1122</v>
      </c>
      <c r="AO302" t="s">
        <v>1123</v>
      </c>
      <c r="AP302" t="s">
        <v>1124</v>
      </c>
      <c r="AQ302" t="s">
        <v>74</v>
      </c>
      <c r="AR302" t="s">
        <v>1125</v>
      </c>
      <c r="AS302" t="s">
        <v>1126</v>
      </c>
      <c r="AT302" t="s">
        <v>537</v>
      </c>
      <c r="AU302">
        <v>2022</v>
      </c>
      <c r="AV302">
        <v>34</v>
      </c>
      <c r="AW302">
        <v>3</v>
      </c>
      <c r="AX302" t="s">
        <v>74</v>
      </c>
      <c r="AY302" t="s">
        <v>74</v>
      </c>
      <c r="AZ302" t="s">
        <v>74</v>
      </c>
      <c r="BA302" t="s">
        <v>74</v>
      </c>
      <c r="BB302">
        <v>1693</v>
      </c>
      <c r="BC302">
        <v>1708</v>
      </c>
      <c r="BD302" t="s">
        <v>74</v>
      </c>
      <c r="BE302" t="s">
        <v>6379</v>
      </c>
      <c r="BF302" t="str">
        <f>HYPERLINK("http://dx.doi.org/10.1007/s10811-022-02743-w","http://dx.doi.org/10.1007/s10811-022-02743-w")</f>
        <v>http://dx.doi.org/10.1007/s10811-022-02743-w</v>
      </c>
      <c r="BG302" t="s">
        <v>74</v>
      </c>
      <c r="BH302" t="s">
        <v>3111</v>
      </c>
      <c r="BI302">
        <v>16</v>
      </c>
      <c r="BJ302" t="s">
        <v>1128</v>
      </c>
      <c r="BK302" t="s">
        <v>101</v>
      </c>
      <c r="BL302" t="s">
        <v>1128</v>
      </c>
      <c r="BM302" t="s">
        <v>6380</v>
      </c>
      <c r="BN302" t="s">
        <v>74</v>
      </c>
      <c r="BO302" t="s">
        <v>1033</v>
      </c>
      <c r="BP302" t="s">
        <v>74</v>
      </c>
      <c r="BQ302" t="s">
        <v>74</v>
      </c>
      <c r="BR302" t="s">
        <v>103</v>
      </c>
      <c r="BS302" t="s">
        <v>6381</v>
      </c>
      <c r="BT302" t="str">
        <f>HYPERLINK("https%3A%2F%2Fwww.webofscience.com%2Fwos%2Fwoscc%2Ffull-record%2FWOS:000790161300001","View Full Record in Web of Science")</f>
        <v>View Full Record in Web of Science</v>
      </c>
    </row>
    <row r="303" spans="1:72" x14ac:dyDescent="0.15">
      <c r="A303" t="s">
        <v>72</v>
      </c>
      <c r="B303" t="s">
        <v>6382</v>
      </c>
      <c r="C303" t="s">
        <v>74</v>
      </c>
      <c r="D303" t="s">
        <v>74</v>
      </c>
      <c r="E303" t="s">
        <v>74</v>
      </c>
      <c r="F303" t="s">
        <v>6383</v>
      </c>
      <c r="G303" t="s">
        <v>74</v>
      </c>
      <c r="H303" t="s">
        <v>74</v>
      </c>
      <c r="I303" t="s">
        <v>6384</v>
      </c>
      <c r="J303" t="s">
        <v>821</v>
      </c>
      <c r="K303" t="s">
        <v>74</v>
      </c>
      <c r="L303" t="s">
        <v>74</v>
      </c>
      <c r="M303" t="s">
        <v>78</v>
      </c>
      <c r="N303" t="s">
        <v>79</v>
      </c>
      <c r="O303" t="s">
        <v>74</v>
      </c>
      <c r="P303" t="s">
        <v>74</v>
      </c>
      <c r="Q303" t="s">
        <v>74</v>
      </c>
      <c r="R303" t="s">
        <v>74</v>
      </c>
      <c r="S303" t="s">
        <v>74</v>
      </c>
      <c r="T303" t="s">
        <v>6385</v>
      </c>
      <c r="U303" t="s">
        <v>6386</v>
      </c>
      <c r="V303" t="s">
        <v>6387</v>
      </c>
      <c r="W303" t="s">
        <v>6388</v>
      </c>
      <c r="X303" t="s">
        <v>6389</v>
      </c>
      <c r="Y303" t="s">
        <v>6390</v>
      </c>
      <c r="Z303" t="s">
        <v>6391</v>
      </c>
      <c r="AA303" t="s">
        <v>829</v>
      </c>
      <c r="AB303" t="s">
        <v>74</v>
      </c>
      <c r="AC303" t="s">
        <v>6392</v>
      </c>
      <c r="AD303" t="s">
        <v>6393</v>
      </c>
      <c r="AE303" t="s">
        <v>6394</v>
      </c>
      <c r="AF303" t="s">
        <v>74</v>
      </c>
      <c r="AG303">
        <v>55</v>
      </c>
      <c r="AH303">
        <v>8</v>
      </c>
      <c r="AI303">
        <v>8</v>
      </c>
      <c r="AJ303">
        <v>3</v>
      </c>
      <c r="AK303">
        <v>5</v>
      </c>
      <c r="AL303" t="s">
        <v>285</v>
      </c>
      <c r="AM303" t="s">
        <v>286</v>
      </c>
      <c r="AN303" t="s">
        <v>287</v>
      </c>
      <c r="AO303" t="s">
        <v>74</v>
      </c>
      <c r="AP303" t="s">
        <v>834</v>
      </c>
      <c r="AQ303" t="s">
        <v>74</v>
      </c>
      <c r="AR303" t="s">
        <v>835</v>
      </c>
      <c r="AS303" t="s">
        <v>836</v>
      </c>
      <c r="AT303" t="s">
        <v>6291</v>
      </c>
      <c r="AU303">
        <v>2022</v>
      </c>
      <c r="AV303">
        <v>4</v>
      </c>
      <c r="AW303" t="s">
        <v>74</v>
      </c>
      <c r="AX303" t="s">
        <v>74</v>
      </c>
      <c r="AY303" t="s">
        <v>74</v>
      </c>
      <c r="AZ303" t="s">
        <v>74</v>
      </c>
      <c r="BA303" t="s">
        <v>74</v>
      </c>
      <c r="BB303" t="s">
        <v>74</v>
      </c>
      <c r="BC303" t="s">
        <v>74</v>
      </c>
      <c r="BD303">
        <v>788390</v>
      </c>
      <c r="BE303" t="s">
        <v>6395</v>
      </c>
      <c r="BF303" t="str">
        <f>HYPERLINK("http://dx.doi.org/10.3389/fclim.2022.788390","http://dx.doi.org/10.3389/fclim.2022.788390")</f>
        <v>http://dx.doi.org/10.3389/fclim.2022.788390</v>
      </c>
      <c r="BG303" t="s">
        <v>74</v>
      </c>
      <c r="BH303" t="s">
        <v>74</v>
      </c>
      <c r="BI303">
        <v>16</v>
      </c>
      <c r="BJ303" t="s">
        <v>838</v>
      </c>
      <c r="BK303" t="s">
        <v>839</v>
      </c>
      <c r="BL303" t="s">
        <v>840</v>
      </c>
      <c r="BM303" t="s">
        <v>6396</v>
      </c>
      <c r="BN303" t="s">
        <v>74</v>
      </c>
      <c r="BO303" t="s">
        <v>1533</v>
      </c>
      <c r="BP303" t="s">
        <v>74</v>
      </c>
      <c r="BQ303" t="s">
        <v>74</v>
      </c>
      <c r="BR303" t="s">
        <v>103</v>
      </c>
      <c r="BS303" t="s">
        <v>6397</v>
      </c>
      <c r="BT303" t="str">
        <f>HYPERLINK("https%3A%2F%2Fwww.webofscience.com%2Fwos%2Fwoscc%2Ffull-record%2FWOS:001021835700001","View Full Record in Web of Science")</f>
        <v>View Full Record in Web of Science</v>
      </c>
    </row>
    <row r="304" spans="1:72" x14ac:dyDescent="0.15">
      <c r="A304" t="s">
        <v>72</v>
      </c>
      <c r="B304" t="s">
        <v>6398</v>
      </c>
      <c r="C304" t="s">
        <v>74</v>
      </c>
      <c r="D304" t="s">
        <v>74</v>
      </c>
      <c r="E304" t="s">
        <v>74</v>
      </c>
      <c r="F304" t="s">
        <v>6399</v>
      </c>
      <c r="G304" t="s">
        <v>74</v>
      </c>
      <c r="H304" t="s">
        <v>74</v>
      </c>
      <c r="I304" t="s">
        <v>6400</v>
      </c>
      <c r="J304" t="s">
        <v>5409</v>
      </c>
      <c r="K304" t="s">
        <v>74</v>
      </c>
      <c r="L304" t="s">
        <v>74</v>
      </c>
      <c r="M304" t="s">
        <v>78</v>
      </c>
      <c r="N304" t="s">
        <v>161</v>
      </c>
      <c r="O304" t="s">
        <v>74</v>
      </c>
      <c r="P304" t="s">
        <v>74</v>
      </c>
      <c r="Q304" t="s">
        <v>74</v>
      </c>
      <c r="R304" t="s">
        <v>74</v>
      </c>
      <c r="S304" t="s">
        <v>74</v>
      </c>
      <c r="T304" t="s">
        <v>6401</v>
      </c>
      <c r="U304" t="s">
        <v>6402</v>
      </c>
      <c r="V304" t="s">
        <v>6403</v>
      </c>
      <c r="W304" t="s">
        <v>6404</v>
      </c>
      <c r="X304" t="s">
        <v>6405</v>
      </c>
      <c r="Y304" t="s">
        <v>6406</v>
      </c>
      <c r="Z304" t="s">
        <v>6407</v>
      </c>
      <c r="AA304" t="s">
        <v>74</v>
      </c>
      <c r="AB304" t="s">
        <v>6408</v>
      </c>
      <c r="AC304" t="s">
        <v>6409</v>
      </c>
      <c r="AD304" t="s">
        <v>6410</v>
      </c>
      <c r="AE304" t="s">
        <v>6411</v>
      </c>
      <c r="AF304" t="s">
        <v>74</v>
      </c>
      <c r="AG304">
        <v>81</v>
      </c>
      <c r="AH304">
        <v>6</v>
      </c>
      <c r="AI304">
        <v>6</v>
      </c>
      <c r="AJ304">
        <v>5</v>
      </c>
      <c r="AK304">
        <v>10</v>
      </c>
      <c r="AL304" t="s">
        <v>199</v>
      </c>
      <c r="AM304" t="s">
        <v>200</v>
      </c>
      <c r="AN304" t="s">
        <v>201</v>
      </c>
      <c r="AO304" t="s">
        <v>5422</v>
      </c>
      <c r="AP304" t="s">
        <v>5423</v>
      </c>
      <c r="AQ304" t="s">
        <v>74</v>
      </c>
      <c r="AR304" t="s">
        <v>5424</v>
      </c>
      <c r="AS304" t="s">
        <v>5425</v>
      </c>
      <c r="AT304" t="s">
        <v>537</v>
      </c>
      <c r="AU304">
        <v>2022</v>
      </c>
      <c r="AV304">
        <v>204</v>
      </c>
      <c r="AW304" t="s">
        <v>74</v>
      </c>
      <c r="AX304" t="s">
        <v>74</v>
      </c>
      <c r="AY304" t="s">
        <v>74</v>
      </c>
      <c r="AZ304" t="s">
        <v>74</v>
      </c>
      <c r="BA304" t="s">
        <v>74</v>
      </c>
      <c r="BB304" t="s">
        <v>74</v>
      </c>
      <c r="BC304" t="s">
        <v>74</v>
      </c>
      <c r="BD304">
        <v>102807</v>
      </c>
      <c r="BE304" t="s">
        <v>6412</v>
      </c>
      <c r="BF304" t="str">
        <f>HYPERLINK("http://dx.doi.org/10.1016/j.pocean.2022.102807","http://dx.doi.org/10.1016/j.pocean.2022.102807")</f>
        <v>http://dx.doi.org/10.1016/j.pocean.2022.102807</v>
      </c>
      <c r="BG304" t="s">
        <v>74</v>
      </c>
      <c r="BH304" t="s">
        <v>3111</v>
      </c>
      <c r="BI304">
        <v>13</v>
      </c>
      <c r="BJ304" t="s">
        <v>208</v>
      </c>
      <c r="BK304" t="s">
        <v>101</v>
      </c>
      <c r="BL304" t="s">
        <v>208</v>
      </c>
      <c r="BM304" t="s">
        <v>6413</v>
      </c>
      <c r="BN304" t="s">
        <v>74</v>
      </c>
      <c r="BO304" t="s">
        <v>74</v>
      </c>
      <c r="BP304" t="s">
        <v>74</v>
      </c>
      <c r="BQ304" t="s">
        <v>74</v>
      </c>
      <c r="BR304" t="s">
        <v>103</v>
      </c>
      <c r="BS304" t="s">
        <v>6414</v>
      </c>
      <c r="BT304" t="str">
        <f>HYPERLINK("https%3A%2F%2Fwww.webofscience.com%2Fwos%2Fwoscc%2Ffull-record%2FWOS:000798762200002","View Full Record in Web of Science")</f>
        <v>View Full Record in Web of Science</v>
      </c>
    </row>
    <row r="305" spans="1:72" x14ac:dyDescent="0.15">
      <c r="A305" t="s">
        <v>72</v>
      </c>
      <c r="B305" t="s">
        <v>6415</v>
      </c>
      <c r="C305" t="s">
        <v>74</v>
      </c>
      <c r="D305" t="s">
        <v>74</v>
      </c>
      <c r="E305" t="s">
        <v>74</v>
      </c>
      <c r="F305" t="s">
        <v>6416</v>
      </c>
      <c r="G305" t="s">
        <v>74</v>
      </c>
      <c r="H305" t="s">
        <v>74</v>
      </c>
      <c r="I305" t="s">
        <v>6417</v>
      </c>
      <c r="J305" t="s">
        <v>546</v>
      </c>
      <c r="K305" t="s">
        <v>74</v>
      </c>
      <c r="L305" t="s">
        <v>74</v>
      </c>
      <c r="M305" t="s">
        <v>78</v>
      </c>
      <c r="N305" t="s">
        <v>79</v>
      </c>
      <c r="O305" t="s">
        <v>74</v>
      </c>
      <c r="P305" t="s">
        <v>74</v>
      </c>
      <c r="Q305" t="s">
        <v>74</v>
      </c>
      <c r="R305" t="s">
        <v>74</v>
      </c>
      <c r="S305" t="s">
        <v>74</v>
      </c>
      <c r="T305" t="s">
        <v>6418</v>
      </c>
      <c r="U305" t="s">
        <v>74</v>
      </c>
      <c r="V305" t="s">
        <v>6419</v>
      </c>
      <c r="W305" t="s">
        <v>6420</v>
      </c>
      <c r="X305" t="s">
        <v>6421</v>
      </c>
      <c r="Y305" t="s">
        <v>6422</v>
      </c>
      <c r="Z305" t="s">
        <v>6423</v>
      </c>
      <c r="AA305" t="s">
        <v>74</v>
      </c>
      <c r="AB305" t="s">
        <v>6424</v>
      </c>
      <c r="AC305" t="s">
        <v>6425</v>
      </c>
      <c r="AD305" t="s">
        <v>6426</v>
      </c>
      <c r="AE305" t="s">
        <v>6427</v>
      </c>
      <c r="AF305" t="s">
        <v>74</v>
      </c>
      <c r="AG305">
        <v>21</v>
      </c>
      <c r="AH305">
        <v>0</v>
      </c>
      <c r="AI305">
        <v>0</v>
      </c>
      <c r="AJ305">
        <v>3</v>
      </c>
      <c r="AK305">
        <v>9</v>
      </c>
      <c r="AL305" t="s">
        <v>285</v>
      </c>
      <c r="AM305" t="s">
        <v>286</v>
      </c>
      <c r="AN305" t="s">
        <v>287</v>
      </c>
      <c r="AO305" t="s">
        <v>74</v>
      </c>
      <c r="AP305" t="s">
        <v>558</v>
      </c>
      <c r="AQ305" t="s">
        <v>74</v>
      </c>
      <c r="AR305" t="s">
        <v>559</v>
      </c>
      <c r="AS305" t="s">
        <v>560</v>
      </c>
      <c r="AT305" t="s">
        <v>6428</v>
      </c>
      <c r="AU305">
        <v>2022</v>
      </c>
      <c r="AV305">
        <v>9</v>
      </c>
      <c r="AW305" t="s">
        <v>74</v>
      </c>
      <c r="AX305" t="s">
        <v>74</v>
      </c>
      <c r="AY305" t="s">
        <v>74</v>
      </c>
      <c r="AZ305" t="s">
        <v>74</v>
      </c>
      <c r="BA305" t="s">
        <v>74</v>
      </c>
      <c r="BB305" t="s">
        <v>74</v>
      </c>
      <c r="BC305" t="s">
        <v>74</v>
      </c>
      <c r="BD305">
        <v>871794</v>
      </c>
      <c r="BE305" t="s">
        <v>6429</v>
      </c>
      <c r="BF305" t="str">
        <f>HYPERLINK("http://dx.doi.org/10.3389/fmars.2022.871794","http://dx.doi.org/10.3389/fmars.2022.871794")</f>
        <v>http://dx.doi.org/10.3389/fmars.2022.871794</v>
      </c>
      <c r="BG305" t="s">
        <v>74</v>
      </c>
      <c r="BH305" t="s">
        <v>74</v>
      </c>
      <c r="BI305">
        <v>12</v>
      </c>
      <c r="BJ305" t="s">
        <v>563</v>
      </c>
      <c r="BK305" t="s">
        <v>101</v>
      </c>
      <c r="BL305" t="s">
        <v>564</v>
      </c>
      <c r="BM305" t="s">
        <v>6430</v>
      </c>
      <c r="BN305" t="s">
        <v>74</v>
      </c>
      <c r="BO305" t="s">
        <v>295</v>
      </c>
      <c r="BP305" t="s">
        <v>74</v>
      </c>
      <c r="BQ305" t="s">
        <v>74</v>
      </c>
      <c r="BR305" t="s">
        <v>103</v>
      </c>
      <c r="BS305" t="s">
        <v>6431</v>
      </c>
      <c r="BT305" t="str">
        <f>HYPERLINK("https%3A%2F%2Fwww.webofscience.com%2Fwos%2Fwoscc%2Ffull-record%2FWOS:000796944000001","View Full Record in Web of Science")</f>
        <v>View Full Record in Web of Science</v>
      </c>
    </row>
    <row r="306" spans="1:72" x14ac:dyDescent="0.15">
      <c r="A306" t="s">
        <v>72</v>
      </c>
      <c r="B306" t="s">
        <v>6432</v>
      </c>
      <c r="C306" t="s">
        <v>74</v>
      </c>
      <c r="D306" t="s">
        <v>74</v>
      </c>
      <c r="E306" t="s">
        <v>74</v>
      </c>
      <c r="F306" t="s">
        <v>6433</v>
      </c>
      <c r="G306" t="s">
        <v>74</v>
      </c>
      <c r="H306" t="s">
        <v>74</v>
      </c>
      <c r="I306" t="s">
        <v>6434</v>
      </c>
      <c r="J306" t="s">
        <v>6435</v>
      </c>
      <c r="K306" t="s">
        <v>74</v>
      </c>
      <c r="L306" t="s">
        <v>74</v>
      </c>
      <c r="M306" t="s">
        <v>78</v>
      </c>
      <c r="N306" t="s">
        <v>79</v>
      </c>
      <c r="O306" t="s">
        <v>74</v>
      </c>
      <c r="P306" t="s">
        <v>74</v>
      </c>
      <c r="Q306" t="s">
        <v>74</v>
      </c>
      <c r="R306" t="s">
        <v>74</v>
      </c>
      <c r="S306" t="s">
        <v>74</v>
      </c>
      <c r="T306" t="s">
        <v>6436</v>
      </c>
      <c r="U306" t="s">
        <v>6437</v>
      </c>
      <c r="V306" t="s">
        <v>6438</v>
      </c>
      <c r="W306" t="s">
        <v>6439</v>
      </c>
      <c r="X306" t="s">
        <v>6440</v>
      </c>
      <c r="Y306" t="s">
        <v>6441</v>
      </c>
      <c r="Z306" t="s">
        <v>6442</v>
      </c>
      <c r="AA306" t="s">
        <v>6443</v>
      </c>
      <c r="AB306" t="s">
        <v>6444</v>
      </c>
      <c r="AC306" t="s">
        <v>6445</v>
      </c>
      <c r="AD306" t="s">
        <v>6446</v>
      </c>
      <c r="AE306" t="s">
        <v>6447</v>
      </c>
      <c r="AF306" t="s">
        <v>74</v>
      </c>
      <c r="AG306">
        <v>123</v>
      </c>
      <c r="AH306">
        <v>3</v>
      </c>
      <c r="AI306">
        <v>3</v>
      </c>
      <c r="AJ306">
        <v>3</v>
      </c>
      <c r="AK306">
        <v>13</v>
      </c>
      <c r="AL306" t="s">
        <v>5677</v>
      </c>
      <c r="AM306" t="s">
        <v>2043</v>
      </c>
      <c r="AN306" t="s">
        <v>5678</v>
      </c>
      <c r="AO306" t="s">
        <v>6448</v>
      </c>
      <c r="AP306" t="s">
        <v>6449</v>
      </c>
      <c r="AQ306" t="s">
        <v>74</v>
      </c>
      <c r="AR306" t="s">
        <v>6450</v>
      </c>
      <c r="AS306" t="s">
        <v>6451</v>
      </c>
      <c r="AT306" t="s">
        <v>3885</v>
      </c>
      <c r="AU306">
        <v>2022</v>
      </c>
      <c r="AV306">
        <v>88</v>
      </c>
      <c r="AW306">
        <v>10</v>
      </c>
      <c r="AX306" t="s">
        <v>74</v>
      </c>
      <c r="AY306" t="s">
        <v>74</v>
      </c>
      <c r="AZ306" t="s">
        <v>74</v>
      </c>
      <c r="BA306" t="s">
        <v>74</v>
      </c>
      <c r="BB306" t="s">
        <v>74</v>
      </c>
      <c r="BC306" t="s">
        <v>74</v>
      </c>
      <c r="BD306" t="s">
        <v>74</v>
      </c>
      <c r="BE306" t="s">
        <v>6452</v>
      </c>
      <c r="BF306" t="str">
        <f>HYPERLINK("http://dx.doi.org/10.1128/aem.00315-22","http://dx.doi.org/10.1128/aem.00315-22")</f>
        <v>http://dx.doi.org/10.1128/aem.00315-22</v>
      </c>
      <c r="BG306" t="s">
        <v>74</v>
      </c>
      <c r="BH306" t="s">
        <v>3111</v>
      </c>
      <c r="BI306">
        <v>15</v>
      </c>
      <c r="BJ306" t="s">
        <v>6453</v>
      </c>
      <c r="BK306" t="s">
        <v>101</v>
      </c>
      <c r="BL306" t="s">
        <v>6453</v>
      </c>
      <c r="BM306" t="s">
        <v>6454</v>
      </c>
      <c r="BN306">
        <v>35499326</v>
      </c>
      <c r="BO306" t="s">
        <v>6455</v>
      </c>
      <c r="BP306" t="s">
        <v>74</v>
      </c>
      <c r="BQ306" t="s">
        <v>74</v>
      </c>
      <c r="BR306" t="s">
        <v>103</v>
      </c>
      <c r="BS306" t="s">
        <v>6456</v>
      </c>
      <c r="BT306" t="str">
        <f>HYPERLINK("https%3A%2F%2Fwww.webofscience.com%2Fwos%2Fwoscc%2Ffull-record%2FWOS:000792202600003","View Full Record in Web of Science")</f>
        <v>View Full Record in Web of Science</v>
      </c>
    </row>
    <row r="307" spans="1:72" x14ac:dyDescent="0.15">
      <c r="A307" t="s">
        <v>72</v>
      </c>
      <c r="B307" t="s">
        <v>6457</v>
      </c>
      <c r="C307" t="s">
        <v>74</v>
      </c>
      <c r="D307" t="s">
        <v>74</v>
      </c>
      <c r="E307" t="s">
        <v>74</v>
      </c>
      <c r="F307" t="s">
        <v>6458</v>
      </c>
      <c r="G307" t="s">
        <v>74</v>
      </c>
      <c r="H307" t="s">
        <v>74</v>
      </c>
      <c r="I307" t="s">
        <v>6459</v>
      </c>
      <c r="J307" t="s">
        <v>6460</v>
      </c>
      <c r="K307" t="s">
        <v>74</v>
      </c>
      <c r="L307" t="s">
        <v>74</v>
      </c>
      <c r="M307" t="s">
        <v>78</v>
      </c>
      <c r="N307" t="s">
        <v>79</v>
      </c>
      <c r="O307" t="s">
        <v>74</v>
      </c>
      <c r="P307" t="s">
        <v>74</v>
      </c>
      <c r="Q307" t="s">
        <v>74</v>
      </c>
      <c r="R307" t="s">
        <v>74</v>
      </c>
      <c r="S307" t="s">
        <v>74</v>
      </c>
      <c r="T307" t="s">
        <v>6461</v>
      </c>
      <c r="U307" t="s">
        <v>6462</v>
      </c>
      <c r="V307" t="s">
        <v>6463</v>
      </c>
      <c r="W307" t="s">
        <v>6464</v>
      </c>
      <c r="X307" t="s">
        <v>6465</v>
      </c>
      <c r="Y307" t="s">
        <v>6466</v>
      </c>
      <c r="Z307" t="s">
        <v>6467</v>
      </c>
      <c r="AA307" t="s">
        <v>74</v>
      </c>
      <c r="AB307" t="s">
        <v>6468</v>
      </c>
      <c r="AC307" t="s">
        <v>6469</v>
      </c>
      <c r="AD307" t="s">
        <v>6469</v>
      </c>
      <c r="AE307" t="s">
        <v>6470</v>
      </c>
      <c r="AF307" t="s">
        <v>74</v>
      </c>
      <c r="AG307">
        <v>108</v>
      </c>
      <c r="AH307">
        <v>2</v>
      </c>
      <c r="AI307">
        <v>2</v>
      </c>
      <c r="AJ307">
        <v>0</v>
      </c>
      <c r="AK307">
        <v>2</v>
      </c>
      <c r="AL307" t="s">
        <v>428</v>
      </c>
      <c r="AM307" t="s">
        <v>531</v>
      </c>
      <c r="AN307" t="s">
        <v>748</v>
      </c>
      <c r="AO307" t="s">
        <v>6471</v>
      </c>
      <c r="AP307" t="s">
        <v>6472</v>
      </c>
      <c r="AQ307" t="s">
        <v>74</v>
      </c>
      <c r="AR307" t="s">
        <v>6473</v>
      </c>
      <c r="AS307" t="s">
        <v>6474</v>
      </c>
      <c r="AT307" t="s">
        <v>97</v>
      </c>
      <c r="AU307">
        <v>2021</v>
      </c>
      <c r="AV307">
        <v>101</v>
      </c>
      <c r="AW307">
        <v>8</v>
      </c>
      <c r="AX307" t="s">
        <v>74</v>
      </c>
      <c r="AY307" t="s">
        <v>74</v>
      </c>
      <c r="AZ307" t="s">
        <v>74</v>
      </c>
      <c r="BA307" t="s">
        <v>74</v>
      </c>
      <c r="BB307">
        <v>1129</v>
      </c>
      <c r="BC307">
        <v>1143</v>
      </c>
      <c r="BD307" t="s">
        <v>6475</v>
      </c>
      <c r="BE307" t="s">
        <v>6476</v>
      </c>
      <c r="BF307" t="str">
        <f>HYPERLINK("http://dx.doi.org/10.1017/S0025315422000133","http://dx.doi.org/10.1017/S0025315422000133")</f>
        <v>http://dx.doi.org/10.1017/S0025315422000133</v>
      </c>
      <c r="BG307" t="s">
        <v>74</v>
      </c>
      <c r="BH307" t="s">
        <v>3111</v>
      </c>
      <c r="BI307">
        <v>15</v>
      </c>
      <c r="BJ307" t="s">
        <v>1696</v>
      </c>
      <c r="BK307" t="s">
        <v>101</v>
      </c>
      <c r="BL307" t="s">
        <v>1696</v>
      </c>
      <c r="BM307" t="s">
        <v>6477</v>
      </c>
      <c r="BN307" t="s">
        <v>74</v>
      </c>
      <c r="BO307" t="s">
        <v>1483</v>
      </c>
      <c r="BP307" t="s">
        <v>74</v>
      </c>
      <c r="BQ307" t="s">
        <v>74</v>
      </c>
      <c r="BR307" t="s">
        <v>103</v>
      </c>
      <c r="BS307" t="s">
        <v>6478</v>
      </c>
      <c r="BT307" t="str">
        <f>HYPERLINK("https%3A%2F%2Fwww.webofscience.com%2Fwos%2Fwoscc%2Ffull-record%2FWOS:000792221500001","View Full Record in Web of Science")</f>
        <v>View Full Record in Web of Science</v>
      </c>
    </row>
    <row r="308" spans="1:72" x14ac:dyDescent="0.15">
      <c r="A308" t="s">
        <v>72</v>
      </c>
      <c r="B308" t="s">
        <v>6479</v>
      </c>
      <c r="C308" t="s">
        <v>74</v>
      </c>
      <c r="D308" t="s">
        <v>74</v>
      </c>
      <c r="E308" t="s">
        <v>74</v>
      </c>
      <c r="F308" t="s">
        <v>6480</v>
      </c>
      <c r="G308" t="s">
        <v>74</v>
      </c>
      <c r="H308" t="s">
        <v>74</v>
      </c>
      <c r="I308" t="s">
        <v>6481</v>
      </c>
      <c r="J308" t="s">
        <v>6482</v>
      </c>
      <c r="K308" t="s">
        <v>74</v>
      </c>
      <c r="L308" t="s">
        <v>74</v>
      </c>
      <c r="M308" t="s">
        <v>78</v>
      </c>
      <c r="N308" t="s">
        <v>79</v>
      </c>
      <c r="O308" t="s">
        <v>74</v>
      </c>
      <c r="P308" t="s">
        <v>74</v>
      </c>
      <c r="Q308" t="s">
        <v>74</v>
      </c>
      <c r="R308" t="s">
        <v>74</v>
      </c>
      <c r="S308" t="s">
        <v>74</v>
      </c>
      <c r="T308" t="s">
        <v>74</v>
      </c>
      <c r="U308" t="s">
        <v>6483</v>
      </c>
      <c r="V308" t="s">
        <v>74</v>
      </c>
      <c r="W308" t="s">
        <v>6484</v>
      </c>
      <c r="X308" t="s">
        <v>6485</v>
      </c>
      <c r="Y308" t="s">
        <v>6486</v>
      </c>
      <c r="Z308" t="s">
        <v>6487</v>
      </c>
      <c r="AA308" t="s">
        <v>6488</v>
      </c>
      <c r="AB308" t="s">
        <v>6489</v>
      </c>
      <c r="AC308" t="s">
        <v>6490</v>
      </c>
      <c r="AD308" t="s">
        <v>6491</v>
      </c>
      <c r="AE308" t="s">
        <v>6492</v>
      </c>
      <c r="AF308" t="s">
        <v>74</v>
      </c>
      <c r="AG308">
        <v>12</v>
      </c>
      <c r="AH308">
        <v>1</v>
      </c>
      <c r="AI308">
        <v>1</v>
      </c>
      <c r="AJ308">
        <v>0</v>
      </c>
      <c r="AK308">
        <v>10</v>
      </c>
      <c r="AL308" t="s">
        <v>530</v>
      </c>
      <c r="AM308" t="s">
        <v>531</v>
      </c>
      <c r="AN308" t="s">
        <v>532</v>
      </c>
      <c r="AO308" t="s">
        <v>6493</v>
      </c>
      <c r="AP308" t="s">
        <v>6494</v>
      </c>
      <c r="AQ308" t="s">
        <v>74</v>
      </c>
      <c r="AR308" t="s">
        <v>6495</v>
      </c>
      <c r="AS308" t="s">
        <v>6496</v>
      </c>
      <c r="AT308" t="s">
        <v>6497</v>
      </c>
      <c r="AU308">
        <v>2022</v>
      </c>
      <c r="AV308">
        <v>58</v>
      </c>
      <c r="AW308">
        <v>2</v>
      </c>
      <c r="AX308" t="s">
        <v>74</v>
      </c>
      <c r="AY308" t="s">
        <v>74</v>
      </c>
      <c r="AZ308" t="s">
        <v>74</v>
      </c>
      <c r="BA308" t="s">
        <v>74</v>
      </c>
      <c r="BB308">
        <v>371</v>
      </c>
      <c r="BC308">
        <v>373</v>
      </c>
      <c r="BD308" t="s">
        <v>74</v>
      </c>
      <c r="BE308" t="s">
        <v>6498</v>
      </c>
      <c r="BF308" t="str">
        <f>HYPERLINK("http://dx.doi.org/10.1007/s10600-022-03684-z","http://dx.doi.org/10.1007/s10600-022-03684-z")</f>
        <v>http://dx.doi.org/10.1007/s10600-022-03684-z</v>
      </c>
      <c r="BG308" t="s">
        <v>74</v>
      </c>
      <c r="BH308" t="s">
        <v>3111</v>
      </c>
      <c r="BI308">
        <v>3</v>
      </c>
      <c r="BJ308" t="s">
        <v>6499</v>
      </c>
      <c r="BK308" t="s">
        <v>101</v>
      </c>
      <c r="BL308" t="s">
        <v>6500</v>
      </c>
      <c r="BM308" t="s">
        <v>6501</v>
      </c>
      <c r="BN308" t="s">
        <v>74</v>
      </c>
      <c r="BO308" t="s">
        <v>74</v>
      </c>
      <c r="BP308" t="s">
        <v>74</v>
      </c>
      <c r="BQ308" t="s">
        <v>74</v>
      </c>
      <c r="BR308" t="s">
        <v>103</v>
      </c>
      <c r="BS308" t="s">
        <v>6502</v>
      </c>
      <c r="BT308" t="str">
        <f>HYPERLINK("https%3A%2F%2Fwww.webofscience.com%2Fwos%2Fwoscc%2Ffull-record%2FWOS:000789721800014","View Full Record in Web of Science")</f>
        <v>View Full Record in Web of Science</v>
      </c>
    </row>
    <row r="309" spans="1:72" x14ac:dyDescent="0.15">
      <c r="A309" t="s">
        <v>72</v>
      </c>
      <c r="B309" t="s">
        <v>6503</v>
      </c>
      <c r="C309" t="s">
        <v>74</v>
      </c>
      <c r="D309" t="s">
        <v>74</v>
      </c>
      <c r="E309" t="s">
        <v>74</v>
      </c>
      <c r="F309" t="s">
        <v>6504</v>
      </c>
      <c r="G309" t="s">
        <v>74</v>
      </c>
      <c r="H309" t="s">
        <v>74</v>
      </c>
      <c r="I309" t="s">
        <v>6505</v>
      </c>
      <c r="J309" t="s">
        <v>6506</v>
      </c>
      <c r="K309" t="s">
        <v>74</v>
      </c>
      <c r="L309" t="s">
        <v>74</v>
      </c>
      <c r="M309" t="s">
        <v>78</v>
      </c>
      <c r="N309" t="s">
        <v>79</v>
      </c>
      <c r="O309" t="s">
        <v>74</v>
      </c>
      <c r="P309" t="s">
        <v>74</v>
      </c>
      <c r="Q309" t="s">
        <v>74</v>
      </c>
      <c r="R309" t="s">
        <v>74</v>
      </c>
      <c r="S309" t="s">
        <v>74</v>
      </c>
      <c r="T309" t="s">
        <v>6507</v>
      </c>
      <c r="U309" t="s">
        <v>6508</v>
      </c>
      <c r="V309" t="s">
        <v>6509</v>
      </c>
      <c r="W309" t="s">
        <v>6510</v>
      </c>
      <c r="X309" t="s">
        <v>6511</v>
      </c>
      <c r="Y309" t="s">
        <v>6512</v>
      </c>
      <c r="Z309" t="s">
        <v>6513</v>
      </c>
      <c r="AA309" t="s">
        <v>74</v>
      </c>
      <c r="AB309" t="s">
        <v>6514</v>
      </c>
      <c r="AC309" t="s">
        <v>6515</v>
      </c>
      <c r="AD309" t="s">
        <v>6516</v>
      </c>
      <c r="AE309" t="s">
        <v>6517</v>
      </c>
      <c r="AF309" t="s">
        <v>74</v>
      </c>
      <c r="AG309">
        <v>58</v>
      </c>
      <c r="AH309">
        <v>0</v>
      </c>
      <c r="AI309">
        <v>0</v>
      </c>
      <c r="AJ309">
        <v>0</v>
      </c>
      <c r="AK309">
        <v>1</v>
      </c>
      <c r="AL309" t="s">
        <v>1413</v>
      </c>
      <c r="AM309" t="s">
        <v>1414</v>
      </c>
      <c r="AN309" t="s">
        <v>1415</v>
      </c>
      <c r="AO309" t="s">
        <v>6518</v>
      </c>
      <c r="AP309" t="s">
        <v>6519</v>
      </c>
      <c r="AQ309" t="s">
        <v>74</v>
      </c>
      <c r="AR309" t="s">
        <v>6520</v>
      </c>
      <c r="AS309" t="s">
        <v>6521</v>
      </c>
      <c r="AT309" t="s">
        <v>5076</v>
      </c>
      <c r="AU309">
        <v>2022</v>
      </c>
      <c r="AV309">
        <v>39</v>
      </c>
      <c r="AW309">
        <v>5</v>
      </c>
      <c r="AX309" t="s">
        <v>74</v>
      </c>
      <c r="AY309" t="s">
        <v>74</v>
      </c>
      <c r="AZ309" t="s">
        <v>74</v>
      </c>
      <c r="BA309" t="s">
        <v>74</v>
      </c>
      <c r="BB309">
        <v>619</v>
      </c>
      <c r="BC309">
        <v>640</v>
      </c>
      <c r="BD309" t="s">
        <v>74</v>
      </c>
      <c r="BE309" t="s">
        <v>6522</v>
      </c>
      <c r="BF309" t="str">
        <f>HYPERLINK("http://dx.doi.org/10.1175/JTECH-D-21-0088.1","http://dx.doi.org/10.1175/JTECH-D-21-0088.1")</f>
        <v>http://dx.doi.org/10.1175/JTECH-D-21-0088.1</v>
      </c>
      <c r="BG309" t="s">
        <v>74</v>
      </c>
      <c r="BH309" t="s">
        <v>74</v>
      </c>
      <c r="BI309">
        <v>22</v>
      </c>
      <c r="BJ309" t="s">
        <v>6523</v>
      </c>
      <c r="BK309" t="s">
        <v>101</v>
      </c>
      <c r="BL309" t="s">
        <v>6524</v>
      </c>
      <c r="BM309" t="s">
        <v>6525</v>
      </c>
      <c r="BN309" t="s">
        <v>74</v>
      </c>
      <c r="BO309" t="s">
        <v>6526</v>
      </c>
      <c r="BP309" t="s">
        <v>74</v>
      </c>
      <c r="BQ309" t="s">
        <v>74</v>
      </c>
      <c r="BR309" t="s">
        <v>103</v>
      </c>
      <c r="BS309" t="s">
        <v>6527</v>
      </c>
      <c r="BT309" t="str">
        <f>HYPERLINK("https%3A%2F%2Fwww.webofscience.com%2Fwos%2Fwoscc%2Ffull-record%2FWOS:000896978300006","View Full Record in Web of Science")</f>
        <v>View Full Record in Web of Science</v>
      </c>
    </row>
    <row r="310" spans="1:72" x14ac:dyDescent="0.15">
      <c r="A310" t="s">
        <v>72</v>
      </c>
      <c r="B310" t="s">
        <v>6528</v>
      </c>
      <c r="C310" t="s">
        <v>74</v>
      </c>
      <c r="D310" t="s">
        <v>74</v>
      </c>
      <c r="E310" t="s">
        <v>74</v>
      </c>
      <c r="F310" t="s">
        <v>6529</v>
      </c>
      <c r="G310" t="s">
        <v>74</v>
      </c>
      <c r="H310" t="s">
        <v>74</v>
      </c>
      <c r="I310" t="s">
        <v>6530</v>
      </c>
      <c r="J310" t="s">
        <v>6506</v>
      </c>
      <c r="K310" t="s">
        <v>74</v>
      </c>
      <c r="L310" t="s">
        <v>74</v>
      </c>
      <c r="M310" t="s">
        <v>78</v>
      </c>
      <c r="N310" t="s">
        <v>79</v>
      </c>
      <c r="O310" t="s">
        <v>74</v>
      </c>
      <c r="P310" t="s">
        <v>74</v>
      </c>
      <c r="Q310" t="s">
        <v>74</v>
      </c>
      <c r="R310" t="s">
        <v>74</v>
      </c>
      <c r="S310" t="s">
        <v>74</v>
      </c>
      <c r="T310" t="s">
        <v>6531</v>
      </c>
      <c r="U310" t="s">
        <v>6532</v>
      </c>
      <c r="V310" t="s">
        <v>6533</v>
      </c>
      <c r="W310" t="s">
        <v>6534</v>
      </c>
      <c r="X310" t="s">
        <v>6535</v>
      </c>
      <c r="Y310" t="s">
        <v>6536</v>
      </c>
      <c r="Z310" t="s">
        <v>6537</v>
      </c>
      <c r="AA310" t="s">
        <v>6538</v>
      </c>
      <c r="AB310" t="s">
        <v>6539</v>
      </c>
      <c r="AC310" t="s">
        <v>6540</v>
      </c>
      <c r="AD310" t="s">
        <v>6541</v>
      </c>
      <c r="AE310" t="s">
        <v>6542</v>
      </c>
      <c r="AF310" t="s">
        <v>74</v>
      </c>
      <c r="AG310">
        <v>42</v>
      </c>
      <c r="AH310">
        <v>1</v>
      </c>
      <c r="AI310">
        <v>1</v>
      </c>
      <c r="AJ310">
        <v>2</v>
      </c>
      <c r="AK310">
        <v>5</v>
      </c>
      <c r="AL310" t="s">
        <v>1413</v>
      </c>
      <c r="AM310" t="s">
        <v>1414</v>
      </c>
      <c r="AN310" t="s">
        <v>1415</v>
      </c>
      <c r="AO310" t="s">
        <v>6518</v>
      </c>
      <c r="AP310" t="s">
        <v>6519</v>
      </c>
      <c r="AQ310" t="s">
        <v>74</v>
      </c>
      <c r="AR310" t="s">
        <v>6520</v>
      </c>
      <c r="AS310" t="s">
        <v>6521</v>
      </c>
      <c r="AT310" t="s">
        <v>5076</v>
      </c>
      <c r="AU310">
        <v>2022</v>
      </c>
      <c r="AV310">
        <v>39</v>
      </c>
      <c r="AW310">
        <v>5</v>
      </c>
      <c r="AX310" t="s">
        <v>74</v>
      </c>
      <c r="AY310" t="s">
        <v>74</v>
      </c>
      <c r="AZ310" t="s">
        <v>74</v>
      </c>
      <c r="BA310" t="s">
        <v>74</v>
      </c>
      <c r="BB310">
        <v>707</v>
      </c>
      <c r="BC310">
        <v>718</v>
      </c>
      <c r="BD310" t="s">
        <v>74</v>
      </c>
      <c r="BE310" t="s">
        <v>6543</v>
      </c>
      <c r="BF310" t="str">
        <f>HYPERLINK("http://dx.doi.org/10.1175/JTECH-D-21-0026.1","http://dx.doi.org/10.1175/JTECH-D-21-0026.1")</f>
        <v>http://dx.doi.org/10.1175/JTECH-D-21-0026.1</v>
      </c>
      <c r="BG310" t="s">
        <v>74</v>
      </c>
      <c r="BH310" t="s">
        <v>74</v>
      </c>
      <c r="BI310">
        <v>12</v>
      </c>
      <c r="BJ310" t="s">
        <v>6523</v>
      </c>
      <c r="BK310" t="s">
        <v>101</v>
      </c>
      <c r="BL310" t="s">
        <v>6524</v>
      </c>
      <c r="BM310" t="s">
        <v>6525</v>
      </c>
      <c r="BN310" t="s">
        <v>74</v>
      </c>
      <c r="BO310" t="s">
        <v>1483</v>
      </c>
      <c r="BP310" t="s">
        <v>74</v>
      </c>
      <c r="BQ310" t="s">
        <v>74</v>
      </c>
      <c r="BR310" t="s">
        <v>103</v>
      </c>
      <c r="BS310" t="s">
        <v>6544</v>
      </c>
      <c r="BT310" t="str">
        <f>HYPERLINK("https%3A%2F%2Fwww.webofscience.com%2Fwos%2Fwoscc%2Ffull-record%2FWOS:000896978300011","View Full Record in Web of Science")</f>
        <v>View Full Record in Web of Science</v>
      </c>
    </row>
    <row r="311" spans="1:72" x14ac:dyDescent="0.15">
      <c r="A311" t="s">
        <v>72</v>
      </c>
      <c r="B311" t="s">
        <v>6545</v>
      </c>
      <c r="C311" t="s">
        <v>74</v>
      </c>
      <c r="D311" t="s">
        <v>74</v>
      </c>
      <c r="E311" t="s">
        <v>74</v>
      </c>
      <c r="F311" t="s">
        <v>6546</v>
      </c>
      <c r="G311" t="s">
        <v>74</v>
      </c>
      <c r="H311" t="s">
        <v>74</v>
      </c>
      <c r="I311" t="s">
        <v>6547</v>
      </c>
      <c r="J311" t="s">
        <v>1429</v>
      </c>
      <c r="K311" t="s">
        <v>74</v>
      </c>
      <c r="L311" t="s">
        <v>74</v>
      </c>
      <c r="M311" t="s">
        <v>78</v>
      </c>
      <c r="N311" t="s">
        <v>79</v>
      </c>
      <c r="O311" t="s">
        <v>74</v>
      </c>
      <c r="P311" t="s">
        <v>74</v>
      </c>
      <c r="Q311" t="s">
        <v>74</v>
      </c>
      <c r="R311" t="s">
        <v>74</v>
      </c>
      <c r="S311" t="s">
        <v>74</v>
      </c>
      <c r="T311" t="s">
        <v>6548</v>
      </c>
      <c r="U311" t="s">
        <v>6549</v>
      </c>
      <c r="V311" t="s">
        <v>6550</v>
      </c>
      <c r="W311" t="s">
        <v>6551</v>
      </c>
      <c r="X311" t="s">
        <v>6552</v>
      </c>
      <c r="Y311" t="s">
        <v>6553</v>
      </c>
      <c r="Z311" t="s">
        <v>6554</v>
      </c>
      <c r="AA311" t="s">
        <v>6555</v>
      </c>
      <c r="AB311" t="s">
        <v>6556</v>
      </c>
      <c r="AC311" t="s">
        <v>6557</v>
      </c>
      <c r="AD311" t="s">
        <v>6558</v>
      </c>
      <c r="AE311" t="s">
        <v>6559</v>
      </c>
      <c r="AF311" t="s">
        <v>74</v>
      </c>
      <c r="AG311">
        <v>67</v>
      </c>
      <c r="AH311">
        <v>1</v>
      </c>
      <c r="AI311">
        <v>1</v>
      </c>
      <c r="AJ311">
        <v>5</v>
      </c>
      <c r="AK311">
        <v>11</v>
      </c>
      <c r="AL311" t="s">
        <v>1413</v>
      </c>
      <c r="AM311" t="s">
        <v>1414</v>
      </c>
      <c r="AN311" t="s">
        <v>1415</v>
      </c>
      <c r="AO311" t="s">
        <v>1442</v>
      </c>
      <c r="AP311" t="s">
        <v>1443</v>
      </c>
      <c r="AQ311" t="s">
        <v>74</v>
      </c>
      <c r="AR311" t="s">
        <v>1444</v>
      </c>
      <c r="AS311" t="s">
        <v>1445</v>
      </c>
      <c r="AT311" t="s">
        <v>5076</v>
      </c>
      <c r="AU311">
        <v>2022</v>
      </c>
      <c r="AV311">
        <v>52</v>
      </c>
      <c r="AW311">
        <v>5</v>
      </c>
      <c r="AX311" t="s">
        <v>74</v>
      </c>
      <c r="AY311" t="s">
        <v>74</v>
      </c>
      <c r="AZ311" t="s">
        <v>74</v>
      </c>
      <c r="BA311" t="s">
        <v>74</v>
      </c>
      <c r="BB311">
        <v>805</v>
      </c>
      <c r="BC311">
        <v>822</v>
      </c>
      <c r="BD311" t="s">
        <v>74</v>
      </c>
      <c r="BE311" t="s">
        <v>6560</v>
      </c>
      <c r="BF311" t="str">
        <f>HYPERLINK("http://dx.doi.org/10.1175/JPO-D-21-0030.1","http://dx.doi.org/10.1175/JPO-D-21-0030.1")</f>
        <v>http://dx.doi.org/10.1175/JPO-D-21-0030.1</v>
      </c>
      <c r="BG311" t="s">
        <v>74</v>
      </c>
      <c r="BH311" t="s">
        <v>74</v>
      </c>
      <c r="BI311">
        <v>18</v>
      </c>
      <c r="BJ311" t="s">
        <v>208</v>
      </c>
      <c r="BK311" t="s">
        <v>101</v>
      </c>
      <c r="BL311" t="s">
        <v>208</v>
      </c>
      <c r="BM311" t="s">
        <v>6561</v>
      </c>
      <c r="BN311" t="s">
        <v>74</v>
      </c>
      <c r="BO311" t="s">
        <v>74</v>
      </c>
      <c r="BP311" t="s">
        <v>74</v>
      </c>
      <c r="BQ311" t="s">
        <v>74</v>
      </c>
      <c r="BR311" t="s">
        <v>103</v>
      </c>
      <c r="BS311" t="s">
        <v>6562</v>
      </c>
      <c r="BT311" t="str">
        <f>HYPERLINK("https%3A%2F%2Fwww.webofscience.com%2Fwos%2Fwoscc%2Ffull-record%2FWOS:000871876600003","View Full Record in Web of Science")</f>
        <v>View Full Record in Web of Science</v>
      </c>
    </row>
    <row r="312" spans="1:72" x14ac:dyDescent="0.15">
      <c r="A312" t="s">
        <v>72</v>
      </c>
      <c r="B312" t="s">
        <v>6563</v>
      </c>
      <c r="C312" t="s">
        <v>74</v>
      </c>
      <c r="D312" t="s">
        <v>74</v>
      </c>
      <c r="E312" t="s">
        <v>74</v>
      </c>
      <c r="F312" t="s">
        <v>6564</v>
      </c>
      <c r="G312" t="s">
        <v>74</v>
      </c>
      <c r="H312" t="s">
        <v>74</v>
      </c>
      <c r="I312" t="s">
        <v>6565</v>
      </c>
      <c r="J312" t="s">
        <v>1429</v>
      </c>
      <c r="K312" t="s">
        <v>74</v>
      </c>
      <c r="L312" t="s">
        <v>74</v>
      </c>
      <c r="M312" t="s">
        <v>78</v>
      </c>
      <c r="N312" t="s">
        <v>79</v>
      </c>
      <c r="O312" t="s">
        <v>74</v>
      </c>
      <c r="P312" t="s">
        <v>74</v>
      </c>
      <c r="Q312" t="s">
        <v>74</v>
      </c>
      <c r="R312" t="s">
        <v>74</v>
      </c>
      <c r="S312" t="s">
        <v>74</v>
      </c>
      <c r="T312" t="s">
        <v>6566</v>
      </c>
      <c r="U312" t="s">
        <v>6567</v>
      </c>
      <c r="V312" t="s">
        <v>6568</v>
      </c>
      <c r="W312" t="s">
        <v>6569</v>
      </c>
      <c r="X312" t="s">
        <v>6570</v>
      </c>
      <c r="Y312" t="s">
        <v>6571</v>
      </c>
      <c r="Z312" t="s">
        <v>6572</v>
      </c>
      <c r="AA312" t="s">
        <v>6573</v>
      </c>
      <c r="AB312" t="s">
        <v>6574</v>
      </c>
      <c r="AC312" t="s">
        <v>6575</v>
      </c>
      <c r="AD312" t="s">
        <v>6576</v>
      </c>
      <c r="AE312" t="s">
        <v>6577</v>
      </c>
      <c r="AF312" t="s">
        <v>74</v>
      </c>
      <c r="AG312">
        <v>38</v>
      </c>
      <c r="AH312">
        <v>12</v>
      </c>
      <c r="AI312">
        <v>12</v>
      </c>
      <c r="AJ312">
        <v>0</v>
      </c>
      <c r="AK312">
        <v>4</v>
      </c>
      <c r="AL312" t="s">
        <v>1413</v>
      </c>
      <c r="AM312" t="s">
        <v>1414</v>
      </c>
      <c r="AN312" t="s">
        <v>1415</v>
      </c>
      <c r="AO312" t="s">
        <v>1442</v>
      </c>
      <c r="AP312" t="s">
        <v>1443</v>
      </c>
      <c r="AQ312" t="s">
        <v>74</v>
      </c>
      <c r="AR312" t="s">
        <v>1444</v>
      </c>
      <c r="AS312" t="s">
        <v>1445</v>
      </c>
      <c r="AT312" t="s">
        <v>5076</v>
      </c>
      <c r="AU312">
        <v>2022</v>
      </c>
      <c r="AV312">
        <v>52</v>
      </c>
      <c r="AW312">
        <v>5</v>
      </c>
      <c r="AX312" t="s">
        <v>74</v>
      </c>
      <c r="AY312" t="s">
        <v>74</v>
      </c>
      <c r="AZ312" t="s">
        <v>74</v>
      </c>
      <c r="BA312" t="s">
        <v>74</v>
      </c>
      <c r="BB312">
        <v>889</v>
      </c>
      <c r="BC312">
        <v>906</v>
      </c>
      <c r="BD312" t="s">
        <v>74</v>
      </c>
      <c r="BE312" t="s">
        <v>6578</v>
      </c>
      <c r="BF312" t="str">
        <f>HYPERLINK("http://dx.doi.org/10.1175/JPO-D-21-0240.1","http://dx.doi.org/10.1175/JPO-D-21-0240.1")</f>
        <v>http://dx.doi.org/10.1175/JPO-D-21-0240.1</v>
      </c>
      <c r="BG312" t="s">
        <v>74</v>
      </c>
      <c r="BH312" t="s">
        <v>74</v>
      </c>
      <c r="BI312">
        <v>18</v>
      </c>
      <c r="BJ312" t="s">
        <v>208</v>
      </c>
      <c r="BK312" t="s">
        <v>101</v>
      </c>
      <c r="BL312" t="s">
        <v>208</v>
      </c>
      <c r="BM312" t="s">
        <v>6561</v>
      </c>
      <c r="BN312" t="s">
        <v>74</v>
      </c>
      <c r="BO312" t="s">
        <v>6526</v>
      </c>
      <c r="BP312" t="s">
        <v>74</v>
      </c>
      <c r="BQ312" t="s">
        <v>74</v>
      </c>
      <c r="BR312" t="s">
        <v>103</v>
      </c>
      <c r="BS312" t="s">
        <v>6579</v>
      </c>
      <c r="BT312" t="str">
        <f>HYPERLINK("https%3A%2F%2Fwww.webofscience.com%2Fwos%2Fwoscc%2Ffull-record%2FWOS:000871876600008","View Full Record in Web of Science")</f>
        <v>View Full Record in Web of Science</v>
      </c>
    </row>
    <row r="313" spans="1:72" x14ac:dyDescent="0.15">
      <c r="A313" t="s">
        <v>72</v>
      </c>
      <c r="B313" t="s">
        <v>6580</v>
      </c>
      <c r="C313" t="s">
        <v>74</v>
      </c>
      <c r="D313" t="s">
        <v>74</v>
      </c>
      <c r="E313" t="s">
        <v>74</v>
      </c>
      <c r="F313" t="s">
        <v>6581</v>
      </c>
      <c r="G313" t="s">
        <v>74</v>
      </c>
      <c r="H313" t="s">
        <v>74</v>
      </c>
      <c r="I313" t="s">
        <v>6582</v>
      </c>
      <c r="J313" t="s">
        <v>6583</v>
      </c>
      <c r="K313" t="s">
        <v>74</v>
      </c>
      <c r="L313" t="s">
        <v>74</v>
      </c>
      <c r="M313" t="s">
        <v>78</v>
      </c>
      <c r="N313" t="s">
        <v>79</v>
      </c>
      <c r="O313" t="s">
        <v>74</v>
      </c>
      <c r="P313" t="s">
        <v>74</v>
      </c>
      <c r="Q313" t="s">
        <v>74</v>
      </c>
      <c r="R313" t="s">
        <v>74</v>
      </c>
      <c r="S313" t="s">
        <v>74</v>
      </c>
      <c r="T313" t="s">
        <v>6584</v>
      </c>
      <c r="U313" t="s">
        <v>6585</v>
      </c>
      <c r="V313" t="s">
        <v>6586</v>
      </c>
      <c r="W313" t="s">
        <v>6587</v>
      </c>
      <c r="X313" t="s">
        <v>6588</v>
      </c>
      <c r="Y313" t="s">
        <v>6589</v>
      </c>
      <c r="Z313" t="s">
        <v>6590</v>
      </c>
      <c r="AA313" t="s">
        <v>6591</v>
      </c>
      <c r="AB313" t="s">
        <v>6592</v>
      </c>
      <c r="AC313" t="s">
        <v>74</v>
      </c>
      <c r="AD313" t="s">
        <v>74</v>
      </c>
      <c r="AE313" t="s">
        <v>74</v>
      </c>
      <c r="AF313" t="s">
        <v>74</v>
      </c>
      <c r="AG313">
        <v>29</v>
      </c>
      <c r="AH313">
        <v>0</v>
      </c>
      <c r="AI313">
        <v>0</v>
      </c>
      <c r="AJ313">
        <v>0</v>
      </c>
      <c r="AK313">
        <v>3</v>
      </c>
      <c r="AL313" t="s">
        <v>6593</v>
      </c>
      <c r="AM313" t="s">
        <v>6594</v>
      </c>
      <c r="AN313" t="s">
        <v>6595</v>
      </c>
      <c r="AO313" t="s">
        <v>74</v>
      </c>
      <c r="AP313" t="s">
        <v>6596</v>
      </c>
      <c r="AQ313" t="s">
        <v>74</v>
      </c>
      <c r="AR313" t="s">
        <v>6583</v>
      </c>
      <c r="AS313" t="s">
        <v>6597</v>
      </c>
      <c r="AT313" t="s">
        <v>5746</v>
      </c>
      <c r="AU313">
        <v>2022</v>
      </c>
      <c r="AV313">
        <v>93</v>
      </c>
      <c r="AW313">
        <v>3</v>
      </c>
      <c r="AX313" t="s">
        <v>74</v>
      </c>
      <c r="AY313" t="s">
        <v>74</v>
      </c>
      <c r="AZ313" t="s">
        <v>74</v>
      </c>
      <c r="BA313" t="s">
        <v>74</v>
      </c>
      <c r="BB313">
        <v>361</v>
      </c>
      <c r="BC313">
        <v>370</v>
      </c>
      <c r="BD313" t="s">
        <v>74</v>
      </c>
      <c r="BE313" t="s">
        <v>6598</v>
      </c>
      <c r="BF313" t="str">
        <f>HYPERLINK("http://dx.doi.org/10.32641/andespediatr.v93i3.3636","http://dx.doi.org/10.32641/andespediatr.v93i3.3636")</f>
        <v>http://dx.doi.org/10.32641/andespediatr.v93i3.3636</v>
      </c>
      <c r="BG313" t="s">
        <v>74</v>
      </c>
      <c r="BH313" t="s">
        <v>74</v>
      </c>
      <c r="BI313">
        <v>10</v>
      </c>
      <c r="BJ313" t="s">
        <v>6599</v>
      </c>
      <c r="BK313" t="s">
        <v>839</v>
      </c>
      <c r="BL313" t="s">
        <v>6599</v>
      </c>
      <c r="BM313" t="s">
        <v>6600</v>
      </c>
      <c r="BN313">
        <v>35857007</v>
      </c>
      <c r="BO313" t="s">
        <v>2560</v>
      </c>
      <c r="BP313" t="s">
        <v>74</v>
      </c>
      <c r="BQ313" t="s">
        <v>74</v>
      </c>
      <c r="BR313" t="s">
        <v>103</v>
      </c>
      <c r="BS313" t="s">
        <v>6601</v>
      </c>
      <c r="BT313" t="str">
        <f>HYPERLINK("https%3A%2F%2Fwww.webofscience.com%2Fwos%2Fwoscc%2Ffull-record%2FWOS:000864014500002","View Full Record in Web of Science")</f>
        <v>View Full Record in Web of Science</v>
      </c>
    </row>
    <row r="314" spans="1:72" x14ac:dyDescent="0.15">
      <c r="A314" t="s">
        <v>72</v>
      </c>
      <c r="B314" t="s">
        <v>6602</v>
      </c>
      <c r="C314" t="s">
        <v>74</v>
      </c>
      <c r="D314" t="s">
        <v>74</v>
      </c>
      <c r="E314" t="s">
        <v>74</v>
      </c>
      <c r="F314" t="s">
        <v>6603</v>
      </c>
      <c r="G314" t="s">
        <v>74</v>
      </c>
      <c r="H314" t="s">
        <v>74</v>
      </c>
      <c r="I314" t="s">
        <v>6604</v>
      </c>
      <c r="J314" t="s">
        <v>6605</v>
      </c>
      <c r="K314" t="s">
        <v>74</v>
      </c>
      <c r="L314" t="s">
        <v>74</v>
      </c>
      <c r="M314" t="s">
        <v>6606</v>
      </c>
      <c r="N314" t="s">
        <v>79</v>
      </c>
      <c r="O314" t="s">
        <v>74</v>
      </c>
      <c r="P314" t="s">
        <v>74</v>
      </c>
      <c r="Q314" t="s">
        <v>74</v>
      </c>
      <c r="R314" t="s">
        <v>74</v>
      </c>
      <c r="S314" t="s">
        <v>74</v>
      </c>
      <c r="T314" t="s">
        <v>6607</v>
      </c>
      <c r="U314" t="s">
        <v>6608</v>
      </c>
      <c r="V314" t="s">
        <v>6609</v>
      </c>
      <c r="W314" t="s">
        <v>6610</v>
      </c>
      <c r="X314" t="s">
        <v>6611</v>
      </c>
      <c r="Y314" t="s">
        <v>6612</v>
      </c>
      <c r="Z314" t="s">
        <v>6613</v>
      </c>
      <c r="AA314" t="s">
        <v>74</v>
      </c>
      <c r="AB314" t="s">
        <v>74</v>
      </c>
      <c r="AC314" t="s">
        <v>74</v>
      </c>
      <c r="AD314" t="s">
        <v>74</v>
      </c>
      <c r="AE314" t="s">
        <v>74</v>
      </c>
      <c r="AF314" t="s">
        <v>74</v>
      </c>
      <c r="AG314">
        <v>181</v>
      </c>
      <c r="AH314">
        <v>0</v>
      </c>
      <c r="AI314">
        <v>0</v>
      </c>
      <c r="AJ314">
        <v>0</v>
      </c>
      <c r="AK314">
        <v>3</v>
      </c>
      <c r="AL314" t="s">
        <v>6614</v>
      </c>
      <c r="AM314" t="s">
        <v>6615</v>
      </c>
      <c r="AN314" t="s">
        <v>6616</v>
      </c>
      <c r="AO314" t="s">
        <v>6617</v>
      </c>
      <c r="AP314" t="s">
        <v>74</v>
      </c>
      <c r="AQ314" t="s">
        <v>74</v>
      </c>
      <c r="AR314" t="s">
        <v>6618</v>
      </c>
      <c r="AS314" t="s">
        <v>6619</v>
      </c>
      <c r="AT314" t="s">
        <v>5076</v>
      </c>
      <c r="AU314">
        <v>2022</v>
      </c>
      <c r="AV314">
        <v>101</v>
      </c>
      <c r="AW314">
        <v>5</v>
      </c>
      <c r="AX314" t="s">
        <v>74</v>
      </c>
      <c r="AY314" t="s">
        <v>74</v>
      </c>
      <c r="AZ314" t="s">
        <v>74</v>
      </c>
      <c r="BA314" t="s">
        <v>74</v>
      </c>
      <c r="BB314">
        <v>492</v>
      </c>
      <c r="BC314">
        <v>517</v>
      </c>
      <c r="BD314" t="s">
        <v>74</v>
      </c>
      <c r="BE314" t="s">
        <v>6620</v>
      </c>
      <c r="BF314" t="str">
        <f>HYPERLINK("http://dx.doi.org/10.31857/S0044513422030072","http://dx.doi.org/10.31857/S0044513422030072")</f>
        <v>http://dx.doi.org/10.31857/S0044513422030072</v>
      </c>
      <c r="BG314" t="s">
        <v>74</v>
      </c>
      <c r="BH314" t="s">
        <v>74</v>
      </c>
      <c r="BI314">
        <v>26</v>
      </c>
      <c r="BJ314" t="s">
        <v>1054</v>
      </c>
      <c r="BK314" t="s">
        <v>101</v>
      </c>
      <c r="BL314" t="s">
        <v>1054</v>
      </c>
      <c r="BM314" t="s">
        <v>6621</v>
      </c>
      <c r="BN314" t="s">
        <v>74</v>
      </c>
      <c r="BO314" t="s">
        <v>74</v>
      </c>
      <c r="BP314" t="s">
        <v>74</v>
      </c>
      <c r="BQ314" t="s">
        <v>74</v>
      </c>
      <c r="BR314" t="s">
        <v>103</v>
      </c>
      <c r="BS314" t="s">
        <v>6622</v>
      </c>
      <c r="BT314" t="str">
        <f>HYPERLINK("https%3A%2F%2Fwww.webofscience.com%2Fwos%2Fwoscc%2Ffull-record%2FWOS:000851046600002","View Full Record in Web of Science")</f>
        <v>View Full Record in Web of Science</v>
      </c>
    </row>
    <row r="315" spans="1:72" x14ac:dyDescent="0.15">
      <c r="A315" t="s">
        <v>72</v>
      </c>
      <c r="B315" t="s">
        <v>6623</v>
      </c>
      <c r="C315" t="s">
        <v>74</v>
      </c>
      <c r="D315" t="s">
        <v>74</v>
      </c>
      <c r="E315" t="s">
        <v>74</v>
      </c>
      <c r="F315" t="s">
        <v>6624</v>
      </c>
      <c r="G315" t="s">
        <v>74</v>
      </c>
      <c r="H315" t="s">
        <v>74</v>
      </c>
      <c r="I315" t="s">
        <v>6625</v>
      </c>
      <c r="J315" t="s">
        <v>6626</v>
      </c>
      <c r="K315" t="s">
        <v>74</v>
      </c>
      <c r="L315" t="s">
        <v>74</v>
      </c>
      <c r="M315" t="s">
        <v>78</v>
      </c>
      <c r="N315" t="s">
        <v>79</v>
      </c>
      <c r="O315" t="s">
        <v>74</v>
      </c>
      <c r="P315" t="s">
        <v>74</v>
      </c>
      <c r="Q315" t="s">
        <v>74</v>
      </c>
      <c r="R315" t="s">
        <v>74</v>
      </c>
      <c r="S315" t="s">
        <v>74</v>
      </c>
      <c r="T315" t="s">
        <v>6627</v>
      </c>
      <c r="U315" t="s">
        <v>6628</v>
      </c>
      <c r="V315" t="s">
        <v>6629</v>
      </c>
      <c r="W315" t="s">
        <v>6630</v>
      </c>
      <c r="X315" t="s">
        <v>6631</v>
      </c>
      <c r="Y315" t="s">
        <v>6632</v>
      </c>
      <c r="Z315" t="s">
        <v>6633</v>
      </c>
      <c r="AA315" t="s">
        <v>6634</v>
      </c>
      <c r="AB315" t="s">
        <v>6635</v>
      </c>
      <c r="AC315" t="s">
        <v>6636</v>
      </c>
      <c r="AD315" t="s">
        <v>6637</v>
      </c>
      <c r="AE315" t="s">
        <v>6638</v>
      </c>
      <c r="AF315" t="s">
        <v>74</v>
      </c>
      <c r="AG315">
        <v>114</v>
      </c>
      <c r="AH315">
        <v>3</v>
      </c>
      <c r="AI315">
        <v>3</v>
      </c>
      <c r="AJ315">
        <v>1</v>
      </c>
      <c r="AK315">
        <v>3</v>
      </c>
      <c r="AL315" t="s">
        <v>91</v>
      </c>
      <c r="AM315" t="s">
        <v>92</v>
      </c>
      <c r="AN315" t="s">
        <v>93</v>
      </c>
      <c r="AO315" t="s">
        <v>6639</v>
      </c>
      <c r="AP315" t="s">
        <v>6640</v>
      </c>
      <c r="AQ315" t="s">
        <v>74</v>
      </c>
      <c r="AR315" t="s">
        <v>6626</v>
      </c>
      <c r="AS315" t="s">
        <v>863</v>
      </c>
      <c r="AT315" t="s">
        <v>5076</v>
      </c>
      <c r="AU315">
        <v>2022</v>
      </c>
      <c r="AV315">
        <v>65</v>
      </c>
      <c r="AW315">
        <v>3</v>
      </c>
      <c r="AX315" t="s">
        <v>74</v>
      </c>
      <c r="AY315" t="s">
        <v>74</v>
      </c>
      <c r="AZ315" t="s">
        <v>74</v>
      </c>
      <c r="BA315" t="s">
        <v>74</v>
      </c>
      <c r="BB315" t="s">
        <v>74</v>
      </c>
      <c r="BC315" t="s">
        <v>74</v>
      </c>
      <c r="BD315" t="s">
        <v>6641</v>
      </c>
      <c r="BE315" t="s">
        <v>6642</v>
      </c>
      <c r="BF315" t="str">
        <f>HYPERLINK("http://dx.doi.org/10.1111/pala.12601","http://dx.doi.org/10.1111/pala.12601")</f>
        <v>http://dx.doi.org/10.1111/pala.12601</v>
      </c>
      <c r="BG315" t="s">
        <v>74</v>
      </c>
      <c r="BH315" t="s">
        <v>74</v>
      </c>
      <c r="BI315">
        <v>22</v>
      </c>
      <c r="BJ315" t="s">
        <v>863</v>
      </c>
      <c r="BK315" t="s">
        <v>101</v>
      </c>
      <c r="BL315" t="s">
        <v>863</v>
      </c>
      <c r="BM315" t="s">
        <v>6643</v>
      </c>
      <c r="BN315" t="s">
        <v>74</v>
      </c>
      <c r="BO315" t="s">
        <v>74</v>
      </c>
      <c r="BP315" t="s">
        <v>74</v>
      </c>
      <c r="BQ315" t="s">
        <v>74</v>
      </c>
      <c r="BR315" t="s">
        <v>103</v>
      </c>
      <c r="BS315" t="s">
        <v>6644</v>
      </c>
      <c r="BT315" t="str">
        <f>HYPERLINK("https%3A%2F%2Fwww.webofscience.com%2Fwos%2Fwoscc%2Ffull-record%2FWOS:000809684100001","View Full Record in Web of Science")</f>
        <v>View Full Record in Web of Science</v>
      </c>
    </row>
    <row r="316" spans="1:72" x14ac:dyDescent="0.15">
      <c r="A316" t="s">
        <v>72</v>
      </c>
      <c r="B316" t="s">
        <v>6645</v>
      </c>
      <c r="C316" t="s">
        <v>74</v>
      </c>
      <c r="D316" t="s">
        <v>74</v>
      </c>
      <c r="E316" t="s">
        <v>74</v>
      </c>
      <c r="F316" t="s">
        <v>6646</v>
      </c>
      <c r="G316" t="s">
        <v>74</v>
      </c>
      <c r="H316" t="s">
        <v>74</v>
      </c>
      <c r="I316" t="s">
        <v>6647</v>
      </c>
      <c r="J316" t="s">
        <v>4808</v>
      </c>
      <c r="K316" t="s">
        <v>74</v>
      </c>
      <c r="L316" t="s">
        <v>74</v>
      </c>
      <c r="M316" t="s">
        <v>78</v>
      </c>
      <c r="N316" t="s">
        <v>79</v>
      </c>
      <c r="O316" t="s">
        <v>74</v>
      </c>
      <c r="P316" t="s">
        <v>74</v>
      </c>
      <c r="Q316" t="s">
        <v>74</v>
      </c>
      <c r="R316" t="s">
        <v>74</v>
      </c>
      <c r="S316" t="s">
        <v>74</v>
      </c>
      <c r="T316" t="s">
        <v>6648</v>
      </c>
      <c r="U316" t="s">
        <v>6649</v>
      </c>
      <c r="V316" t="s">
        <v>6650</v>
      </c>
      <c r="W316" t="s">
        <v>6651</v>
      </c>
      <c r="X316" t="s">
        <v>6652</v>
      </c>
      <c r="Y316" t="s">
        <v>6653</v>
      </c>
      <c r="Z316" t="s">
        <v>6654</v>
      </c>
      <c r="AA316" t="s">
        <v>6655</v>
      </c>
      <c r="AB316" t="s">
        <v>74</v>
      </c>
      <c r="AC316" t="s">
        <v>6656</v>
      </c>
      <c r="AD316" t="s">
        <v>6657</v>
      </c>
      <c r="AE316" t="s">
        <v>6658</v>
      </c>
      <c r="AF316" t="s">
        <v>74</v>
      </c>
      <c r="AG316">
        <v>60</v>
      </c>
      <c r="AH316">
        <v>3</v>
      </c>
      <c r="AI316">
        <v>3</v>
      </c>
      <c r="AJ316">
        <v>6</v>
      </c>
      <c r="AK316">
        <v>18</v>
      </c>
      <c r="AL316" t="s">
        <v>1413</v>
      </c>
      <c r="AM316" t="s">
        <v>1414</v>
      </c>
      <c r="AN316" t="s">
        <v>4821</v>
      </c>
      <c r="AO316" t="s">
        <v>4822</v>
      </c>
      <c r="AP316" t="s">
        <v>4823</v>
      </c>
      <c r="AQ316" t="s">
        <v>74</v>
      </c>
      <c r="AR316" t="s">
        <v>4824</v>
      </c>
      <c r="AS316" t="s">
        <v>4825</v>
      </c>
      <c r="AT316" t="s">
        <v>5076</v>
      </c>
      <c r="AU316">
        <v>2022</v>
      </c>
      <c r="AV316">
        <v>35</v>
      </c>
      <c r="AW316">
        <v>9</v>
      </c>
      <c r="AX316" t="s">
        <v>74</v>
      </c>
      <c r="AY316" t="s">
        <v>74</v>
      </c>
      <c r="AZ316" t="s">
        <v>74</v>
      </c>
      <c r="BA316" t="s">
        <v>74</v>
      </c>
      <c r="BB316">
        <v>2823</v>
      </c>
      <c r="BC316">
        <v>2847</v>
      </c>
      <c r="BD316" t="s">
        <v>74</v>
      </c>
      <c r="BE316" t="s">
        <v>6659</v>
      </c>
      <c r="BF316" t="str">
        <f>HYPERLINK("http://dx.doi.org/10.1175/JCLI-D-21-0756.1","http://dx.doi.org/10.1175/JCLI-D-21-0756.1")</f>
        <v>http://dx.doi.org/10.1175/JCLI-D-21-0756.1</v>
      </c>
      <c r="BG316" t="s">
        <v>74</v>
      </c>
      <c r="BH316" t="s">
        <v>74</v>
      </c>
      <c r="BI316">
        <v>25</v>
      </c>
      <c r="BJ316" t="s">
        <v>510</v>
      </c>
      <c r="BK316" t="s">
        <v>101</v>
      </c>
      <c r="BL316" t="s">
        <v>510</v>
      </c>
      <c r="BM316" t="s">
        <v>6660</v>
      </c>
      <c r="BN316" t="s">
        <v>74</v>
      </c>
      <c r="BO316" t="s">
        <v>74</v>
      </c>
      <c r="BP316" t="s">
        <v>74</v>
      </c>
      <c r="BQ316" t="s">
        <v>74</v>
      </c>
      <c r="BR316" t="s">
        <v>103</v>
      </c>
      <c r="BS316" t="s">
        <v>6661</v>
      </c>
      <c r="BT316" t="str">
        <f>HYPERLINK("https%3A%2F%2Fwww.webofscience.com%2Fwos%2Fwoscc%2Ffull-record%2FWOS:000808530600011","View Full Record in Web of Science")</f>
        <v>View Full Record in Web of Science</v>
      </c>
    </row>
    <row r="317" spans="1:72" x14ac:dyDescent="0.15">
      <c r="A317" t="s">
        <v>72</v>
      </c>
      <c r="B317" t="s">
        <v>6662</v>
      </c>
      <c r="C317" t="s">
        <v>74</v>
      </c>
      <c r="D317" t="s">
        <v>74</v>
      </c>
      <c r="E317" t="s">
        <v>74</v>
      </c>
      <c r="F317" t="s">
        <v>6663</v>
      </c>
      <c r="G317" t="s">
        <v>74</v>
      </c>
      <c r="H317" t="s">
        <v>74</v>
      </c>
      <c r="I317" t="s">
        <v>6664</v>
      </c>
      <c r="J317" t="s">
        <v>6665</v>
      </c>
      <c r="K317" t="s">
        <v>74</v>
      </c>
      <c r="L317" t="s">
        <v>74</v>
      </c>
      <c r="M317" t="s">
        <v>78</v>
      </c>
      <c r="N317" t="s">
        <v>52</v>
      </c>
      <c r="O317" t="s">
        <v>6666</v>
      </c>
      <c r="P317" t="s">
        <v>6667</v>
      </c>
      <c r="Q317" t="s">
        <v>6668</v>
      </c>
      <c r="R317" t="s">
        <v>74</v>
      </c>
      <c r="S317" t="s">
        <v>74</v>
      </c>
      <c r="T317" t="s">
        <v>74</v>
      </c>
      <c r="U317" t="s">
        <v>74</v>
      </c>
      <c r="V317" t="s">
        <v>74</v>
      </c>
      <c r="W317" t="s">
        <v>6669</v>
      </c>
      <c r="X317" t="s">
        <v>6670</v>
      </c>
      <c r="Y317" t="s">
        <v>74</v>
      </c>
      <c r="Z317" t="s">
        <v>74</v>
      </c>
      <c r="AA317" t="s">
        <v>74</v>
      </c>
      <c r="AB317" t="s">
        <v>74</v>
      </c>
      <c r="AC317" t="s">
        <v>74</v>
      </c>
      <c r="AD317" t="s">
        <v>74</v>
      </c>
      <c r="AE317" t="s">
        <v>74</v>
      </c>
      <c r="AF317" t="s">
        <v>74</v>
      </c>
      <c r="AG317">
        <v>0</v>
      </c>
      <c r="AH317">
        <v>0</v>
      </c>
      <c r="AI317">
        <v>0</v>
      </c>
      <c r="AJ317">
        <v>0</v>
      </c>
      <c r="AK317">
        <v>0</v>
      </c>
      <c r="AL317" t="s">
        <v>6671</v>
      </c>
      <c r="AM317" t="s">
        <v>401</v>
      </c>
      <c r="AN317" t="s">
        <v>6672</v>
      </c>
      <c r="AO317" t="s">
        <v>6673</v>
      </c>
      <c r="AP317" t="s">
        <v>6674</v>
      </c>
      <c r="AQ317" t="s">
        <v>74</v>
      </c>
      <c r="AR317" t="s">
        <v>6665</v>
      </c>
      <c r="AS317" t="s">
        <v>6675</v>
      </c>
      <c r="AT317" t="s">
        <v>5076</v>
      </c>
      <c r="AU317">
        <v>2022</v>
      </c>
      <c r="AV317">
        <v>122</v>
      </c>
      <c r="AW317" t="s">
        <v>74</v>
      </c>
      <c r="AX317" t="s">
        <v>74</v>
      </c>
      <c r="AY317" t="s">
        <v>74</v>
      </c>
      <c r="AZ317" t="s">
        <v>74</v>
      </c>
      <c r="BA317" t="s">
        <v>6676</v>
      </c>
      <c r="BB317" t="s">
        <v>6677</v>
      </c>
      <c r="BC317" t="s">
        <v>6677</v>
      </c>
      <c r="BD317" t="s">
        <v>74</v>
      </c>
      <c r="BE317" t="s">
        <v>74</v>
      </c>
      <c r="BF317" t="s">
        <v>74</v>
      </c>
      <c r="BG317" t="s">
        <v>74</v>
      </c>
      <c r="BH317" t="s">
        <v>74</v>
      </c>
      <c r="BI317">
        <v>1</v>
      </c>
      <c r="BJ317" t="s">
        <v>6678</v>
      </c>
      <c r="BK317" t="s">
        <v>6679</v>
      </c>
      <c r="BL317" t="s">
        <v>6678</v>
      </c>
      <c r="BM317" t="s">
        <v>6680</v>
      </c>
      <c r="BN317" t="s">
        <v>74</v>
      </c>
      <c r="BO317" t="s">
        <v>74</v>
      </c>
      <c r="BP317" t="s">
        <v>74</v>
      </c>
      <c r="BQ317" t="s">
        <v>74</v>
      </c>
      <c r="BR317" t="s">
        <v>103</v>
      </c>
      <c r="BS317" t="s">
        <v>6681</v>
      </c>
      <c r="BT317" t="str">
        <f>HYPERLINK("https%3A%2F%2Fwww.webofscience.com%2Fwos%2Fwoscc%2Ffull-record%2FWOS:000802569200093","View Full Record in Web of Science")</f>
        <v>View Full Record in Web of Science</v>
      </c>
    </row>
    <row r="318" spans="1:72" x14ac:dyDescent="0.15">
      <c r="A318" t="s">
        <v>72</v>
      </c>
      <c r="B318" t="s">
        <v>6682</v>
      </c>
      <c r="C318" t="s">
        <v>74</v>
      </c>
      <c r="D318" t="s">
        <v>74</v>
      </c>
      <c r="E318" t="s">
        <v>74</v>
      </c>
      <c r="F318" t="s">
        <v>6683</v>
      </c>
      <c r="G318" t="s">
        <v>74</v>
      </c>
      <c r="H318" t="s">
        <v>74</v>
      </c>
      <c r="I318" t="s">
        <v>6684</v>
      </c>
      <c r="J318" t="s">
        <v>6685</v>
      </c>
      <c r="K318" t="s">
        <v>74</v>
      </c>
      <c r="L318" t="s">
        <v>74</v>
      </c>
      <c r="M318" t="s">
        <v>78</v>
      </c>
      <c r="N318" t="s">
        <v>79</v>
      </c>
      <c r="O318" t="s">
        <v>74</v>
      </c>
      <c r="P318" t="s">
        <v>74</v>
      </c>
      <c r="Q318" t="s">
        <v>74</v>
      </c>
      <c r="R318" t="s">
        <v>74</v>
      </c>
      <c r="S318" t="s">
        <v>74</v>
      </c>
      <c r="T318" t="s">
        <v>6686</v>
      </c>
      <c r="U318" t="s">
        <v>6687</v>
      </c>
      <c r="V318" t="s">
        <v>6688</v>
      </c>
      <c r="W318" t="s">
        <v>6689</v>
      </c>
      <c r="X318" t="s">
        <v>6690</v>
      </c>
      <c r="Y318" t="s">
        <v>6691</v>
      </c>
      <c r="Z318" t="s">
        <v>6692</v>
      </c>
      <c r="AA318" t="s">
        <v>74</v>
      </c>
      <c r="AB318" t="s">
        <v>6693</v>
      </c>
      <c r="AC318" t="s">
        <v>6694</v>
      </c>
      <c r="AD318" t="s">
        <v>6695</v>
      </c>
      <c r="AE318" t="s">
        <v>6696</v>
      </c>
      <c r="AF318" t="s">
        <v>74</v>
      </c>
      <c r="AG318">
        <v>87</v>
      </c>
      <c r="AH318">
        <v>8</v>
      </c>
      <c r="AI318">
        <v>9</v>
      </c>
      <c r="AJ318">
        <v>0</v>
      </c>
      <c r="AK318">
        <v>12</v>
      </c>
      <c r="AL318" t="s">
        <v>1766</v>
      </c>
      <c r="AM318" t="s">
        <v>1767</v>
      </c>
      <c r="AN318" t="s">
        <v>1768</v>
      </c>
      <c r="AO318" t="s">
        <v>74</v>
      </c>
      <c r="AP318" t="s">
        <v>6697</v>
      </c>
      <c r="AQ318" t="s">
        <v>74</v>
      </c>
      <c r="AR318" t="s">
        <v>6698</v>
      </c>
      <c r="AS318" t="s">
        <v>6699</v>
      </c>
      <c r="AT318" t="s">
        <v>5076</v>
      </c>
      <c r="AU318">
        <v>2022</v>
      </c>
      <c r="AV318">
        <v>8</v>
      </c>
      <c r="AW318">
        <v>5</v>
      </c>
      <c r="AX318" t="s">
        <v>74</v>
      </c>
      <c r="AY318" t="s">
        <v>74</v>
      </c>
      <c r="AZ318" t="s">
        <v>74</v>
      </c>
      <c r="BA318" t="s">
        <v>74</v>
      </c>
      <c r="BB318" t="s">
        <v>74</v>
      </c>
      <c r="BC318" t="s">
        <v>74</v>
      </c>
      <c r="BD318">
        <v>490</v>
      </c>
      <c r="BE318" t="s">
        <v>6700</v>
      </c>
      <c r="BF318" t="str">
        <f>HYPERLINK("http://dx.doi.org/10.3390/jof8050490","http://dx.doi.org/10.3390/jof8050490")</f>
        <v>http://dx.doi.org/10.3390/jof8050490</v>
      </c>
      <c r="BG318" t="s">
        <v>74</v>
      </c>
      <c r="BH318" t="s">
        <v>74</v>
      </c>
      <c r="BI318">
        <v>18</v>
      </c>
      <c r="BJ318" t="s">
        <v>6701</v>
      </c>
      <c r="BK318" t="s">
        <v>101</v>
      </c>
      <c r="BL318" t="s">
        <v>6701</v>
      </c>
      <c r="BM318" t="s">
        <v>6702</v>
      </c>
      <c r="BN318">
        <v>35628746</v>
      </c>
      <c r="BO318" t="s">
        <v>295</v>
      </c>
      <c r="BP318" t="s">
        <v>74</v>
      </c>
      <c r="BQ318" t="s">
        <v>74</v>
      </c>
      <c r="BR318" t="s">
        <v>103</v>
      </c>
      <c r="BS318" t="s">
        <v>6703</v>
      </c>
      <c r="BT318" t="str">
        <f>HYPERLINK("https%3A%2F%2Fwww.webofscience.com%2Fwos%2Fwoscc%2Ffull-record%2FWOS:000804900800001","View Full Record in Web of Science")</f>
        <v>View Full Record in Web of Science</v>
      </c>
    </row>
    <row r="319" spans="1:72" x14ac:dyDescent="0.15">
      <c r="A319" t="s">
        <v>72</v>
      </c>
      <c r="B319" t="s">
        <v>6704</v>
      </c>
      <c r="C319" t="s">
        <v>74</v>
      </c>
      <c r="D319" t="s">
        <v>74</v>
      </c>
      <c r="E319" t="s">
        <v>74</v>
      </c>
      <c r="F319" t="s">
        <v>6705</v>
      </c>
      <c r="G319" t="s">
        <v>74</v>
      </c>
      <c r="H319" t="s">
        <v>74</v>
      </c>
      <c r="I319" t="s">
        <v>6706</v>
      </c>
      <c r="J319" t="s">
        <v>1780</v>
      </c>
      <c r="K319" t="s">
        <v>74</v>
      </c>
      <c r="L319" t="s">
        <v>74</v>
      </c>
      <c r="M319" t="s">
        <v>78</v>
      </c>
      <c r="N319" t="s">
        <v>79</v>
      </c>
      <c r="O319" t="s">
        <v>74</v>
      </c>
      <c r="P319" t="s">
        <v>74</v>
      </c>
      <c r="Q319" t="s">
        <v>74</v>
      </c>
      <c r="R319" t="s">
        <v>74</v>
      </c>
      <c r="S319" t="s">
        <v>74</v>
      </c>
      <c r="T319" t="s">
        <v>6707</v>
      </c>
      <c r="U319" t="s">
        <v>6708</v>
      </c>
      <c r="V319" t="s">
        <v>6709</v>
      </c>
      <c r="W319" t="s">
        <v>6710</v>
      </c>
      <c r="X319" t="s">
        <v>6711</v>
      </c>
      <c r="Y319" t="s">
        <v>6712</v>
      </c>
      <c r="Z319" t="s">
        <v>6713</v>
      </c>
      <c r="AA319" t="s">
        <v>6714</v>
      </c>
      <c r="AB319" t="s">
        <v>6715</v>
      </c>
      <c r="AC319" t="s">
        <v>6716</v>
      </c>
      <c r="AD319" t="s">
        <v>6717</v>
      </c>
      <c r="AE319" t="s">
        <v>6718</v>
      </c>
      <c r="AF319" t="s">
        <v>74</v>
      </c>
      <c r="AG319">
        <v>61</v>
      </c>
      <c r="AH319">
        <v>2</v>
      </c>
      <c r="AI319">
        <v>2</v>
      </c>
      <c r="AJ319">
        <v>4</v>
      </c>
      <c r="AK319">
        <v>21</v>
      </c>
      <c r="AL319" t="s">
        <v>1766</v>
      </c>
      <c r="AM319" t="s">
        <v>1767</v>
      </c>
      <c r="AN319" t="s">
        <v>1768</v>
      </c>
      <c r="AO319" t="s">
        <v>74</v>
      </c>
      <c r="AP319" t="s">
        <v>1793</v>
      </c>
      <c r="AQ319" t="s">
        <v>74</v>
      </c>
      <c r="AR319" t="s">
        <v>1794</v>
      </c>
      <c r="AS319" t="s">
        <v>1795</v>
      </c>
      <c r="AT319" t="s">
        <v>5076</v>
      </c>
      <c r="AU319">
        <v>2022</v>
      </c>
      <c r="AV319">
        <v>13</v>
      </c>
      <c r="AW319">
        <v>5</v>
      </c>
      <c r="AX319" t="s">
        <v>74</v>
      </c>
      <c r="AY319" t="s">
        <v>74</v>
      </c>
      <c r="AZ319" t="s">
        <v>74</v>
      </c>
      <c r="BA319" t="s">
        <v>74</v>
      </c>
      <c r="BB319" t="s">
        <v>74</v>
      </c>
      <c r="BC319" t="s">
        <v>74</v>
      </c>
      <c r="BD319">
        <v>687</v>
      </c>
      <c r="BE319" t="s">
        <v>6719</v>
      </c>
      <c r="BF319" t="str">
        <f>HYPERLINK("http://dx.doi.org/10.3390/atmos13050687","http://dx.doi.org/10.3390/atmos13050687")</f>
        <v>http://dx.doi.org/10.3390/atmos13050687</v>
      </c>
      <c r="BG319" t="s">
        <v>74</v>
      </c>
      <c r="BH319" t="s">
        <v>74</v>
      </c>
      <c r="BI319">
        <v>20</v>
      </c>
      <c r="BJ319" t="s">
        <v>1797</v>
      </c>
      <c r="BK319" t="s">
        <v>101</v>
      </c>
      <c r="BL319" t="s">
        <v>957</v>
      </c>
      <c r="BM319" t="s">
        <v>6720</v>
      </c>
      <c r="BN319" t="s">
        <v>74</v>
      </c>
      <c r="BO319" t="s">
        <v>128</v>
      </c>
      <c r="BP319" t="s">
        <v>74</v>
      </c>
      <c r="BQ319" t="s">
        <v>74</v>
      </c>
      <c r="BR319" t="s">
        <v>103</v>
      </c>
      <c r="BS319" t="s">
        <v>6721</v>
      </c>
      <c r="BT319" t="str">
        <f>HYPERLINK("https%3A%2F%2Fwww.webofscience.com%2Fwos%2Fwoscc%2Ffull-record%2FWOS:000804330700001","View Full Record in Web of Science")</f>
        <v>View Full Record in Web of Science</v>
      </c>
    </row>
    <row r="320" spans="1:72" x14ac:dyDescent="0.15">
      <c r="A320" t="s">
        <v>72</v>
      </c>
      <c r="B320" t="s">
        <v>6722</v>
      </c>
      <c r="C320" t="s">
        <v>74</v>
      </c>
      <c r="D320" t="s">
        <v>74</v>
      </c>
      <c r="E320" t="s">
        <v>74</v>
      </c>
      <c r="F320" t="s">
        <v>6723</v>
      </c>
      <c r="G320" t="s">
        <v>74</v>
      </c>
      <c r="H320" t="s">
        <v>74</v>
      </c>
      <c r="I320" t="s">
        <v>6724</v>
      </c>
      <c r="J320" t="s">
        <v>6725</v>
      </c>
      <c r="K320" t="s">
        <v>74</v>
      </c>
      <c r="L320" t="s">
        <v>74</v>
      </c>
      <c r="M320" t="s">
        <v>78</v>
      </c>
      <c r="N320" t="s">
        <v>161</v>
      </c>
      <c r="O320" t="s">
        <v>74</v>
      </c>
      <c r="P320" t="s">
        <v>74</v>
      </c>
      <c r="Q320" t="s">
        <v>74</v>
      </c>
      <c r="R320" t="s">
        <v>74</v>
      </c>
      <c r="S320" t="s">
        <v>74</v>
      </c>
      <c r="T320" t="s">
        <v>6726</v>
      </c>
      <c r="U320" t="s">
        <v>6727</v>
      </c>
      <c r="V320" t="s">
        <v>6728</v>
      </c>
      <c r="W320" t="s">
        <v>6729</v>
      </c>
      <c r="X320" t="s">
        <v>6730</v>
      </c>
      <c r="Y320" t="s">
        <v>6731</v>
      </c>
      <c r="Z320" t="s">
        <v>6732</v>
      </c>
      <c r="AA320" t="s">
        <v>6733</v>
      </c>
      <c r="AB320" t="s">
        <v>6734</v>
      </c>
      <c r="AC320" t="s">
        <v>6735</v>
      </c>
      <c r="AD320" t="s">
        <v>6736</v>
      </c>
      <c r="AE320" t="s">
        <v>6737</v>
      </c>
      <c r="AF320" t="s">
        <v>74</v>
      </c>
      <c r="AG320">
        <v>36</v>
      </c>
      <c r="AH320">
        <v>1</v>
      </c>
      <c r="AI320">
        <v>1</v>
      </c>
      <c r="AJ320">
        <v>3</v>
      </c>
      <c r="AK320">
        <v>13</v>
      </c>
      <c r="AL320" t="s">
        <v>1766</v>
      </c>
      <c r="AM320" t="s">
        <v>1767</v>
      </c>
      <c r="AN320" t="s">
        <v>1768</v>
      </c>
      <c r="AO320" t="s">
        <v>74</v>
      </c>
      <c r="AP320" t="s">
        <v>6738</v>
      </c>
      <c r="AQ320" t="s">
        <v>74</v>
      </c>
      <c r="AR320" t="s">
        <v>6739</v>
      </c>
      <c r="AS320" t="s">
        <v>6740</v>
      </c>
      <c r="AT320" t="s">
        <v>5076</v>
      </c>
      <c r="AU320">
        <v>2022</v>
      </c>
      <c r="AV320">
        <v>12</v>
      </c>
      <c r="AW320">
        <v>5</v>
      </c>
      <c r="AX320" t="s">
        <v>74</v>
      </c>
      <c r="AY320" t="s">
        <v>74</v>
      </c>
      <c r="AZ320" t="s">
        <v>74</v>
      </c>
      <c r="BA320" t="s">
        <v>74</v>
      </c>
      <c r="BB320" t="s">
        <v>74</v>
      </c>
      <c r="BC320" t="s">
        <v>74</v>
      </c>
      <c r="BD320">
        <v>619</v>
      </c>
      <c r="BE320" t="s">
        <v>6741</v>
      </c>
      <c r="BF320" t="str">
        <f>HYPERLINK("http://dx.doi.org/10.3390/min12050619","http://dx.doi.org/10.3390/min12050619")</f>
        <v>http://dx.doi.org/10.3390/min12050619</v>
      </c>
      <c r="BG320" t="s">
        <v>74</v>
      </c>
      <c r="BH320" t="s">
        <v>74</v>
      </c>
      <c r="BI320">
        <v>11</v>
      </c>
      <c r="BJ320" t="s">
        <v>6742</v>
      </c>
      <c r="BK320" t="s">
        <v>101</v>
      </c>
      <c r="BL320" t="s">
        <v>6742</v>
      </c>
      <c r="BM320" t="s">
        <v>6743</v>
      </c>
      <c r="BN320" t="s">
        <v>74</v>
      </c>
      <c r="BO320" t="s">
        <v>438</v>
      </c>
      <c r="BP320" t="s">
        <v>74</v>
      </c>
      <c r="BQ320" t="s">
        <v>74</v>
      </c>
      <c r="BR320" t="s">
        <v>103</v>
      </c>
      <c r="BS320" t="s">
        <v>6744</v>
      </c>
      <c r="BT320" t="str">
        <f>HYPERLINK("https%3A%2F%2Fwww.webofscience.com%2Fwos%2Fwoscc%2Ffull-record%2FWOS:000804894000001","View Full Record in Web of Science")</f>
        <v>View Full Record in Web of Science</v>
      </c>
    </row>
    <row r="321" spans="1:72" x14ac:dyDescent="0.15">
      <c r="A321" t="s">
        <v>72</v>
      </c>
      <c r="B321" t="s">
        <v>6745</v>
      </c>
      <c r="C321" t="s">
        <v>74</v>
      </c>
      <c r="D321" t="s">
        <v>74</v>
      </c>
      <c r="E321" t="s">
        <v>74</v>
      </c>
      <c r="F321" t="s">
        <v>6746</v>
      </c>
      <c r="G321" t="s">
        <v>74</v>
      </c>
      <c r="H321" t="s">
        <v>74</v>
      </c>
      <c r="I321" t="s">
        <v>6747</v>
      </c>
      <c r="J321" t="s">
        <v>6748</v>
      </c>
      <c r="K321" t="s">
        <v>74</v>
      </c>
      <c r="L321" t="s">
        <v>74</v>
      </c>
      <c r="M321" t="s">
        <v>78</v>
      </c>
      <c r="N321" t="s">
        <v>79</v>
      </c>
      <c r="O321" t="s">
        <v>74</v>
      </c>
      <c r="P321" t="s">
        <v>74</v>
      </c>
      <c r="Q321" t="s">
        <v>74</v>
      </c>
      <c r="R321" t="s">
        <v>74</v>
      </c>
      <c r="S321" t="s">
        <v>74</v>
      </c>
      <c r="T321" t="s">
        <v>6749</v>
      </c>
      <c r="U321" t="s">
        <v>6750</v>
      </c>
      <c r="V321" t="s">
        <v>6751</v>
      </c>
      <c r="W321" t="s">
        <v>6752</v>
      </c>
      <c r="X321" t="s">
        <v>6753</v>
      </c>
      <c r="Y321" t="s">
        <v>6754</v>
      </c>
      <c r="Z321" t="s">
        <v>6755</v>
      </c>
      <c r="AA321" t="s">
        <v>6756</v>
      </c>
      <c r="AB321" t="s">
        <v>6757</v>
      </c>
      <c r="AC321" t="s">
        <v>6758</v>
      </c>
      <c r="AD321" t="s">
        <v>6759</v>
      </c>
      <c r="AE321" t="s">
        <v>6760</v>
      </c>
      <c r="AF321" t="s">
        <v>74</v>
      </c>
      <c r="AG321">
        <v>74</v>
      </c>
      <c r="AH321">
        <v>6</v>
      </c>
      <c r="AI321">
        <v>6</v>
      </c>
      <c r="AJ321">
        <v>6</v>
      </c>
      <c r="AK321">
        <v>19</v>
      </c>
      <c r="AL321" t="s">
        <v>2042</v>
      </c>
      <c r="AM321" t="s">
        <v>2043</v>
      </c>
      <c r="AN321" t="s">
        <v>2044</v>
      </c>
      <c r="AO321" t="s">
        <v>6761</v>
      </c>
      <c r="AP321" t="s">
        <v>6762</v>
      </c>
      <c r="AQ321" t="s">
        <v>74</v>
      </c>
      <c r="AR321" t="s">
        <v>6763</v>
      </c>
      <c r="AS321" t="s">
        <v>6764</v>
      </c>
      <c r="AT321" t="s">
        <v>5076</v>
      </c>
      <c r="AU321">
        <v>2022</v>
      </c>
      <c r="AV321">
        <v>37</v>
      </c>
      <c r="AW321">
        <v>5</v>
      </c>
      <c r="AX321" t="s">
        <v>74</v>
      </c>
      <c r="AY321" t="s">
        <v>74</v>
      </c>
      <c r="AZ321" t="s">
        <v>74</v>
      </c>
      <c r="BA321" t="s">
        <v>74</v>
      </c>
      <c r="BB321" t="s">
        <v>74</v>
      </c>
      <c r="BC321" t="s">
        <v>74</v>
      </c>
      <c r="BD321" t="s">
        <v>6765</v>
      </c>
      <c r="BE321" t="s">
        <v>6766</v>
      </c>
      <c r="BF321" t="str">
        <f>HYPERLINK("http://dx.doi.org/10.1029/2021PA004372","http://dx.doi.org/10.1029/2021PA004372")</f>
        <v>http://dx.doi.org/10.1029/2021PA004372</v>
      </c>
      <c r="BG321" t="s">
        <v>74</v>
      </c>
      <c r="BH321" t="s">
        <v>74</v>
      </c>
      <c r="BI321">
        <v>14</v>
      </c>
      <c r="BJ321" t="s">
        <v>6767</v>
      </c>
      <c r="BK321" t="s">
        <v>101</v>
      </c>
      <c r="BL321" t="s">
        <v>6768</v>
      </c>
      <c r="BM321" t="s">
        <v>6769</v>
      </c>
      <c r="BN321" t="s">
        <v>74</v>
      </c>
      <c r="BO321" t="s">
        <v>590</v>
      </c>
      <c r="BP321" t="s">
        <v>74</v>
      </c>
      <c r="BQ321" t="s">
        <v>74</v>
      </c>
      <c r="BR321" t="s">
        <v>103</v>
      </c>
      <c r="BS321" t="s">
        <v>6770</v>
      </c>
      <c r="BT321" t="str">
        <f>HYPERLINK("https%3A%2F%2Fwww.webofscience.com%2Fwos%2Fwoscc%2Ffull-record%2FWOS:000804166300001","View Full Record in Web of Science")</f>
        <v>View Full Record in Web of Science</v>
      </c>
    </row>
    <row r="322" spans="1:72" x14ac:dyDescent="0.15">
      <c r="A322" t="s">
        <v>72</v>
      </c>
      <c r="B322" t="s">
        <v>6771</v>
      </c>
      <c r="C322" t="s">
        <v>74</v>
      </c>
      <c r="D322" t="s">
        <v>74</v>
      </c>
      <c r="E322" t="s">
        <v>74</v>
      </c>
      <c r="F322" t="s">
        <v>6772</v>
      </c>
      <c r="G322" t="s">
        <v>74</v>
      </c>
      <c r="H322" t="s">
        <v>74</v>
      </c>
      <c r="I322" t="s">
        <v>6773</v>
      </c>
      <c r="J322" t="s">
        <v>6774</v>
      </c>
      <c r="K322" t="s">
        <v>74</v>
      </c>
      <c r="L322" t="s">
        <v>74</v>
      </c>
      <c r="M322" t="s">
        <v>78</v>
      </c>
      <c r="N322" t="s">
        <v>161</v>
      </c>
      <c r="O322" t="s">
        <v>74</v>
      </c>
      <c r="P322" t="s">
        <v>74</v>
      </c>
      <c r="Q322" t="s">
        <v>74</v>
      </c>
      <c r="R322" t="s">
        <v>74</v>
      </c>
      <c r="S322" t="s">
        <v>74</v>
      </c>
      <c r="T322" t="s">
        <v>6775</v>
      </c>
      <c r="U322" t="s">
        <v>6776</v>
      </c>
      <c r="V322" t="s">
        <v>6777</v>
      </c>
      <c r="W322" t="s">
        <v>6778</v>
      </c>
      <c r="X322" t="s">
        <v>6779</v>
      </c>
      <c r="Y322" t="s">
        <v>6780</v>
      </c>
      <c r="Z322" t="s">
        <v>6781</v>
      </c>
      <c r="AA322" t="s">
        <v>6782</v>
      </c>
      <c r="AB322" t="s">
        <v>6783</v>
      </c>
      <c r="AC322" t="s">
        <v>6784</v>
      </c>
      <c r="AD322" t="s">
        <v>6785</v>
      </c>
      <c r="AE322" t="s">
        <v>6786</v>
      </c>
      <c r="AF322" t="s">
        <v>74</v>
      </c>
      <c r="AG322">
        <v>190</v>
      </c>
      <c r="AH322">
        <v>6</v>
      </c>
      <c r="AI322">
        <v>6</v>
      </c>
      <c r="AJ322">
        <v>3</v>
      </c>
      <c r="AK322">
        <v>8</v>
      </c>
      <c r="AL322" t="s">
        <v>1766</v>
      </c>
      <c r="AM322" t="s">
        <v>1767</v>
      </c>
      <c r="AN322" t="s">
        <v>1768</v>
      </c>
      <c r="AO322" t="s">
        <v>74</v>
      </c>
      <c r="AP322" t="s">
        <v>6787</v>
      </c>
      <c r="AQ322" t="s">
        <v>74</v>
      </c>
      <c r="AR322" t="s">
        <v>6788</v>
      </c>
      <c r="AS322" t="s">
        <v>6789</v>
      </c>
      <c r="AT322" t="s">
        <v>5076</v>
      </c>
      <c r="AU322">
        <v>2022</v>
      </c>
      <c r="AV322">
        <v>11</v>
      </c>
      <c r="AW322">
        <v>5</v>
      </c>
      <c r="AX322" t="s">
        <v>74</v>
      </c>
      <c r="AY322" t="s">
        <v>74</v>
      </c>
      <c r="AZ322" t="s">
        <v>74</v>
      </c>
      <c r="BA322" t="s">
        <v>74</v>
      </c>
      <c r="BB322" t="s">
        <v>74</v>
      </c>
      <c r="BC322" t="s">
        <v>74</v>
      </c>
      <c r="BD322">
        <v>957</v>
      </c>
      <c r="BE322" t="s">
        <v>6790</v>
      </c>
      <c r="BF322" t="str">
        <f>HYPERLINK("http://dx.doi.org/10.3390/antiox11050957","http://dx.doi.org/10.3390/antiox11050957")</f>
        <v>http://dx.doi.org/10.3390/antiox11050957</v>
      </c>
      <c r="BG322" t="s">
        <v>74</v>
      </c>
      <c r="BH322" t="s">
        <v>74</v>
      </c>
      <c r="BI322">
        <v>22</v>
      </c>
      <c r="BJ322" t="s">
        <v>6791</v>
      </c>
      <c r="BK322" t="s">
        <v>101</v>
      </c>
      <c r="BL322" t="s">
        <v>6792</v>
      </c>
      <c r="BM322" t="s">
        <v>6793</v>
      </c>
      <c r="BN322">
        <v>35624821</v>
      </c>
      <c r="BO322" t="s">
        <v>1533</v>
      </c>
      <c r="BP322" t="s">
        <v>74</v>
      </c>
      <c r="BQ322" t="s">
        <v>74</v>
      </c>
      <c r="BR322" t="s">
        <v>103</v>
      </c>
      <c r="BS322" t="s">
        <v>6794</v>
      </c>
      <c r="BT322" t="str">
        <f>HYPERLINK("https%3A%2F%2Fwww.webofscience.com%2Fwos%2Fwoscc%2Ffull-record%2FWOS:000803490700001","View Full Record in Web of Science")</f>
        <v>View Full Record in Web of Science</v>
      </c>
    </row>
    <row r="323" spans="1:72" x14ac:dyDescent="0.15">
      <c r="A323" t="s">
        <v>72</v>
      </c>
      <c r="B323" t="s">
        <v>6795</v>
      </c>
      <c r="C323" t="s">
        <v>74</v>
      </c>
      <c r="D323" t="s">
        <v>74</v>
      </c>
      <c r="E323" t="s">
        <v>74</v>
      </c>
      <c r="F323" t="s">
        <v>6796</v>
      </c>
      <c r="G323" t="s">
        <v>74</v>
      </c>
      <c r="H323" t="s">
        <v>74</v>
      </c>
      <c r="I323" t="s">
        <v>6797</v>
      </c>
      <c r="J323" t="s">
        <v>1780</v>
      </c>
      <c r="K323" t="s">
        <v>74</v>
      </c>
      <c r="L323" t="s">
        <v>74</v>
      </c>
      <c r="M323" t="s">
        <v>78</v>
      </c>
      <c r="N323" t="s">
        <v>79</v>
      </c>
      <c r="O323" t="s">
        <v>74</v>
      </c>
      <c r="P323" t="s">
        <v>74</v>
      </c>
      <c r="Q323" t="s">
        <v>74</v>
      </c>
      <c r="R323" t="s">
        <v>74</v>
      </c>
      <c r="S323" t="s">
        <v>74</v>
      </c>
      <c r="T323" t="s">
        <v>6798</v>
      </c>
      <c r="U323" t="s">
        <v>6799</v>
      </c>
      <c r="V323" t="s">
        <v>6800</v>
      </c>
      <c r="W323" t="s">
        <v>6801</v>
      </c>
      <c r="X323" t="s">
        <v>74</v>
      </c>
      <c r="Y323" t="s">
        <v>6802</v>
      </c>
      <c r="Z323" t="s">
        <v>6803</v>
      </c>
      <c r="AA323" t="s">
        <v>6804</v>
      </c>
      <c r="AB323" t="s">
        <v>6805</v>
      </c>
      <c r="AC323" t="s">
        <v>6806</v>
      </c>
      <c r="AD323" t="s">
        <v>6807</v>
      </c>
      <c r="AE323" t="s">
        <v>6808</v>
      </c>
      <c r="AF323" t="s">
        <v>74</v>
      </c>
      <c r="AG323">
        <v>63</v>
      </c>
      <c r="AH323">
        <v>1</v>
      </c>
      <c r="AI323">
        <v>1</v>
      </c>
      <c r="AJ323">
        <v>2</v>
      </c>
      <c r="AK323">
        <v>6</v>
      </c>
      <c r="AL323" t="s">
        <v>1766</v>
      </c>
      <c r="AM323" t="s">
        <v>1767</v>
      </c>
      <c r="AN323" t="s">
        <v>1768</v>
      </c>
      <c r="AO323" t="s">
        <v>74</v>
      </c>
      <c r="AP323" t="s">
        <v>1793</v>
      </c>
      <c r="AQ323" t="s">
        <v>74</v>
      </c>
      <c r="AR323" t="s">
        <v>1794</v>
      </c>
      <c r="AS323" t="s">
        <v>1795</v>
      </c>
      <c r="AT323" t="s">
        <v>5076</v>
      </c>
      <c r="AU323">
        <v>2022</v>
      </c>
      <c r="AV323">
        <v>13</v>
      </c>
      <c r="AW323">
        <v>5</v>
      </c>
      <c r="AX323" t="s">
        <v>74</v>
      </c>
      <c r="AY323" t="s">
        <v>74</v>
      </c>
      <c r="AZ323" t="s">
        <v>74</v>
      </c>
      <c r="BA323" t="s">
        <v>74</v>
      </c>
      <c r="BB323" t="s">
        <v>74</v>
      </c>
      <c r="BC323" t="s">
        <v>74</v>
      </c>
      <c r="BD323">
        <v>682</v>
      </c>
      <c r="BE323" t="s">
        <v>6809</v>
      </c>
      <c r="BF323" t="str">
        <f>HYPERLINK("http://dx.doi.org/10.3390/atmos13050682","http://dx.doi.org/10.3390/atmos13050682")</f>
        <v>http://dx.doi.org/10.3390/atmos13050682</v>
      </c>
      <c r="BG323" t="s">
        <v>74</v>
      </c>
      <c r="BH323" t="s">
        <v>74</v>
      </c>
      <c r="BI323">
        <v>24</v>
      </c>
      <c r="BJ323" t="s">
        <v>1797</v>
      </c>
      <c r="BK323" t="s">
        <v>101</v>
      </c>
      <c r="BL323" t="s">
        <v>957</v>
      </c>
      <c r="BM323" t="s">
        <v>6810</v>
      </c>
      <c r="BN323" t="s">
        <v>74</v>
      </c>
      <c r="BO323" t="s">
        <v>438</v>
      </c>
      <c r="BP323" t="s">
        <v>74</v>
      </c>
      <c r="BQ323" t="s">
        <v>74</v>
      </c>
      <c r="BR323" t="s">
        <v>103</v>
      </c>
      <c r="BS323" t="s">
        <v>6811</v>
      </c>
      <c r="BT323" t="str">
        <f>HYPERLINK("https%3A%2F%2Fwww.webofscience.com%2Fwos%2Fwoscc%2Ffull-record%2FWOS:000803392600001","View Full Record in Web of Science")</f>
        <v>View Full Record in Web of Science</v>
      </c>
    </row>
    <row r="324" spans="1:72" x14ac:dyDescent="0.15">
      <c r="A324" t="s">
        <v>72</v>
      </c>
      <c r="B324" t="s">
        <v>6812</v>
      </c>
      <c r="C324" t="s">
        <v>74</v>
      </c>
      <c r="D324" t="s">
        <v>74</v>
      </c>
      <c r="E324" t="s">
        <v>74</v>
      </c>
      <c r="F324" t="s">
        <v>6813</v>
      </c>
      <c r="G324" t="s">
        <v>74</v>
      </c>
      <c r="H324" t="s">
        <v>74</v>
      </c>
      <c r="I324" t="s">
        <v>6814</v>
      </c>
      <c r="J324" t="s">
        <v>1848</v>
      </c>
      <c r="K324" t="s">
        <v>74</v>
      </c>
      <c r="L324" t="s">
        <v>74</v>
      </c>
      <c r="M324" t="s">
        <v>78</v>
      </c>
      <c r="N324" t="s">
        <v>79</v>
      </c>
      <c r="O324" t="s">
        <v>74</v>
      </c>
      <c r="P324" t="s">
        <v>74</v>
      </c>
      <c r="Q324" t="s">
        <v>74</v>
      </c>
      <c r="R324" t="s">
        <v>74</v>
      </c>
      <c r="S324" t="s">
        <v>74</v>
      </c>
      <c r="T324" t="s">
        <v>6815</v>
      </c>
      <c r="U324" t="s">
        <v>6816</v>
      </c>
      <c r="V324" t="s">
        <v>6817</v>
      </c>
      <c r="W324" t="s">
        <v>6818</v>
      </c>
      <c r="X324" t="s">
        <v>6819</v>
      </c>
      <c r="Y324" t="s">
        <v>6820</v>
      </c>
      <c r="Z324" t="s">
        <v>6821</v>
      </c>
      <c r="AA324" t="s">
        <v>74</v>
      </c>
      <c r="AB324" t="s">
        <v>6822</v>
      </c>
      <c r="AC324" t="s">
        <v>6823</v>
      </c>
      <c r="AD324" t="s">
        <v>6823</v>
      </c>
      <c r="AE324" t="s">
        <v>6824</v>
      </c>
      <c r="AF324" t="s">
        <v>74</v>
      </c>
      <c r="AG324">
        <v>74</v>
      </c>
      <c r="AH324">
        <v>6</v>
      </c>
      <c r="AI324">
        <v>7</v>
      </c>
      <c r="AJ324">
        <v>1</v>
      </c>
      <c r="AK324">
        <v>10</v>
      </c>
      <c r="AL324" t="s">
        <v>1766</v>
      </c>
      <c r="AM324" t="s">
        <v>1767</v>
      </c>
      <c r="AN324" t="s">
        <v>1768</v>
      </c>
      <c r="AO324" t="s">
        <v>74</v>
      </c>
      <c r="AP324" t="s">
        <v>1859</v>
      </c>
      <c r="AQ324" t="s">
        <v>74</v>
      </c>
      <c r="AR324" t="s">
        <v>1848</v>
      </c>
      <c r="AS324" t="s">
        <v>1860</v>
      </c>
      <c r="AT324" t="s">
        <v>5076</v>
      </c>
      <c r="AU324">
        <v>2022</v>
      </c>
      <c r="AV324">
        <v>14</v>
      </c>
      <c r="AW324">
        <v>5</v>
      </c>
      <c r="AX324" t="s">
        <v>74</v>
      </c>
      <c r="AY324" t="s">
        <v>74</v>
      </c>
      <c r="AZ324" t="s">
        <v>74</v>
      </c>
      <c r="BA324" t="s">
        <v>74</v>
      </c>
      <c r="BB324" t="s">
        <v>74</v>
      </c>
      <c r="BC324" t="s">
        <v>74</v>
      </c>
      <c r="BD324">
        <v>355</v>
      </c>
      <c r="BE324" t="s">
        <v>6825</v>
      </c>
      <c r="BF324" t="str">
        <f>HYPERLINK("http://dx.doi.org/10.3390/d14050355","http://dx.doi.org/10.3390/d14050355")</f>
        <v>http://dx.doi.org/10.3390/d14050355</v>
      </c>
      <c r="BG324" t="s">
        <v>74</v>
      </c>
      <c r="BH324" t="s">
        <v>74</v>
      </c>
      <c r="BI324">
        <v>15</v>
      </c>
      <c r="BJ324" t="s">
        <v>539</v>
      </c>
      <c r="BK324" t="s">
        <v>101</v>
      </c>
      <c r="BL324" t="s">
        <v>540</v>
      </c>
      <c r="BM324" t="s">
        <v>6826</v>
      </c>
      <c r="BN324" t="s">
        <v>74</v>
      </c>
      <c r="BO324" t="s">
        <v>438</v>
      </c>
      <c r="BP324" t="s">
        <v>74</v>
      </c>
      <c r="BQ324" t="s">
        <v>74</v>
      </c>
      <c r="BR324" t="s">
        <v>103</v>
      </c>
      <c r="BS324" t="s">
        <v>6827</v>
      </c>
      <c r="BT324" t="str">
        <f>HYPERLINK("https%3A%2F%2Fwww.webofscience.com%2Fwos%2Fwoscc%2Ffull-record%2FWOS:000803632200001","View Full Record in Web of Science")</f>
        <v>View Full Record in Web of Science</v>
      </c>
    </row>
    <row r="325" spans="1:72" x14ac:dyDescent="0.15">
      <c r="A325" t="s">
        <v>72</v>
      </c>
      <c r="B325" t="s">
        <v>6828</v>
      </c>
      <c r="C325" t="s">
        <v>74</v>
      </c>
      <c r="D325" t="s">
        <v>74</v>
      </c>
      <c r="E325" t="s">
        <v>74</v>
      </c>
      <c r="F325" t="s">
        <v>6829</v>
      </c>
      <c r="G325" t="s">
        <v>74</v>
      </c>
      <c r="H325" t="s">
        <v>74</v>
      </c>
      <c r="I325" t="s">
        <v>6830</v>
      </c>
      <c r="J325" t="s">
        <v>6831</v>
      </c>
      <c r="K325" t="s">
        <v>74</v>
      </c>
      <c r="L325" t="s">
        <v>74</v>
      </c>
      <c r="M325" t="s">
        <v>78</v>
      </c>
      <c r="N325" t="s">
        <v>79</v>
      </c>
      <c r="O325" t="s">
        <v>74</v>
      </c>
      <c r="P325" t="s">
        <v>74</v>
      </c>
      <c r="Q325" t="s">
        <v>74</v>
      </c>
      <c r="R325" t="s">
        <v>74</v>
      </c>
      <c r="S325" t="s">
        <v>74</v>
      </c>
      <c r="T325" t="s">
        <v>6832</v>
      </c>
      <c r="U325" t="s">
        <v>6833</v>
      </c>
      <c r="V325" t="s">
        <v>6834</v>
      </c>
      <c r="W325" t="s">
        <v>6835</v>
      </c>
      <c r="X325" t="s">
        <v>6836</v>
      </c>
      <c r="Y325" t="s">
        <v>6837</v>
      </c>
      <c r="Z325" t="s">
        <v>6838</v>
      </c>
      <c r="AA325" t="s">
        <v>6839</v>
      </c>
      <c r="AB325" t="s">
        <v>6840</v>
      </c>
      <c r="AC325" t="s">
        <v>6841</v>
      </c>
      <c r="AD325" t="s">
        <v>6842</v>
      </c>
      <c r="AE325" t="s">
        <v>6843</v>
      </c>
      <c r="AF325" t="s">
        <v>74</v>
      </c>
      <c r="AG325">
        <v>79</v>
      </c>
      <c r="AH325">
        <v>7</v>
      </c>
      <c r="AI325">
        <v>7</v>
      </c>
      <c r="AJ325">
        <v>2</v>
      </c>
      <c r="AK325">
        <v>16</v>
      </c>
      <c r="AL325" t="s">
        <v>1766</v>
      </c>
      <c r="AM325" t="s">
        <v>1767</v>
      </c>
      <c r="AN325" t="s">
        <v>1768</v>
      </c>
      <c r="AO325" t="s">
        <v>74</v>
      </c>
      <c r="AP325" t="s">
        <v>6844</v>
      </c>
      <c r="AQ325" t="s">
        <v>74</v>
      </c>
      <c r="AR325" t="s">
        <v>6831</v>
      </c>
      <c r="AS325" t="s">
        <v>6845</v>
      </c>
      <c r="AT325" t="s">
        <v>5076</v>
      </c>
      <c r="AU325">
        <v>2022</v>
      </c>
      <c r="AV325">
        <v>10</v>
      </c>
      <c r="AW325">
        <v>5</v>
      </c>
      <c r="AX325" t="s">
        <v>74</v>
      </c>
      <c r="AY325" t="s">
        <v>74</v>
      </c>
      <c r="AZ325" t="s">
        <v>74</v>
      </c>
      <c r="BA325" t="s">
        <v>74</v>
      </c>
      <c r="BB325" t="s">
        <v>74</v>
      </c>
      <c r="BC325" t="s">
        <v>74</v>
      </c>
      <c r="BD325">
        <v>873</v>
      </c>
      <c r="BE325" t="s">
        <v>6846</v>
      </c>
      <c r="BF325" t="str">
        <f>HYPERLINK("http://dx.doi.org/10.3390/pr10050873","http://dx.doi.org/10.3390/pr10050873")</f>
        <v>http://dx.doi.org/10.3390/pr10050873</v>
      </c>
      <c r="BG325" t="s">
        <v>74</v>
      </c>
      <c r="BH325" t="s">
        <v>74</v>
      </c>
      <c r="BI325">
        <v>14</v>
      </c>
      <c r="BJ325" t="s">
        <v>6847</v>
      </c>
      <c r="BK325" t="s">
        <v>101</v>
      </c>
      <c r="BL325" t="s">
        <v>1289</v>
      </c>
      <c r="BM325" t="s">
        <v>6848</v>
      </c>
      <c r="BN325" t="s">
        <v>74</v>
      </c>
      <c r="BO325" t="s">
        <v>438</v>
      </c>
      <c r="BP325" t="s">
        <v>74</v>
      </c>
      <c r="BQ325" t="s">
        <v>74</v>
      </c>
      <c r="BR325" t="s">
        <v>103</v>
      </c>
      <c r="BS325" t="s">
        <v>6849</v>
      </c>
      <c r="BT325" t="str">
        <f>HYPERLINK("https%3A%2F%2Fwww.webofscience.com%2Fwos%2Fwoscc%2Ffull-record%2FWOS:000803387000001","View Full Record in Web of Science")</f>
        <v>View Full Record in Web of Science</v>
      </c>
    </row>
    <row r="326" spans="1:72" x14ac:dyDescent="0.15">
      <c r="A326" t="s">
        <v>72</v>
      </c>
      <c r="B326" t="s">
        <v>6850</v>
      </c>
      <c r="C326" t="s">
        <v>74</v>
      </c>
      <c r="D326" t="s">
        <v>74</v>
      </c>
      <c r="E326" t="s">
        <v>74</v>
      </c>
      <c r="F326" t="s">
        <v>6851</v>
      </c>
      <c r="G326" t="s">
        <v>74</v>
      </c>
      <c r="H326" t="s">
        <v>74</v>
      </c>
      <c r="I326" t="s">
        <v>6852</v>
      </c>
      <c r="J326" t="s">
        <v>1848</v>
      </c>
      <c r="K326" t="s">
        <v>74</v>
      </c>
      <c r="L326" t="s">
        <v>74</v>
      </c>
      <c r="M326" t="s">
        <v>78</v>
      </c>
      <c r="N326" t="s">
        <v>79</v>
      </c>
      <c r="O326" t="s">
        <v>74</v>
      </c>
      <c r="P326" t="s">
        <v>74</v>
      </c>
      <c r="Q326" t="s">
        <v>74</v>
      </c>
      <c r="R326" t="s">
        <v>74</v>
      </c>
      <c r="S326" t="s">
        <v>74</v>
      </c>
      <c r="T326" t="s">
        <v>6853</v>
      </c>
      <c r="U326" t="s">
        <v>74</v>
      </c>
      <c r="V326" t="s">
        <v>6854</v>
      </c>
      <c r="W326" t="s">
        <v>6855</v>
      </c>
      <c r="X326" t="s">
        <v>6856</v>
      </c>
      <c r="Y326" t="s">
        <v>6857</v>
      </c>
      <c r="Z326" t="s">
        <v>6858</v>
      </c>
      <c r="AA326" t="s">
        <v>74</v>
      </c>
      <c r="AB326" t="s">
        <v>6859</v>
      </c>
      <c r="AC326" t="s">
        <v>6860</v>
      </c>
      <c r="AD326" t="s">
        <v>6861</v>
      </c>
      <c r="AE326" t="s">
        <v>6862</v>
      </c>
      <c r="AF326" t="s">
        <v>74</v>
      </c>
      <c r="AG326">
        <v>32</v>
      </c>
      <c r="AH326">
        <v>0</v>
      </c>
      <c r="AI326">
        <v>0</v>
      </c>
      <c r="AJ326">
        <v>0</v>
      </c>
      <c r="AK326">
        <v>0</v>
      </c>
      <c r="AL326" t="s">
        <v>1766</v>
      </c>
      <c r="AM326" t="s">
        <v>1767</v>
      </c>
      <c r="AN326" t="s">
        <v>1768</v>
      </c>
      <c r="AO326" t="s">
        <v>74</v>
      </c>
      <c r="AP326" t="s">
        <v>1859</v>
      </c>
      <c r="AQ326" t="s">
        <v>74</v>
      </c>
      <c r="AR326" t="s">
        <v>1848</v>
      </c>
      <c r="AS326" t="s">
        <v>1860</v>
      </c>
      <c r="AT326" t="s">
        <v>5076</v>
      </c>
      <c r="AU326">
        <v>2022</v>
      </c>
      <c r="AV326">
        <v>14</v>
      </c>
      <c r="AW326">
        <v>5</v>
      </c>
      <c r="AX326" t="s">
        <v>74</v>
      </c>
      <c r="AY326" t="s">
        <v>74</v>
      </c>
      <c r="AZ326" t="s">
        <v>74</v>
      </c>
      <c r="BA326" t="s">
        <v>74</v>
      </c>
      <c r="BB326" t="s">
        <v>74</v>
      </c>
      <c r="BC326" t="s">
        <v>74</v>
      </c>
      <c r="BD326">
        <v>386</v>
      </c>
      <c r="BE326" t="s">
        <v>6863</v>
      </c>
      <c r="BF326" t="str">
        <f>HYPERLINK("http://dx.doi.org/10.3390/d14050386","http://dx.doi.org/10.3390/d14050386")</f>
        <v>http://dx.doi.org/10.3390/d14050386</v>
      </c>
      <c r="BG326" t="s">
        <v>74</v>
      </c>
      <c r="BH326" t="s">
        <v>74</v>
      </c>
      <c r="BI326">
        <v>13</v>
      </c>
      <c r="BJ326" t="s">
        <v>539</v>
      </c>
      <c r="BK326" t="s">
        <v>101</v>
      </c>
      <c r="BL326" t="s">
        <v>540</v>
      </c>
      <c r="BM326" t="s">
        <v>6864</v>
      </c>
      <c r="BN326" t="s">
        <v>74</v>
      </c>
      <c r="BO326" t="s">
        <v>1533</v>
      </c>
      <c r="BP326" t="s">
        <v>74</v>
      </c>
      <c r="BQ326" t="s">
        <v>74</v>
      </c>
      <c r="BR326" t="s">
        <v>103</v>
      </c>
      <c r="BS326" t="s">
        <v>6865</v>
      </c>
      <c r="BT326" t="str">
        <f>HYPERLINK("https%3A%2F%2Fwww.webofscience.com%2Fwos%2Fwoscc%2Ffull-record%2FWOS:000803188100001","View Full Record in Web of Science")</f>
        <v>View Full Record in Web of Science</v>
      </c>
    </row>
    <row r="327" spans="1:72" x14ac:dyDescent="0.15">
      <c r="A327" t="s">
        <v>72</v>
      </c>
      <c r="B327" t="s">
        <v>6866</v>
      </c>
      <c r="C327" t="s">
        <v>74</v>
      </c>
      <c r="D327" t="s">
        <v>74</v>
      </c>
      <c r="E327" t="s">
        <v>74</v>
      </c>
      <c r="F327" t="s">
        <v>6867</v>
      </c>
      <c r="G327" t="s">
        <v>74</v>
      </c>
      <c r="H327" t="s">
        <v>74</v>
      </c>
      <c r="I327" t="s">
        <v>6868</v>
      </c>
      <c r="J327" t="s">
        <v>1923</v>
      </c>
      <c r="K327" t="s">
        <v>74</v>
      </c>
      <c r="L327" t="s">
        <v>74</v>
      </c>
      <c r="M327" t="s">
        <v>78</v>
      </c>
      <c r="N327" t="s">
        <v>79</v>
      </c>
      <c r="O327" t="s">
        <v>74</v>
      </c>
      <c r="P327" t="s">
        <v>74</v>
      </c>
      <c r="Q327" t="s">
        <v>74</v>
      </c>
      <c r="R327" t="s">
        <v>74</v>
      </c>
      <c r="S327" t="s">
        <v>74</v>
      </c>
      <c r="T327" t="s">
        <v>6869</v>
      </c>
      <c r="U327" t="s">
        <v>6870</v>
      </c>
      <c r="V327" t="s">
        <v>6871</v>
      </c>
      <c r="W327" t="s">
        <v>6872</v>
      </c>
      <c r="X327" t="s">
        <v>6873</v>
      </c>
      <c r="Y327" t="s">
        <v>6874</v>
      </c>
      <c r="Z327" t="s">
        <v>6875</v>
      </c>
      <c r="AA327" t="s">
        <v>6876</v>
      </c>
      <c r="AB327" t="s">
        <v>6877</v>
      </c>
      <c r="AC327" t="s">
        <v>6878</v>
      </c>
      <c r="AD327" t="s">
        <v>6879</v>
      </c>
      <c r="AE327" t="s">
        <v>6880</v>
      </c>
      <c r="AF327" t="s">
        <v>74</v>
      </c>
      <c r="AG327">
        <v>63</v>
      </c>
      <c r="AH327">
        <v>0</v>
      </c>
      <c r="AI327">
        <v>0</v>
      </c>
      <c r="AJ327">
        <v>2</v>
      </c>
      <c r="AK327">
        <v>19</v>
      </c>
      <c r="AL327" t="s">
        <v>1766</v>
      </c>
      <c r="AM327" t="s">
        <v>1767</v>
      </c>
      <c r="AN327" t="s">
        <v>1768</v>
      </c>
      <c r="AO327" t="s">
        <v>74</v>
      </c>
      <c r="AP327" t="s">
        <v>1935</v>
      </c>
      <c r="AQ327" t="s">
        <v>74</v>
      </c>
      <c r="AR327" t="s">
        <v>1936</v>
      </c>
      <c r="AS327" t="s">
        <v>1937</v>
      </c>
      <c r="AT327" t="s">
        <v>5076</v>
      </c>
      <c r="AU327">
        <v>2022</v>
      </c>
      <c r="AV327">
        <v>14</v>
      </c>
      <c r="AW327">
        <v>10</v>
      </c>
      <c r="AX327" t="s">
        <v>74</v>
      </c>
      <c r="AY327" t="s">
        <v>74</v>
      </c>
      <c r="AZ327" t="s">
        <v>74</v>
      </c>
      <c r="BA327" t="s">
        <v>74</v>
      </c>
      <c r="BB327" t="s">
        <v>74</v>
      </c>
      <c r="BC327" t="s">
        <v>74</v>
      </c>
      <c r="BD327">
        <v>2309</v>
      </c>
      <c r="BE327" t="s">
        <v>6881</v>
      </c>
      <c r="BF327" t="str">
        <f>HYPERLINK("http://dx.doi.org/10.3390/rs14102309","http://dx.doi.org/10.3390/rs14102309")</f>
        <v>http://dx.doi.org/10.3390/rs14102309</v>
      </c>
      <c r="BG327" t="s">
        <v>74</v>
      </c>
      <c r="BH327" t="s">
        <v>74</v>
      </c>
      <c r="BI327">
        <v>17</v>
      </c>
      <c r="BJ327" t="s">
        <v>1939</v>
      </c>
      <c r="BK327" t="s">
        <v>101</v>
      </c>
      <c r="BL327" t="s">
        <v>1940</v>
      </c>
      <c r="BM327" t="s">
        <v>6882</v>
      </c>
      <c r="BN327" t="s">
        <v>74</v>
      </c>
      <c r="BO327" t="s">
        <v>438</v>
      </c>
      <c r="BP327" t="s">
        <v>74</v>
      </c>
      <c r="BQ327" t="s">
        <v>74</v>
      </c>
      <c r="BR327" t="s">
        <v>103</v>
      </c>
      <c r="BS327" t="s">
        <v>6883</v>
      </c>
      <c r="BT327" t="str">
        <f>HYPERLINK("https%3A%2F%2Fwww.webofscience.com%2Fwos%2Fwoscc%2Ffull-record%2FWOS:000803262100001","View Full Record in Web of Science")</f>
        <v>View Full Record in Web of Science</v>
      </c>
    </row>
    <row r="328" spans="1:72" x14ac:dyDescent="0.15">
      <c r="A328" t="s">
        <v>72</v>
      </c>
      <c r="B328" t="s">
        <v>6884</v>
      </c>
      <c r="C328" t="s">
        <v>74</v>
      </c>
      <c r="D328" t="s">
        <v>74</v>
      </c>
      <c r="E328" t="s">
        <v>74</v>
      </c>
      <c r="F328" t="s">
        <v>6885</v>
      </c>
      <c r="G328" t="s">
        <v>74</v>
      </c>
      <c r="H328" t="s">
        <v>74</v>
      </c>
      <c r="I328" t="s">
        <v>6886</v>
      </c>
      <c r="J328" t="s">
        <v>6887</v>
      </c>
      <c r="K328" t="s">
        <v>74</v>
      </c>
      <c r="L328" t="s">
        <v>74</v>
      </c>
      <c r="M328" t="s">
        <v>78</v>
      </c>
      <c r="N328" t="s">
        <v>79</v>
      </c>
      <c r="O328" t="s">
        <v>74</v>
      </c>
      <c r="P328" t="s">
        <v>74</v>
      </c>
      <c r="Q328" t="s">
        <v>74</v>
      </c>
      <c r="R328" t="s">
        <v>74</v>
      </c>
      <c r="S328" t="s">
        <v>74</v>
      </c>
      <c r="T328" t="s">
        <v>6888</v>
      </c>
      <c r="U328" t="s">
        <v>6889</v>
      </c>
      <c r="V328" t="s">
        <v>6890</v>
      </c>
      <c r="W328" t="s">
        <v>6891</v>
      </c>
      <c r="X328" t="s">
        <v>6892</v>
      </c>
      <c r="Y328" t="s">
        <v>6893</v>
      </c>
      <c r="Z328" t="s">
        <v>6894</v>
      </c>
      <c r="AA328" t="s">
        <v>6895</v>
      </c>
      <c r="AB328" t="s">
        <v>6896</v>
      </c>
      <c r="AC328" t="s">
        <v>6897</v>
      </c>
      <c r="AD328" t="s">
        <v>6898</v>
      </c>
      <c r="AE328" t="s">
        <v>6899</v>
      </c>
      <c r="AF328" t="s">
        <v>74</v>
      </c>
      <c r="AG328">
        <v>65</v>
      </c>
      <c r="AH328">
        <v>11</v>
      </c>
      <c r="AI328">
        <v>11</v>
      </c>
      <c r="AJ328">
        <v>2</v>
      </c>
      <c r="AK328">
        <v>11</v>
      </c>
      <c r="AL328" t="s">
        <v>1766</v>
      </c>
      <c r="AM328" t="s">
        <v>1767</v>
      </c>
      <c r="AN328" t="s">
        <v>1768</v>
      </c>
      <c r="AO328" t="s">
        <v>74</v>
      </c>
      <c r="AP328" t="s">
        <v>6900</v>
      </c>
      <c r="AQ328" t="s">
        <v>74</v>
      </c>
      <c r="AR328" t="s">
        <v>6887</v>
      </c>
      <c r="AS328" t="s">
        <v>6901</v>
      </c>
      <c r="AT328" t="s">
        <v>5076</v>
      </c>
      <c r="AU328">
        <v>2022</v>
      </c>
      <c r="AV328">
        <v>12</v>
      </c>
      <c r="AW328">
        <v>5</v>
      </c>
      <c r="AX328" t="s">
        <v>74</v>
      </c>
      <c r="AY328" t="s">
        <v>74</v>
      </c>
      <c r="AZ328" t="s">
        <v>74</v>
      </c>
      <c r="BA328" t="s">
        <v>74</v>
      </c>
      <c r="BB328" t="s">
        <v>74</v>
      </c>
      <c r="BC328" t="s">
        <v>74</v>
      </c>
      <c r="BD328">
        <v>1000</v>
      </c>
      <c r="BE328" t="s">
        <v>6902</v>
      </c>
      <c r="BF328" t="str">
        <f>HYPERLINK("http://dx.doi.org/10.3390/agronomy12051000","http://dx.doi.org/10.3390/agronomy12051000")</f>
        <v>http://dx.doi.org/10.3390/agronomy12051000</v>
      </c>
      <c r="BG328" t="s">
        <v>74</v>
      </c>
      <c r="BH328" t="s">
        <v>74</v>
      </c>
      <c r="BI328">
        <v>14</v>
      </c>
      <c r="BJ328" t="s">
        <v>6903</v>
      </c>
      <c r="BK328" t="s">
        <v>101</v>
      </c>
      <c r="BL328" t="s">
        <v>6904</v>
      </c>
      <c r="BM328" t="s">
        <v>6905</v>
      </c>
      <c r="BN328" t="s">
        <v>74</v>
      </c>
      <c r="BO328" t="s">
        <v>438</v>
      </c>
      <c r="BP328" t="s">
        <v>74</v>
      </c>
      <c r="BQ328" t="s">
        <v>74</v>
      </c>
      <c r="BR328" t="s">
        <v>103</v>
      </c>
      <c r="BS328" t="s">
        <v>6906</v>
      </c>
      <c r="BT328" t="str">
        <f>HYPERLINK("https%3A%2F%2Fwww.webofscience.com%2Fwos%2Fwoscc%2Ffull-record%2FWOS:000802376100001","View Full Record in Web of Science")</f>
        <v>View Full Record in Web of Science</v>
      </c>
    </row>
    <row r="329" spans="1:72" x14ac:dyDescent="0.15">
      <c r="A329" t="s">
        <v>72</v>
      </c>
      <c r="B329" t="s">
        <v>6907</v>
      </c>
      <c r="C329" t="s">
        <v>74</v>
      </c>
      <c r="D329" t="s">
        <v>74</v>
      </c>
      <c r="E329" t="s">
        <v>74</v>
      </c>
      <c r="F329" t="s">
        <v>6908</v>
      </c>
      <c r="G329" t="s">
        <v>74</v>
      </c>
      <c r="H329" t="s">
        <v>74</v>
      </c>
      <c r="I329" t="s">
        <v>6909</v>
      </c>
      <c r="J329" t="s">
        <v>1848</v>
      </c>
      <c r="K329" t="s">
        <v>74</v>
      </c>
      <c r="L329" t="s">
        <v>74</v>
      </c>
      <c r="M329" t="s">
        <v>78</v>
      </c>
      <c r="N329" t="s">
        <v>79</v>
      </c>
      <c r="O329" t="s">
        <v>74</v>
      </c>
      <c r="P329" t="s">
        <v>74</v>
      </c>
      <c r="Q329" t="s">
        <v>74</v>
      </c>
      <c r="R329" t="s">
        <v>74</v>
      </c>
      <c r="S329" t="s">
        <v>74</v>
      </c>
      <c r="T329" t="s">
        <v>6910</v>
      </c>
      <c r="U329" t="s">
        <v>6911</v>
      </c>
      <c r="V329" t="s">
        <v>6912</v>
      </c>
      <c r="W329" t="s">
        <v>6913</v>
      </c>
      <c r="X329" t="s">
        <v>6914</v>
      </c>
      <c r="Y329" t="s">
        <v>6915</v>
      </c>
      <c r="Z329" t="s">
        <v>6916</v>
      </c>
      <c r="AA329" t="s">
        <v>6917</v>
      </c>
      <c r="AB329" t="s">
        <v>6918</v>
      </c>
      <c r="AC329" t="s">
        <v>6919</v>
      </c>
      <c r="AD329" t="s">
        <v>6920</v>
      </c>
      <c r="AE329" t="s">
        <v>6921</v>
      </c>
      <c r="AF329" t="s">
        <v>74</v>
      </c>
      <c r="AG329">
        <v>56</v>
      </c>
      <c r="AH329">
        <v>4</v>
      </c>
      <c r="AI329">
        <v>5</v>
      </c>
      <c r="AJ329">
        <v>1</v>
      </c>
      <c r="AK329">
        <v>3</v>
      </c>
      <c r="AL329" t="s">
        <v>1766</v>
      </c>
      <c r="AM329" t="s">
        <v>1767</v>
      </c>
      <c r="AN329" t="s">
        <v>1768</v>
      </c>
      <c r="AO329" t="s">
        <v>74</v>
      </c>
      <c r="AP329" t="s">
        <v>1859</v>
      </c>
      <c r="AQ329" t="s">
        <v>74</v>
      </c>
      <c r="AR329" t="s">
        <v>1848</v>
      </c>
      <c r="AS329" t="s">
        <v>1860</v>
      </c>
      <c r="AT329" t="s">
        <v>5076</v>
      </c>
      <c r="AU329">
        <v>2022</v>
      </c>
      <c r="AV329">
        <v>14</v>
      </c>
      <c r="AW329">
        <v>5</v>
      </c>
      <c r="AX329" t="s">
        <v>74</v>
      </c>
      <c r="AY329" t="s">
        <v>74</v>
      </c>
      <c r="AZ329" t="s">
        <v>74</v>
      </c>
      <c r="BA329" t="s">
        <v>74</v>
      </c>
      <c r="BB329" t="s">
        <v>74</v>
      </c>
      <c r="BC329" t="s">
        <v>74</v>
      </c>
      <c r="BD329">
        <v>337</v>
      </c>
      <c r="BE329" t="s">
        <v>6922</v>
      </c>
      <c r="BF329" t="str">
        <f>HYPERLINK("http://dx.doi.org/10.3390/d14050337","http://dx.doi.org/10.3390/d14050337")</f>
        <v>http://dx.doi.org/10.3390/d14050337</v>
      </c>
      <c r="BG329" t="s">
        <v>74</v>
      </c>
      <c r="BH329" t="s">
        <v>74</v>
      </c>
      <c r="BI329">
        <v>15</v>
      </c>
      <c r="BJ329" t="s">
        <v>539</v>
      </c>
      <c r="BK329" t="s">
        <v>101</v>
      </c>
      <c r="BL329" t="s">
        <v>540</v>
      </c>
      <c r="BM329" t="s">
        <v>6923</v>
      </c>
      <c r="BN329" t="s">
        <v>74</v>
      </c>
      <c r="BO329" t="s">
        <v>438</v>
      </c>
      <c r="BP329" t="s">
        <v>74</v>
      </c>
      <c r="BQ329" t="s">
        <v>74</v>
      </c>
      <c r="BR329" t="s">
        <v>103</v>
      </c>
      <c r="BS329" t="s">
        <v>6924</v>
      </c>
      <c r="BT329" t="str">
        <f>HYPERLINK("https%3A%2F%2Fwww.webofscience.com%2Fwos%2Fwoscc%2Ffull-record%2FWOS:000802379500001","View Full Record in Web of Science")</f>
        <v>View Full Record in Web of Science</v>
      </c>
    </row>
    <row r="330" spans="1:72" x14ac:dyDescent="0.15">
      <c r="A330" t="s">
        <v>72</v>
      </c>
      <c r="B330" t="s">
        <v>6925</v>
      </c>
      <c r="C330" t="s">
        <v>74</v>
      </c>
      <c r="D330" t="s">
        <v>74</v>
      </c>
      <c r="E330" t="s">
        <v>74</v>
      </c>
      <c r="F330" t="s">
        <v>6926</v>
      </c>
      <c r="G330" t="s">
        <v>74</v>
      </c>
      <c r="H330" t="s">
        <v>74</v>
      </c>
      <c r="I330" t="s">
        <v>6927</v>
      </c>
      <c r="J330" t="s">
        <v>1848</v>
      </c>
      <c r="K330" t="s">
        <v>74</v>
      </c>
      <c r="L330" t="s">
        <v>74</v>
      </c>
      <c r="M330" t="s">
        <v>78</v>
      </c>
      <c r="N330" t="s">
        <v>79</v>
      </c>
      <c r="O330" t="s">
        <v>74</v>
      </c>
      <c r="P330" t="s">
        <v>74</v>
      </c>
      <c r="Q330" t="s">
        <v>74</v>
      </c>
      <c r="R330" t="s">
        <v>74</v>
      </c>
      <c r="S330" t="s">
        <v>74</v>
      </c>
      <c r="T330" t="s">
        <v>6928</v>
      </c>
      <c r="U330" t="s">
        <v>6929</v>
      </c>
      <c r="V330" t="s">
        <v>6930</v>
      </c>
      <c r="W330" t="s">
        <v>6931</v>
      </c>
      <c r="X330" t="s">
        <v>3407</v>
      </c>
      <c r="Y330" t="s">
        <v>6932</v>
      </c>
      <c r="Z330" t="s">
        <v>6933</v>
      </c>
      <c r="AA330" t="s">
        <v>74</v>
      </c>
      <c r="AB330" t="s">
        <v>3410</v>
      </c>
      <c r="AC330" t="s">
        <v>6934</v>
      </c>
      <c r="AD330" t="s">
        <v>3412</v>
      </c>
      <c r="AE330" t="s">
        <v>6935</v>
      </c>
      <c r="AF330" t="s">
        <v>74</v>
      </c>
      <c r="AG330">
        <v>48</v>
      </c>
      <c r="AH330">
        <v>1</v>
      </c>
      <c r="AI330">
        <v>1</v>
      </c>
      <c r="AJ330">
        <v>0</v>
      </c>
      <c r="AK330">
        <v>8</v>
      </c>
      <c r="AL330" t="s">
        <v>1766</v>
      </c>
      <c r="AM330" t="s">
        <v>1767</v>
      </c>
      <c r="AN330" t="s">
        <v>1768</v>
      </c>
      <c r="AO330" t="s">
        <v>74</v>
      </c>
      <c r="AP330" t="s">
        <v>1859</v>
      </c>
      <c r="AQ330" t="s">
        <v>74</v>
      </c>
      <c r="AR330" t="s">
        <v>1848</v>
      </c>
      <c r="AS330" t="s">
        <v>1860</v>
      </c>
      <c r="AT330" t="s">
        <v>5076</v>
      </c>
      <c r="AU330">
        <v>2022</v>
      </c>
      <c r="AV330">
        <v>14</v>
      </c>
      <c r="AW330">
        <v>5</v>
      </c>
      <c r="AX330" t="s">
        <v>74</v>
      </c>
      <c r="AY330" t="s">
        <v>74</v>
      </c>
      <c r="AZ330" t="s">
        <v>74</v>
      </c>
      <c r="BA330" t="s">
        <v>74</v>
      </c>
      <c r="BB330" t="s">
        <v>74</v>
      </c>
      <c r="BC330" t="s">
        <v>74</v>
      </c>
      <c r="BD330">
        <v>392</v>
      </c>
      <c r="BE330" t="s">
        <v>6936</v>
      </c>
      <c r="BF330" t="str">
        <f>HYPERLINK("http://dx.doi.org/10.3390/d14050392","http://dx.doi.org/10.3390/d14050392")</f>
        <v>http://dx.doi.org/10.3390/d14050392</v>
      </c>
      <c r="BG330" t="s">
        <v>74</v>
      </c>
      <c r="BH330" t="s">
        <v>74</v>
      </c>
      <c r="BI330">
        <v>15</v>
      </c>
      <c r="BJ330" t="s">
        <v>539</v>
      </c>
      <c r="BK330" t="s">
        <v>101</v>
      </c>
      <c r="BL330" t="s">
        <v>540</v>
      </c>
      <c r="BM330" t="s">
        <v>6937</v>
      </c>
      <c r="BN330" t="s">
        <v>74</v>
      </c>
      <c r="BO330" t="s">
        <v>438</v>
      </c>
      <c r="BP330" t="s">
        <v>74</v>
      </c>
      <c r="BQ330" t="s">
        <v>74</v>
      </c>
      <c r="BR330" t="s">
        <v>103</v>
      </c>
      <c r="BS330" t="s">
        <v>6938</v>
      </c>
      <c r="BT330" t="str">
        <f>HYPERLINK("https%3A%2F%2Fwww.webofscience.com%2Fwos%2Fwoscc%2Ffull-record%2FWOS:000803423500001","View Full Record in Web of Science")</f>
        <v>View Full Record in Web of Science</v>
      </c>
    </row>
    <row r="331" spans="1:72" x14ac:dyDescent="0.15">
      <c r="A331" t="s">
        <v>72</v>
      </c>
      <c r="B331" t="s">
        <v>6939</v>
      </c>
      <c r="C331" t="s">
        <v>74</v>
      </c>
      <c r="D331" t="s">
        <v>74</v>
      </c>
      <c r="E331" t="s">
        <v>74</v>
      </c>
      <c r="F331" t="s">
        <v>6940</v>
      </c>
      <c r="G331" t="s">
        <v>74</v>
      </c>
      <c r="H331" t="s">
        <v>74</v>
      </c>
      <c r="I331" t="s">
        <v>6941</v>
      </c>
      <c r="J331" t="s">
        <v>6942</v>
      </c>
      <c r="K331" t="s">
        <v>74</v>
      </c>
      <c r="L331" t="s">
        <v>74</v>
      </c>
      <c r="M331" t="s">
        <v>78</v>
      </c>
      <c r="N331" t="s">
        <v>79</v>
      </c>
      <c r="O331" t="s">
        <v>74</v>
      </c>
      <c r="P331" t="s">
        <v>74</v>
      </c>
      <c r="Q331" t="s">
        <v>74</v>
      </c>
      <c r="R331" t="s">
        <v>74</v>
      </c>
      <c r="S331" t="s">
        <v>74</v>
      </c>
      <c r="T331" t="s">
        <v>6943</v>
      </c>
      <c r="U331" t="s">
        <v>6944</v>
      </c>
      <c r="V331" t="s">
        <v>6945</v>
      </c>
      <c r="W331" t="s">
        <v>6946</v>
      </c>
      <c r="X331" t="s">
        <v>6947</v>
      </c>
      <c r="Y331" t="s">
        <v>6948</v>
      </c>
      <c r="Z331" t="s">
        <v>6949</v>
      </c>
      <c r="AA331" t="s">
        <v>6950</v>
      </c>
      <c r="AB331" t="s">
        <v>6951</v>
      </c>
      <c r="AC331" t="s">
        <v>6952</v>
      </c>
      <c r="AD331" t="s">
        <v>6953</v>
      </c>
      <c r="AE331" t="s">
        <v>6954</v>
      </c>
      <c r="AF331" t="s">
        <v>74</v>
      </c>
      <c r="AG331">
        <v>69</v>
      </c>
      <c r="AH331">
        <v>2</v>
      </c>
      <c r="AI331">
        <v>2</v>
      </c>
      <c r="AJ331">
        <v>3</v>
      </c>
      <c r="AK331">
        <v>15</v>
      </c>
      <c r="AL331" t="s">
        <v>1766</v>
      </c>
      <c r="AM331" t="s">
        <v>1767</v>
      </c>
      <c r="AN331" t="s">
        <v>1768</v>
      </c>
      <c r="AO331" t="s">
        <v>74</v>
      </c>
      <c r="AP331" t="s">
        <v>6955</v>
      </c>
      <c r="AQ331" t="s">
        <v>74</v>
      </c>
      <c r="AR331" t="s">
        <v>6942</v>
      </c>
      <c r="AS331" t="s">
        <v>6956</v>
      </c>
      <c r="AT331" t="s">
        <v>5076</v>
      </c>
      <c r="AU331">
        <v>2022</v>
      </c>
      <c r="AV331">
        <v>13</v>
      </c>
      <c r="AW331">
        <v>5</v>
      </c>
      <c r="AX331" t="s">
        <v>74</v>
      </c>
      <c r="AY331" t="s">
        <v>74</v>
      </c>
      <c r="AZ331" t="s">
        <v>74</v>
      </c>
      <c r="BA331" t="s">
        <v>74</v>
      </c>
      <c r="BB331" t="s">
        <v>74</v>
      </c>
      <c r="BC331" t="s">
        <v>74</v>
      </c>
      <c r="BD331">
        <v>794</v>
      </c>
      <c r="BE331" t="s">
        <v>6957</v>
      </c>
      <c r="BF331" t="str">
        <f>HYPERLINK("http://dx.doi.org/10.3390/f13050794","http://dx.doi.org/10.3390/f13050794")</f>
        <v>http://dx.doi.org/10.3390/f13050794</v>
      </c>
      <c r="BG331" t="s">
        <v>74</v>
      </c>
      <c r="BH331" t="s">
        <v>74</v>
      </c>
      <c r="BI331">
        <v>18</v>
      </c>
      <c r="BJ331" t="s">
        <v>6958</v>
      </c>
      <c r="BK331" t="s">
        <v>101</v>
      </c>
      <c r="BL331" t="s">
        <v>6958</v>
      </c>
      <c r="BM331" t="s">
        <v>6959</v>
      </c>
      <c r="BN331" t="s">
        <v>74</v>
      </c>
      <c r="BO331" t="s">
        <v>1533</v>
      </c>
      <c r="BP331" t="s">
        <v>74</v>
      </c>
      <c r="BQ331" t="s">
        <v>74</v>
      </c>
      <c r="BR331" t="s">
        <v>103</v>
      </c>
      <c r="BS331" t="s">
        <v>6960</v>
      </c>
      <c r="BT331" t="str">
        <f>HYPERLINK("https%3A%2F%2Fwww.webofscience.com%2Fwos%2Fwoscc%2Ffull-record%2FWOS:000802491000001","View Full Record in Web of Science")</f>
        <v>View Full Record in Web of Science</v>
      </c>
    </row>
    <row r="332" spans="1:72" x14ac:dyDescent="0.15">
      <c r="A332" t="s">
        <v>72</v>
      </c>
      <c r="B332" t="s">
        <v>6961</v>
      </c>
      <c r="C332" t="s">
        <v>74</v>
      </c>
      <c r="D332" t="s">
        <v>74</v>
      </c>
      <c r="E332" t="s">
        <v>74</v>
      </c>
      <c r="F332" t="s">
        <v>6962</v>
      </c>
      <c r="G332" t="s">
        <v>74</v>
      </c>
      <c r="H332" t="s">
        <v>74</v>
      </c>
      <c r="I332" t="s">
        <v>6963</v>
      </c>
      <c r="J332" t="s">
        <v>2443</v>
      </c>
      <c r="K332" t="s">
        <v>74</v>
      </c>
      <c r="L332" t="s">
        <v>74</v>
      </c>
      <c r="M332" t="s">
        <v>78</v>
      </c>
      <c r="N332" t="s">
        <v>79</v>
      </c>
      <c r="O332" t="s">
        <v>74</v>
      </c>
      <c r="P332" t="s">
        <v>74</v>
      </c>
      <c r="Q332" t="s">
        <v>74</v>
      </c>
      <c r="R332" t="s">
        <v>74</v>
      </c>
      <c r="S332" t="s">
        <v>74</v>
      </c>
      <c r="T332" t="s">
        <v>6964</v>
      </c>
      <c r="U332" t="s">
        <v>6965</v>
      </c>
      <c r="V332" t="s">
        <v>6966</v>
      </c>
      <c r="W332" t="s">
        <v>6967</v>
      </c>
      <c r="X332" t="s">
        <v>6968</v>
      </c>
      <c r="Y332" t="s">
        <v>6969</v>
      </c>
      <c r="Z332" t="s">
        <v>6970</v>
      </c>
      <c r="AA332" t="s">
        <v>6971</v>
      </c>
      <c r="AB332" t="s">
        <v>6972</v>
      </c>
      <c r="AC332" t="s">
        <v>6973</v>
      </c>
      <c r="AD332" t="s">
        <v>6974</v>
      </c>
      <c r="AE332" t="s">
        <v>6975</v>
      </c>
      <c r="AF332" t="s">
        <v>74</v>
      </c>
      <c r="AG332">
        <v>48</v>
      </c>
      <c r="AH332">
        <v>5</v>
      </c>
      <c r="AI332">
        <v>5</v>
      </c>
      <c r="AJ332">
        <v>6</v>
      </c>
      <c r="AK332">
        <v>23</v>
      </c>
      <c r="AL332" t="s">
        <v>2042</v>
      </c>
      <c r="AM332" t="s">
        <v>2043</v>
      </c>
      <c r="AN332" t="s">
        <v>2044</v>
      </c>
      <c r="AO332" t="s">
        <v>2456</v>
      </c>
      <c r="AP332" t="s">
        <v>2457</v>
      </c>
      <c r="AQ332" t="s">
        <v>74</v>
      </c>
      <c r="AR332" t="s">
        <v>2458</v>
      </c>
      <c r="AS332" t="s">
        <v>2459</v>
      </c>
      <c r="AT332" t="s">
        <v>5076</v>
      </c>
      <c r="AU332">
        <v>2022</v>
      </c>
      <c r="AV332">
        <v>127</v>
      </c>
      <c r="AW332">
        <v>5</v>
      </c>
      <c r="AX332" t="s">
        <v>74</v>
      </c>
      <c r="AY332" t="s">
        <v>74</v>
      </c>
      <c r="AZ332" t="s">
        <v>74</v>
      </c>
      <c r="BA332" t="s">
        <v>74</v>
      </c>
      <c r="BB332" t="s">
        <v>74</v>
      </c>
      <c r="BC332" t="s">
        <v>74</v>
      </c>
      <c r="BD332" t="s">
        <v>6976</v>
      </c>
      <c r="BE332" t="s">
        <v>6977</v>
      </c>
      <c r="BF332" t="str">
        <f>HYPERLINK("http://dx.doi.org/10.1029/2022JC018572","http://dx.doi.org/10.1029/2022JC018572")</f>
        <v>http://dx.doi.org/10.1029/2022JC018572</v>
      </c>
      <c r="BG332" t="s">
        <v>74</v>
      </c>
      <c r="BH332" t="s">
        <v>74</v>
      </c>
      <c r="BI332">
        <v>20</v>
      </c>
      <c r="BJ332" t="s">
        <v>208</v>
      </c>
      <c r="BK332" t="s">
        <v>101</v>
      </c>
      <c r="BL332" t="s">
        <v>208</v>
      </c>
      <c r="BM332" t="s">
        <v>6978</v>
      </c>
      <c r="BN332" t="s">
        <v>74</v>
      </c>
      <c r="BO332" t="s">
        <v>74</v>
      </c>
      <c r="BP332" t="s">
        <v>74</v>
      </c>
      <c r="BQ332" t="s">
        <v>74</v>
      </c>
      <c r="BR332" t="s">
        <v>103</v>
      </c>
      <c r="BS332" t="s">
        <v>6979</v>
      </c>
      <c r="BT332" t="str">
        <f>HYPERLINK("https%3A%2F%2Fwww.webofscience.com%2Fwos%2Fwoscc%2Ffull-record%2FWOS:000802794700001","View Full Record in Web of Science")</f>
        <v>View Full Record in Web of Science</v>
      </c>
    </row>
    <row r="333" spans="1:72" x14ac:dyDescent="0.15">
      <c r="A333" t="s">
        <v>72</v>
      </c>
      <c r="B333" t="s">
        <v>6980</v>
      </c>
      <c r="C333" t="s">
        <v>74</v>
      </c>
      <c r="D333" t="s">
        <v>74</v>
      </c>
      <c r="E333" t="s">
        <v>74</v>
      </c>
      <c r="F333" t="s">
        <v>6981</v>
      </c>
      <c r="G333" t="s">
        <v>74</v>
      </c>
      <c r="H333" t="s">
        <v>74</v>
      </c>
      <c r="I333" t="s">
        <v>6982</v>
      </c>
      <c r="J333" t="s">
        <v>2235</v>
      </c>
      <c r="K333" t="s">
        <v>74</v>
      </c>
      <c r="L333" t="s">
        <v>74</v>
      </c>
      <c r="M333" t="s">
        <v>78</v>
      </c>
      <c r="N333" t="s">
        <v>79</v>
      </c>
      <c r="O333" t="s">
        <v>74</v>
      </c>
      <c r="P333" t="s">
        <v>74</v>
      </c>
      <c r="Q333" t="s">
        <v>74</v>
      </c>
      <c r="R333" t="s">
        <v>74</v>
      </c>
      <c r="S333" t="s">
        <v>74</v>
      </c>
      <c r="T333" t="s">
        <v>6983</v>
      </c>
      <c r="U333" t="s">
        <v>6984</v>
      </c>
      <c r="V333" t="s">
        <v>6985</v>
      </c>
      <c r="W333" t="s">
        <v>6986</v>
      </c>
      <c r="X333" t="s">
        <v>6987</v>
      </c>
      <c r="Y333" t="s">
        <v>6988</v>
      </c>
      <c r="Z333" t="s">
        <v>6989</v>
      </c>
      <c r="AA333" t="s">
        <v>3465</v>
      </c>
      <c r="AB333" t="s">
        <v>74</v>
      </c>
      <c r="AC333" t="s">
        <v>6990</v>
      </c>
      <c r="AD333" t="s">
        <v>6991</v>
      </c>
      <c r="AE333" t="s">
        <v>6992</v>
      </c>
      <c r="AF333" t="s">
        <v>74</v>
      </c>
      <c r="AG333">
        <v>80</v>
      </c>
      <c r="AH333">
        <v>5</v>
      </c>
      <c r="AI333">
        <v>5</v>
      </c>
      <c r="AJ333">
        <v>0</v>
      </c>
      <c r="AK333">
        <v>0</v>
      </c>
      <c r="AL333" t="s">
        <v>2042</v>
      </c>
      <c r="AM333" t="s">
        <v>2043</v>
      </c>
      <c r="AN333" t="s">
        <v>2044</v>
      </c>
      <c r="AO333" t="s">
        <v>2248</v>
      </c>
      <c r="AP333" t="s">
        <v>2249</v>
      </c>
      <c r="AQ333" t="s">
        <v>74</v>
      </c>
      <c r="AR333" t="s">
        <v>2250</v>
      </c>
      <c r="AS333" t="s">
        <v>2251</v>
      </c>
      <c r="AT333" t="s">
        <v>5076</v>
      </c>
      <c r="AU333">
        <v>2022</v>
      </c>
      <c r="AV333">
        <v>127</v>
      </c>
      <c r="AW333">
        <v>5</v>
      </c>
      <c r="AX333" t="s">
        <v>74</v>
      </c>
      <c r="AY333" t="s">
        <v>74</v>
      </c>
      <c r="AZ333" t="s">
        <v>74</v>
      </c>
      <c r="BA333" t="s">
        <v>74</v>
      </c>
      <c r="BB333" t="s">
        <v>74</v>
      </c>
      <c r="BC333" t="s">
        <v>74</v>
      </c>
      <c r="BD333" t="s">
        <v>6993</v>
      </c>
      <c r="BE333" t="s">
        <v>6994</v>
      </c>
      <c r="BF333" t="str">
        <f>HYPERLINK("http://dx.doi.org/10.1029/2021JF006570","http://dx.doi.org/10.1029/2021JF006570")</f>
        <v>http://dx.doi.org/10.1029/2021JF006570</v>
      </c>
      <c r="BG333" t="s">
        <v>74</v>
      </c>
      <c r="BH333" t="s">
        <v>74</v>
      </c>
      <c r="BI333">
        <v>19</v>
      </c>
      <c r="BJ333" t="s">
        <v>265</v>
      </c>
      <c r="BK333" t="s">
        <v>101</v>
      </c>
      <c r="BL333" t="s">
        <v>100</v>
      </c>
      <c r="BM333" t="s">
        <v>6995</v>
      </c>
      <c r="BN333" t="s">
        <v>74</v>
      </c>
      <c r="BO333" t="s">
        <v>2709</v>
      </c>
      <c r="BP333" t="s">
        <v>74</v>
      </c>
      <c r="BQ333" t="s">
        <v>74</v>
      </c>
      <c r="BR333" t="s">
        <v>103</v>
      </c>
      <c r="BS333" t="s">
        <v>6996</v>
      </c>
      <c r="BT333" t="str">
        <f>HYPERLINK("https%3A%2F%2Fwww.webofscience.com%2Fwos%2Fwoscc%2Ffull-record%2FWOS:000801890400001","View Full Record in Web of Science")</f>
        <v>View Full Record in Web of Science</v>
      </c>
    </row>
    <row r="334" spans="1:72" x14ac:dyDescent="0.15">
      <c r="A334" t="s">
        <v>72</v>
      </c>
      <c r="B334" t="s">
        <v>6997</v>
      </c>
      <c r="C334" t="s">
        <v>74</v>
      </c>
      <c r="D334" t="s">
        <v>74</v>
      </c>
      <c r="E334" t="s">
        <v>74</v>
      </c>
      <c r="F334" t="s">
        <v>6998</v>
      </c>
      <c r="G334" t="s">
        <v>74</v>
      </c>
      <c r="H334" t="s">
        <v>74</v>
      </c>
      <c r="I334" t="s">
        <v>6999</v>
      </c>
      <c r="J334" t="s">
        <v>1923</v>
      </c>
      <c r="K334" t="s">
        <v>74</v>
      </c>
      <c r="L334" t="s">
        <v>74</v>
      </c>
      <c r="M334" t="s">
        <v>78</v>
      </c>
      <c r="N334" t="s">
        <v>79</v>
      </c>
      <c r="O334" t="s">
        <v>74</v>
      </c>
      <c r="P334" t="s">
        <v>74</v>
      </c>
      <c r="Q334" t="s">
        <v>74</v>
      </c>
      <c r="R334" t="s">
        <v>74</v>
      </c>
      <c r="S334" t="s">
        <v>74</v>
      </c>
      <c r="T334" t="s">
        <v>7000</v>
      </c>
      <c r="U334" t="s">
        <v>7001</v>
      </c>
      <c r="V334" t="s">
        <v>7002</v>
      </c>
      <c r="W334" t="s">
        <v>7003</v>
      </c>
      <c r="X334" t="s">
        <v>7004</v>
      </c>
      <c r="Y334" t="s">
        <v>7005</v>
      </c>
      <c r="Z334" t="s">
        <v>7006</v>
      </c>
      <c r="AA334" t="s">
        <v>7007</v>
      </c>
      <c r="AB334" t="s">
        <v>7008</v>
      </c>
      <c r="AC334" t="s">
        <v>7009</v>
      </c>
      <c r="AD334" t="s">
        <v>7010</v>
      </c>
      <c r="AE334" t="s">
        <v>7011</v>
      </c>
      <c r="AF334" t="s">
        <v>74</v>
      </c>
      <c r="AG334">
        <v>68</v>
      </c>
      <c r="AH334">
        <v>1</v>
      </c>
      <c r="AI334">
        <v>1</v>
      </c>
      <c r="AJ334">
        <v>3</v>
      </c>
      <c r="AK334">
        <v>21</v>
      </c>
      <c r="AL334" t="s">
        <v>1766</v>
      </c>
      <c r="AM334" t="s">
        <v>1767</v>
      </c>
      <c r="AN334" t="s">
        <v>1768</v>
      </c>
      <c r="AO334" t="s">
        <v>74</v>
      </c>
      <c r="AP334" t="s">
        <v>1935</v>
      </c>
      <c r="AQ334" t="s">
        <v>74</v>
      </c>
      <c r="AR334" t="s">
        <v>1936</v>
      </c>
      <c r="AS334" t="s">
        <v>1937</v>
      </c>
      <c r="AT334" t="s">
        <v>5076</v>
      </c>
      <c r="AU334">
        <v>2022</v>
      </c>
      <c r="AV334">
        <v>14</v>
      </c>
      <c r="AW334">
        <v>10</v>
      </c>
      <c r="AX334" t="s">
        <v>74</v>
      </c>
      <c r="AY334" t="s">
        <v>74</v>
      </c>
      <c r="AZ334" t="s">
        <v>74</v>
      </c>
      <c r="BA334" t="s">
        <v>74</v>
      </c>
      <c r="BB334" t="s">
        <v>74</v>
      </c>
      <c r="BC334" t="s">
        <v>74</v>
      </c>
      <c r="BD334">
        <v>2337</v>
      </c>
      <c r="BE334" t="s">
        <v>7012</v>
      </c>
      <c r="BF334" t="str">
        <f>HYPERLINK("http://dx.doi.org/10.3390/rs14102337","http://dx.doi.org/10.3390/rs14102337")</f>
        <v>http://dx.doi.org/10.3390/rs14102337</v>
      </c>
      <c r="BG334" t="s">
        <v>74</v>
      </c>
      <c r="BH334" t="s">
        <v>74</v>
      </c>
      <c r="BI334">
        <v>18</v>
      </c>
      <c r="BJ334" t="s">
        <v>1939</v>
      </c>
      <c r="BK334" t="s">
        <v>101</v>
      </c>
      <c r="BL334" t="s">
        <v>1940</v>
      </c>
      <c r="BM334" t="s">
        <v>7013</v>
      </c>
      <c r="BN334" t="s">
        <v>74</v>
      </c>
      <c r="BO334" t="s">
        <v>438</v>
      </c>
      <c r="BP334" t="s">
        <v>74</v>
      </c>
      <c r="BQ334" t="s">
        <v>74</v>
      </c>
      <c r="BR334" t="s">
        <v>103</v>
      </c>
      <c r="BS334" t="s">
        <v>7014</v>
      </c>
      <c r="BT334" t="str">
        <f>HYPERLINK("https%3A%2F%2Fwww.webofscience.com%2Fwos%2Fwoscc%2Ffull-record%2FWOS:000801317200001","View Full Record in Web of Science")</f>
        <v>View Full Record in Web of Science</v>
      </c>
    </row>
    <row r="335" spans="1:72" x14ac:dyDescent="0.15">
      <c r="A335" t="s">
        <v>72</v>
      </c>
      <c r="B335" t="s">
        <v>7015</v>
      </c>
      <c r="C335" t="s">
        <v>74</v>
      </c>
      <c r="D335" t="s">
        <v>74</v>
      </c>
      <c r="E335" t="s">
        <v>74</v>
      </c>
      <c r="F335" t="s">
        <v>7016</v>
      </c>
      <c r="G335" t="s">
        <v>74</v>
      </c>
      <c r="H335" t="s">
        <v>74</v>
      </c>
      <c r="I335" t="s">
        <v>7017</v>
      </c>
      <c r="J335" t="s">
        <v>7018</v>
      </c>
      <c r="K335" t="s">
        <v>74</v>
      </c>
      <c r="L335" t="s">
        <v>74</v>
      </c>
      <c r="M335" t="s">
        <v>78</v>
      </c>
      <c r="N335" t="s">
        <v>79</v>
      </c>
      <c r="O335" t="s">
        <v>74</v>
      </c>
      <c r="P335" t="s">
        <v>74</v>
      </c>
      <c r="Q335" t="s">
        <v>74</v>
      </c>
      <c r="R335" t="s">
        <v>74</v>
      </c>
      <c r="S335" t="s">
        <v>74</v>
      </c>
      <c r="T335" t="s">
        <v>7019</v>
      </c>
      <c r="U335" t="s">
        <v>7020</v>
      </c>
      <c r="V335" t="s">
        <v>7021</v>
      </c>
      <c r="W335" t="s">
        <v>7022</v>
      </c>
      <c r="X335" t="s">
        <v>7023</v>
      </c>
      <c r="Y335" t="s">
        <v>7024</v>
      </c>
      <c r="Z335" t="s">
        <v>7025</v>
      </c>
      <c r="AA335" t="s">
        <v>7026</v>
      </c>
      <c r="AB335" t="s">
        <v>7027</v>
      </c>
      <c r="AC335" t="s">
        <v>74</v>
      </c>
      <c r="AD335" t="s">
        <v>74</v>
      </c>
      <c r="AE335" t="s">
        <v>74</v>
      </c>
      <c r="AF335" t="s">
        <v>74</v>
      </c>
      <c r="AG335">
        <v>96</v>
      </c>
      <c r="AH335">
        <v>5</v>
      </c>
      <c r="AI335">
        <v>5</v>
      </c>
      <c r="AJ335">
        <v>14</v>
      </c>
      <c r="AK335">
        <v>38</v>
      </c>
      <c r="AL335" t="s">
        <v>1766</v>
      </c>
      <c r="AM335" t="s">
        <v>1767</v>
      </c>
      <c r="AN335" t="s">
        <v>1768</v>
      </c>
      <c r="AO335" t="s">
        <v>74</v>
      </c>
      <c r="AP335" t="s">
        <v>7028</v>
      </c>
      <c r="AQ335" t="s">
        <v>74</v>
      </c>
      <c r="AR335" t="s">
        <v>7029</v>
      </c>
      <c r="AS335" t="s">
        <v>7030</v>
      </c>
      <c r="AT335" t="s">
        <v>5076</v>
      </c>
      <c r="AU335">
        <v>2022</v>
      </c>
      <c r="AV335">
        <v>14</v>
      </c>
      <c r="AW335">
        <v>10</v>
      </c>
      <c r="AX335" t="s">
        <v>74</v>
      </c>
      <c r="AY335" t="s">
        <v>74</v>
      </c>
      <c r="AZ335" t="s">
        <v>74</v>
      </c>
      <c r="BA335" t="s">
        <v>74</v>
      </c>
      <c r="BB335" t="s">
        <v>74</v>
      </c>
      <c r="BC335" t="s">
        <v>74</v>
      </c>
      <c r="BD335">
        <v>5971</v>
      </c>
      <c r="BE335" t="s">
        <v>7031</v>
      </c>
      <c r="BF335" t="str">
        <f>HYPERLINK("http://dx.doi.org/10.3390/su14105971","http://dx.doi.org/10.3390/su14105971")</f>
        <v>http://dx.doi.org/10.3390/su14105971</v>
      </c>
      <c r="BG335" t="s">
        <v>74</v>
      </c>
      <c r="BH335" t="s">
        <v>74</v>
      </c>
      <c r="BI335">
        <v>22</v>
      </c>
      <c r="BJ335" t="s">
        <v>7032</v>
      </c>
      <c r="BK335" t="s">
        <v>956</v>
      </c>
      <c r="BL335" t="s">
        <v>7033</v>
      </c>
      <c r="BM335" t="s">
        <v>7034</v>
      </c>
      <c r="BN335" t="s">
        <v>74</v>
      </c>
      <c r="BO335" t="s">
        <v>438</v>
      </c>
      <c r="BP335" t="s">
        <v>74</v>
      </c>
      <c r="BQ335" t="s">
        <v>74</v>
      </c>
      <c r="BR335" t="s">
        <v>103</v>
      </c>
      <c r="BS335" t="s">
        <v>7035</v>
      </c>
      <c r="BT335" t="str">
        <f>HYPERLINK("https%3A%2F%2Fwww.webofscience.com%2Fwos%2Fwoscc%2Ffull-record%2FWOS:000801831600001","View Full Record in Web of Science")</f>
        <v>View Full Record in Web of Science</v>
      </c>
    </row>
    <row r="336" spans="1:72" x14ac:dyDescent="0.15">
      <c r="A336" t="s">
        <v>72</v>
      </c>
      <c r="B336" t="s">
        <v>7036</v>
      </c>
      <c r="C336" t="s">
        <v>74</v>
      </c>
      <c r="D336" t="s">
        <v>74</v>
      </c>
      <c r="E336" t="s">
        <v>74</v>
      </c>
      <c r="F336" t="s">
        <v>7037</v>
      </c>
      <c r="G336" t="s">
        <v>74</v>
      </c>
      <c r="H336" t="s">
        <v>74</v>
      </c>
      <c r="I336" t="s">
        <v>7038</v>
      </c>
      <c r="J336" t="s">
        <v>1848</v>
      </c>
      <c r="K336" t="s">
        <v>74</v>
      </c>
      <c r="L336" t="s">
        <v>74</v>
      </c>
      <c r="M336" t="s">
        <v>78</v>
      </c>
      <c r="N336" t="s">
        <v>79</v>
      </c>
      <c r="O336" t="s">
        <v>74</v>
      </c>
      <c r="P336" t="s">
        <v>74</v>
      </c>
      <c r="Q336" t="s">
        <v>74</v>
      </c>
      <c r="R336" t="s">
        <v>74</v>
      </c>
      <c r="S336" t="s">
        <v>74</v>
      </c>
      <c r="T336" t="s">
        <v>7039</v>
      </c>
      <c r="U336" t="s">
        <v>7040</v>
      </c>
      <c r="V336" t="s">
        <v>7041</v>
      </c>
      <c r="W336" t="s">
        <v>7042</v>
      </c>
      <c r="X336" t="s">
        <v>7043</v>
      </c>
      <c r="Y336" t="s">
        <v>7044</v>
      </c>
      <c r="Z336" t="s">
        <v>7045</v>
      </c>
      <c r="AA336" t="s">
        <v>7046</v>
      </c>
      <c r="AB336" t="s">
        <v>7047</v>
      </c>
      <c r="AC336" t="s">
        <v>7048</v>
      </c>
      <c r="AD336" t="s">
        <v>7049</v>
      </c>
      <c r="AE336" t="s">
        <v>7050</v>
      </c>
      <c r="AF336" t="s">
        <v>74</v>
      </c>
      <c r="AG336">
        <v>34</v>
      </c>
      <c r="AH336">
        <v>5</v>
      </c>
      <c r="AI336">
        <v>5</v>
      </c>
      <c r="AJ336">
        <v>0</v>
      </c>
      <c r="AK336">
        <v>6</v>
      </c>
      <c r="AL336" t="s">
        <v>1766</v>
      </c>
      <c r="AM336" t="s">
        <v>1767</v>
      </c>
      <c r="AN336" t="s">
        <v>1768</v>
      </c>
      <c r="AO336" t="s">
        <v>74</v>
      </c>
      <c r="AP336" t="s">
        <v>1859</v>
      </c>
      <c r="AQ336" t="s">
        <v>74</v>
      </c>
      <c r="AR336" t="s">
        <v>1848</v>
      </c>
      <c r="AS336" t="s">
        <v>1860</v>
      </c>
      <c r="AT336" t="s">
        <v>5076</v>
      </c>
      <c r="AU336">
        <v>2022</v>
      </c>
      <c r="AV336">
        <v>14</v>
      </c>
      <c r="AW336">
        <v>5</v>
      </c>
      <c r="AX336" t="s">
        <v>74</v>
      </c>
      <c r="AY336" t="s">
        <v>74</v>
      </c>
      <c r="AZ336" t="s">
        <v>74</v>
      </c>
      <c r="BA336" t="s">
        <v>74</v>
      </c>
      <c r="BB336" t="s">
        <v>74</v>
      </c>
      <c r="BC336" t="s">
        <v>74</v>
      </c>
      <c r="BD336">
        <v>315</v>
      </c>
      <c r="BE336" t="s">
        <v>7051</v>
      </c>
      <c r="BF336" t="str">
        <f>HYPERLINK("http://dx.doi.org/10.3390/d14050315","http://dx.doi.org/10.3390/d14050315")</f>
        <v>http://dx.doi.org/10.3390/d14050315</v>
      </c>
      <c r="BG336" t="s">
        <v>74</v>
      </c>
      <c r="BH336" t="s">
        <v>74</v>
      </c>
      <c r="BI336">
        <v>11</v>
      </c>
      <c r="BJ336" t="s">
        <v>539</v>
      </c>
      <c r="BK336" t="s">
        <v>101</v>
      </c>
      <c r="BL336" t="s">
        <v>540</v>
      </c>
      <c r="BM336" t="s">
        <v>7052</v>
      </c>
      <c r="BN336" t="s">
        <v>74</v>
      </c>
      <c r="BO336" t="s">
        <v>438</v>
      </c>
      <c r="BP336" t="s">
        <v>74</v>
      </c>
      <c r="BQ336" t="s">
        <v>74</v>
      </c>
      <c r="BR336" t="s">
        <v>103</v>
      </c>
      <c r="BS336" t="s">
        <v>7053</v>
      </c>
      <c r="BT336" t="str">
        <f>HYPERLINK("https%3A%2F%2Fwww.webofscience.com%2Fwos%2Fwoscc%2Ffull-record%2FWOS:000801557000001","View Full Record in Web of Science")</f>
        <v>View Full Record in Web of Science</v>
      </c>
    </row>
    <row r="337" spans="1:72" x14ac:dyDescent="0.15">
      <c r="A337" t="s">
        <v>72</v>
      </c>
      <c r="B337" t="s">
        <v>7054</v>
      </c>
      <c r="C337" t="s">
        <v>74</v>
      </c>
      <c r="D337" t="s">
        <v>74</v>
      </c>
      <c r="E337" t="s">
        <v>74</v>
      </c>
      <c r="F337" t="s">
        <v>7055</v>
      </c>
      <c r="G337" t="s">
        <v>74</v>
      </c>
      <c r="H337" t="s">
        <v>74</v>
      </c>
      <c r="I337" t="s">
        <v>7056</v>
      </c>
      <c r="J337" t="s">
        <v>7057</v>
      </c>
      <c r="K337" t="s">
        <v>74</v>
      </c>
      <c r="L337" t="s">
        <v>74</v>
      </c>
      <c r="M337" t="s">
        <v>78</v>
      </c>
      <c r="N337" t="s">
        <v>161</v>
      </c>
      <c r="O337" t="s">
        <v>74</v>
      </c>
      <c r="P337" t="s">
        <v>74</v>
      </c>
      <c r="Q337" t="s">
        <v>74</v>
      </c>
      <c r="R337" t="s">
        <v>74</v>
      </c>
      <c r="S337" t="s">
        <v>74</v>
      </c>
      <c r="T337" t="s">
        <v>7058</v>
      </c>
      <c r="U337" t="s">
        <v>7059</v>
      </c>
      <c r="V337" t="s">
        <v>7060</v>
      </c>
      <c r="W337" t="s">
        <v>7061</v>
      </c>
      <c r="X337" t="s">
        <v>7062</v>
      </c>
      <c r="Y337" t="s">
        <v>7063</v>
      </c>
      <c r="Z337" t="s">
        <v>7064</v>
      </c>
      <c r="AA337" t="s">
        <v>7065</v>
      </c>
      <c r="AB337" t="s">
        <v>7066</v>
      </c>
      <c r="AC337" t="s">
        <v>74</v>
      </c>
      <c r="AD337" t="s">
        <v>74</v>
      </c>
      <c r="AE337" t="s">
        <v>74</v>
      </c>
      <c r="AF337" t="s">
        <v>74</v>
      </c>
      <c r="AG337">
        <v>105</v>
      </c>
      <c r="AH337">
        <v>2</v>
      </c>
      <c r="AI337">
        <v>2</v>
      </c>
      <c r="AJ337">
        <v>5</v>
      </c>
      <c r="AK337">
        <v>32</v>
      </c>
      <c r="AL337" t="s">
        <v>1766</v>
      </c>
      <c r="AM337" t="s">
        <v>1767</v>
      </c>
      <c r="AN337" t="s">
        <v>1768</v>
      </c>
      <c r="AO337" t="s">
        <v>74</v>
      </c>
      <c r="AP337" t="s">
        <v>7067</v>
      </c>
      <c r="AQ337" t="s">
        <v>74</v>
      </c>
      <c r="AR337" t="s">
        <v>7068</v>
      </c>
      <c r="AS337" t="s">
        <v>7069</v>
      </c>
      <c r="AT337" t="s">
        <v>5076</v>
      </c>
      <c r="AU337">
        <v>2022</v>
      </c>
      <c r="AV337">
        <v>20</v>
      </c>
      <c r="AW337">
        <v>5</v>
      </c>
      <c r="AX337" t="s">
        <v>74</v>
      </c>
      <c r="AY337" t="s">
        <v>74</v>
      </c>
      <c r="AZ337" t="s">
        <v>74</v>
      </c>
      <c r="BA337" t="s">
        <v>74</v>
      </c>
      <c r="BB337" t="s">
        <v>74</v>
      </c>
      <c r="BC337" t="s">
        <v>74</v>
      </c>
      <c r="BD337">
        <v>337</v>
      </c>
      <c r="BE337" t="s">
        <v>7070</v>
      </c>
      <c r="BF337" t="str">
        <f>HYPERLINK("http://dx.doi.org/10.3390/md20050337","http://dx.doi.org/10.3390/md20050337")</f>
        <v>http://dx.doi.org/10.3390/md20050337</v>
      </c>
      <c r="BG337" t="s">
        <v>74</v>
      </c>
      <c r="BH337" t="s">
        <v>74</v>
      </c>
      <c r="BI337">
        <v>18</v>
      </c>
      <c r="BJ337" t="s">
        <v>7071</v>
      </c>
      <c r="BK337" t="s">
        <v>101</v>
      </c>
      <c r="BL337" t="s">
        <v>7072</v>
      </c>
      <c r="BM337" t="s">
        <v>7073</v>
      </c>
      <c r="BN337">
        <v>35621988</v>
      </c>
      <c r="BO337" t="s">
        <v>295</v>
      </c>
      <c r="BP337" t="s">
        <v>74</v>
      </c>
      <c r="BQ337" t="s">
        <v>74</v>
      </c>
      <c r="BR337" t="s">
        <v>103</v>
      </c>
      <c r="BS337" t="s">
        <v>7074</v>
      </c>
      <c r="BT337" t="str">
        <f>HYPERLINK("https%3A%2F%2Fwww.webofscience.com%2Fwos%2Fwoscc%2Ffull-record%2FWOS:000801459900001","View Full Record in Web of Science")</f>
        <v>View Full Record in Web of Science</v>
      </c>
    </row>
    <row r="338" spans="1:72" x14ac:dyDescent="0.15">
      <c r="A338" t="s">
        <v>72</v>
      </c>
      <c r="B338" t="s">
        <v>7075</v>
      </c>
      <c r="C338" t="s">
        <v>74</v>
      </c>
      <c r="D338" t="s">
        <v>74</v>
      </c>
      <c r="E338" t="s">
        <v>74</v>
      </c>
      <c r="F338" t="s">
        <v>7076</v>
      </c>
      <c r="G338" t="s">
        <v>74</v>
      </c>
      <c r="H338" t="s">
        <v>74</v>
      </c>
      <c r="I338" t="s">
        <v>7077</v>
      </c>
      <c r="J338" t="s">
        <v>7057</v>
      </c>
      <c r="K338" t="s">
        <v>74</v>
      </c>
      <c r="L338" t="s">
        <v>74</v>
      </c>
      <c r="M338" t="s">
        <v>78</v>
      </c>
      <c r="N338" t="s">
        <v>79</v>
      </c>
      <c r="O338" t="s">
        <v>74</v>
      </c>
      <c r="P338" t="s">
        <v>74</v>
      </c>
      <c r="Q338" t="s">
        <v>74</v>
      </c>
      <c r="R338" t="s">
        <v>74</v>
      </c>
      <c r="S338" t="s">
        <v>74</v>
      </c>
      <c r="T338" t="s">
        <v>7078</v>
      </c>
      <c r="U338" t="s">
        <v>7079</v>
      </c>
      <c r="V338" t="s">
        <v>7080</v>
      </c>
      <c r="W338" t="s">
        <v>7081</v>
      </c>
      <c r="X338" t="s">
        <v>7082</v>
      </c>
      <c r="Y338" t="s">
        <v>7083</v>
      </c>
      <c r="Z338" t="s">
        <v>7084</v>
      </c>
      <c r="AA338" t="s">
        <v>7085</v>
      </c>
      <c r="AB338" t="s">
        <v>7086</v>
      </c>
      <c r="AC338" t="s">
        <v>7087</v>
      </c>
      <c r="AD338" t="s">
        <v>7088</v>
      </c>
      <c r="AE338" t="s">
        <v>7089</v>
      </c>
      <c r="AF338" t="s">
        <v>74</v>
      </c>
      <c r="AG338">
        <v>54</v>
      </c>
      <c r="AH338">
        <v>3</v>
      </c>
      <c r="AI338">
        <v>3</v>
      </c>
      <c r="AJ338">
        <v>4</v>
      </c>
      <c r="AK338">
        <v>14</v>
      </c>
      <c r="AL338" t="s">
        <v>1766</v>
      </c>
      <c r="AM338" t="s">
        <v>1767</v>
      </c>
      <c r="AN338" t="s">
        <v>1768</v>
      </c>
      <c r="AO338" t="s">
        <v>74</v>
      </c>
      <c r="AP338" t="s">
        <v>7067</v>
      </c>
      <c r="AQ338" t="s">
        <v>74</v>
      </c>
      <c r="AR338" t="s">
        <v>7068</v>
      </c>
      <c r="AS338" t="s">
        <v>7069</v>
      </c>
      <c r="AT338" t="s">
        <v>5076</v>
      </c>
      <c r="AU338">
        <v>2022</v>
      </c>
      <c r="AV338">
        <v>20</v>
      </c>
      <c r="AW338">
        <v>5</v>
      </c>
      <c r="AX338" t="s">
        <v>74</v>
      </c>
      <c r="AY338" t="s">
        <v>74</v>
      </c>
      <c r="AZ338" t="s">
        <v>74</v>
      </c>
      <c r="BA338" t="s">
        <v>74</v>
      </c>
      <c r="BB338" t="s">
        <v>74</v>
      </c>
      <c r="BC338" t="s">
        <v>74</v>
      </c>
      <c r="BD338">
        <v>275</v>
      </c>
      <c r="BE338" t="s">
        <v>7090</v>
      </c>
      <c r="BF338" t="str">
        <f>HYPERLINK("http://dx.doi.org/10.3390/md20050275","http://dx.doi.org/10.3390/md20050275")</f>
        <v>http://dx.doi.org/10.3390/md20050275</v>
      </c>
      <c r="BG338" t="s">
        <v>74</v>
      </c>
      <c r="BH338" t="s">
        <v>74</v>
      </c>
      <c r="BI338">
        <v>13</v>
      </c>
      <c r="BJ338" t="s">
        <v>7071</v>
      </c>
      <c r="BK338" t="s">
        <v>101</v>
      </c>
      <c r="BL338" t="s">
        <v>7072</v>
      </c>
      <c r="BM338" t="s">
        <v>7091</v>
      </c>
      <c r="BN338">
        <v>35621926</v>
      </c>
      <c r="BO338" t="s">
        <v>295</v>
      </c>
      <c r="BP338" t="s">
        <v>74</v>
      </c>
      <c r="BQ338" t="s">
        <v>74</v>
      </c>
      <c r="BR338" t="s">
        <v>103</v>
      </c>
      <c r="BS338" t="s">
        <v>7092</v>
      </c>
      <c r="BT338" t="str">
        <f>HYPERLINK("https%3A%2F%2Fwww.webofscience.com%2Fwos%2Fwoscc%2Ffull-record%2FWOS:000803249800001","View Full Record in Web of Science")</f>
        <v>View Full Record in Web of Science</v>
      </c>
    </row>
    <row r="339" spans="1:72" x14ac:dyDescent="0.15">
      <c r="A339" t="s">
        <v>72</v>
      </c>
      <c r="B339" t="s">
        <v>7093</v>
      </c>
      <c r="C339" t="s">
        <v>74</v>
      </c>
      <c r="D339" t="s">
        <v>74</v>
      </c>
      <c r="E339" t="s">
        <v>74</v>
      </c>
      <c r="F339" t="s">
        <v>7094</v>
      </c>
      <c r="G339" t="s">
        <v>74</v>
      </c>
      <c r="H339" t="s">
        <v>74</v>
      </c>
      <c r="I339" t="s">
        <v>7095</v>
      </c>
      <c r="J339" t="s">
        <v>7057</v>
      </c>
      <c r="K339" t="s">
        <v>74</v>
      </c>
      <c r="L339" t="s">
        <v>74</v>
      </c>
      <c r="M339" t="s">
        <v>78</v>
      </c>
      <c r="N339" t="s">
        <v>79</v>
      </c>
      <c r="O339" t="s">
        <v>74</v>
      </c>
      <c r="P339" t="s">
        <v>74</v>
      </c>
      <c r="Q339" t="s">
        <v>74</v>
      </c>
      <c r="R339" t="s">
        <v>74</v>
      </c>
      <c r="S339" t="s">
        <v>74</v>
      </c>
      <c r="T339" t="s">
        <v>7096</v>
      </c>
      <c r="U339" t="s">
        <v>7097</v>
      </c>
      <c r="V339" t="s">
        <v>7098</v>
      </c>
      <c r="W339" t="s">
        <v>7099</v>
      </c>
      <c r="X339" t="s">
        <v>7100</v>
      </c>
      <c r="Y339" t="s">
        <v>7101</v>
      </c>
      <c r="Z339" t="s">
        <v>7102</v>
      </c>
      <c r="AA339" t="s">
        <v>7103</v>
      </c>
      <c r="AB339" t="s">
        <v>7104</v>
      </c>
      <c r="AC339" t="s">
        <v>7105</v>
      </c>
      <c r="AD339" t="s">
        <v>7106</v>
      </c>
      <c r="AE339" t="s">
        <v>7107</v>
      </c>
      <c r="AF339" t="s">
        <v>74</v>
      </c>
      <c r="AG339">
        <v>49</v>
      </c>
      <c r="AH339">
        <v>2</v>
      </c>
      <c r="AI339">
        <v>3</v>
      </c>
      <c r="AJ339">
        <v>4</v>
      </c>
      <c r="AK339">
        <v>24</v>
      </c>
      <c r="AL339" t="s">
        <v>1766</v>
      </c>
      <c r="AM339" t="s">
        <v>1767</v>
      </c>
      <c r="AN339" t="s">
        <v>1768</v>
      </c>
      <c r="AO339" t="s">
        <v>74</v>
      </c>
      <c r="AP339" t="s">
        <v>7067</v>
      </c>
      <c r="AQ339" t="s">
        <v>74</v>
      </c>
      <c r="AR339" t="s">
        <v>7068</v>
      </c>
      <c r="AS339" t="s">
        <v>7069</v>
      </c>
      <c r="AT339" t="s">
        <v>5076</v>
      </c>
      <c r="AU339">
        <v>2022</v>
      </c>
      <c r="AV339">
        <v>20</v>
      </c>
      <c r="AW339">
        <v>5</v>
      </c>
      <c r="AX339" t="s">
        <v>74</v>
      </c>
      <c r="AY339" t="s">
        <v>74</v>
      </c>
      <c r="AZ339" t="s">
        <v>74</v>
      </c>
      <c r="BA339" t="s">
        <v>74</v>
      </c>
      <c r="BB339" t="s">
        <v>74</v>
      </c>
      <c r="BC339" t="s">
        <v>74</v>
      </c>
      <c r="BD339">
        <v>334</v>
      </c>
      <c r="BE339" t="s">
        <v>7108</v>
      </c>
      <c r="BF339" t="str">
        <f>HYPERLINK("http://dx.doi.org/10.3390/md20050334","http://dx.doi.org/10.3390/md20050334")</f>
        <v>http://dx.doi.org/10.3390/md20050334</v>
      </c>
      <c r="BG339" t="s">
        <v>74</v>
      </c>
      <c r="BH339" t="s">
        <v>74</v>
      </c>
      <c r="BI339">
        <v>16</v>
      </c>
      <c r="BJ339" t="s">
        <v>7071</v>
      </c>
      <c r="BK339" t="s">
        <v>101</v>
      </c>
      <c r="BL339" t="s">
        <v>7072</v>
      </c>
      <c r="BM339" t="s">
        <v>7109</v>
      </c>
      <c r="BN339">
        <v>35621985</v>
      </c>
      <c r="BO339" t="s">
        <v>295</v>
      </c>
      <c r="BP339" t="s">
        <v>74</v>
      </c>
      <c r="BQ339" t="s">
        <v>74</v>
      </c>
      <c r="BR339" t="s">
        <v>103</v>
      </c>
      <c r="BS339" t="s">
        <v>7110</v>
      </c>
      <c r="BT339" t="str">
        <f>HYPERLINK("https%3A%2F%2Fwww.webofscience.com%2Fwos%2Fwoscc%2Ffull-record%2FWOS:000802464500001","View Full Record in Web of Science")</f>
        <v>View Full Record in Web of Science</v>
      </c>
    </row>
    <row r="340" spans="1:72" x14ac:dyDescent="0.15">
      <c r="A340" t="s">
        <v>72</v>
      </c>
      <c r="B340" t="s">
        <v>7111</v>
      </c>
      <c r="C340" t="s">
        <v>74</v>
      </c>
      <c r="D340" t="s">
        <v>74</v>
      </c>
      <c r="E340" t="s">
        <v>74</v>
      </c>
      <c r="F340" t="s">
        <v>7112</v>
      </c>
      <c r="G340" t="s">
        <v>74</v>
      </c>
      <c r="H340" t="s">
        <v>74</v>
      </c>
      <c r="I340" t="s">
        <v>7113</v>
      </c>
      <c r="J340" t="s">
        <v>1780</v>
      </c>
      <c r="K340" t="s">
        <v>74</v>
      </c>
      <c r="L340" t="s">
        <v>74</v>
      </c>
      <c r="M340" t="s">
        <v>78</v>
      </c>
      <c r="N340" t="s">
        <v>79</v>
      </c>
      <c r="O340" t="s">
        <v>74</v>
      </c>
      <c r="P340" t="s">
        <v>74</v>
      </c>
      <c r="Q340" t="s">
        <v>74</v>
      </c>
      <c r="R340" t="s">
        <v>74</v>
      </c>
      <c r="S340" t="s">
        <v>74</v>
      </c>
      <c r="T340" t="s">
        <v>7114</v>
      </c>
      <c r="U340" t="s">
        <v>7115</v>
      </c>
      <c r="V340" t="s">
        <v>7116</v>
      </c>
      <c r="W340" t="s">
        <v>7117</v>
      </c>
      <c r="X340" t="s">
        <v>7118</v>
      </c>
      <c r="Y340" t="s">
        <v>7119</v>
      </c>
      <c r="Z340" t="s">
        <v>7120</v>
      </c>
      <c r="AA340" t="s">
        <v>7121</v>
      </c>
      <c r="AB340" t="s">
        <v>7122</v>
      </c>
      <c r="AC340" t="s">
        <v>7123</v>
      </c>
      <c r="AD340" t="s">
        <v>7124</v>
      </c>
      <c r="AE340" t="s">
        <v>7125</v>
      </c>
      <c r="AF340" t="s">
        <v>74</v>
      </c>
      <c r="AG340">
        <v>41</v>
      </c>
      <c r="AH340">
        <v>1</v>
      </c>
      <c r="AI340">
        <v>1</v>
      </c>
      <c r="AJ340">
        <v>0</v>
      </c>
      <c r="AK340">
        <v>16</v>
      </c>
      <c r="AL340" t="s">
        <v>1766</v>
      </c>
      <c r="AM340" t="s">
        <v>1767</v>
      </c>
      <c r="AN340" t="s">
        <v>1768</v>
      </c>
      <c r="AO340" t="s">
        <v>74</v>
      </c>
      <c r="AP340" t="s">
        <v>1793</v>
      </c>
      <c r="AQ340" t="s">
        <v>74</v>
      </c>
      <c r="AR340" t="s">
        <v>1794</v>
      </c>
      <c r="AS340" t="s">
        <v>1795</v>
      </c>
      <c r="AT340" t="s">
        <v>5076</v>
      </c>
      <c r="AU340">
        <v>2022</v>
      </c>
      <c r="AV340">
        <v>13</v>
      </c>
      <c r="AW340">
        <v>5</v>
      </c>
      <c r="AX340" t="s">
        <v>74</v>
      </c>
      <c r="AY340" t="s">
        <v>74</v>
      </c>
      <c r="AZ340" t="s">
        <v>74</v>
      </c>
      <c r="BA340" t="s">
        <v>74</v>
      </c>
      <c r="BB340" t="s">
        <v>74</v>
      </c>
      <c r="BC340" t="s">
        <v>74</v>
      </c>
      <c r="BD340">
        <v>736</v>
      </c>
      <c r="BE340" t="s">
        <v>7126</v>
      </c>
      <c r="BF340" t="str">
        <f>HYPERLINK("http://dx.doi.org/10.3390/atmos13050736","http://dx.doi.org/10.3390/atmos13050736")</f>
        <v>http://dx.doi.org/10.3390/atmos13050736</v>
      </c>
      <c r="BG340" t="s">
        <v>74</v>
      </c>
      <c r="BH340" t="s">
        <v>74</v>
      </c>
      <c r="BI340">
        <v>15</v>
      </c>
      <c r="BJ340" t="s">
        <v>1797</v>
      </c>
      <c r="BK340" t="s">
        <v>101</v>
      </c>
      <c r="BL340" t="s">
        <v>957</v>
      </c>
      <c r="BM340" t="s">
        <v>7127</v>
      </c>
      <c r="BN340" t="s">
        <v>74</v>
      </c>
      <c r="BO340" t="s">
        <v>438</v>
      </c>
      <c r="BP340" t="s">
        <v>74</v>
      </c>
      <c r="BQ340" t="s">
        <v>74</v>
      </c>
      <c r="BR340" t="s">
        <v>103</v>
      </c>
      <c r="BS340" t="s">
        <v>7128</v>
      </c>
      <c r="BT340" t="str">
        <f>HYPERLINK("https%3A%2F%2Fwww.webofscience.com%2Fwos%2Fwoscc%2Ffull-record%2FWOS:000801753800001","View Full Record in Web of Science")</f>
        <v>View Full Record in Web of Science</v>
      </c>
    </row>
    <row r="341" spans="1:72" x14ac:dyDescent="0.15">
      <c r="A341" t="s">
        <v>72</v>
      </c>
      <c r="B341" t="s">
        <v>7129</v>
      </c>
      <c r="C341" t="s">
        <v>74</v>
      </c>
      <c r="D341" t="s">
        <v>74</v>
      </c>
      <c r="E341" t="s">
        <v>74</v>
      </c>
      <c r="F341" t="s">
        <v>7130</v>
      </c>
      <c r="G341" t="s">
        <v>74</v>
      </c>
      <c r="H341" t="s">
        <v>74</v>
      </c>
      <c r="I341" t="s">
        <v>7131</v>
      </c>
      <c r="J341" t="s">
        <v>1848</v>
      </c>
      <c r="K341" t="s">
        <v>74</v>
      </c>
      <c r="L341" t="s">
        <v>74</v>
      </c>
      <c r="M341" t="s">
        <v>78</v>
      </c>
      <c r="N341" t="s">
        <v>79</v>
      </c>
      <c r="O341" t="s">
        <v>74</v>
      </c>
      <c r="P341" t="s">
        <v>74</v>
      </c>
      <c r="Q341" t="s">
        <v>74</v>
      </c>
      <c r="R341" t="s">
        <v>74</v>
      </c>
      <c r="S341" t="s">
        <v>74</v>
      </c>
      <c r="T341" t="s">
        <v>7132</v>
      </c>
      <c r="U341" t="s">
        <v>74</v>
      </c>
      <c r="V341" t="s">
        <v>7133</v>
      </c>
      <c r="W341" t="s">
        <v>7134</v>
      </c>
      <c r="X341" t="s">
        <v>7135</v>
      </c>
      <c r="Y341" t="s">
        <v>7136</v>
      </c>
      <c r="Z341" t="s">
        <v>7137</v>
      </c>
      <c r="AA341" t="s">
        <v>7138</v>
      </c>
      <c r="AB341" t="s">
        <v>7139</v>
      </c>
      <c r="AC341" t="s">
        <v>7140</v>
      </c>
      <c r="AD341" t="s">
        <v>7140</v>
      </c>
      <c r="AE341" t="s">
        <v>7141</v>
      </c>
      <c r="AF341" t="s">
        <v>74</v>
      </c>
      <c r="AG341">
        <v>19</v>
      </c>
      <c r="AH341">
        <v>0</v>
      </c>
      <c r="AI341">
        <v>0</v>
      </c>
      <c r="AJ341">
        <v>4</v>
      </c>
      <c r="AK341">
        <v>8</v>
      </c>
      <c r="AL341" t="s">
        <v>1766</v>
      </c>
      <c r="AM341" t="s">
        <v>1767</v>
      </c>
      <c r="AN341" t="s">
        <v>1768</v>
      </c>
      <c r="AO341" t="s">
        <v>74</v>
      </c>
      <c r="AP341" t="s">
        <v>1859</v>
      </c>
      <c r="AQ341" t="s">
        <v>74</v>
      </c>
      <c r="AR341" t="s">
        <v>1848</v>
      </c>
      <c r="AS341" t="s">
        <v>1860</v>
      </c>
      <c r="AT341" t="s">
        <v>5076</v>
      </c>
      <c r="AU341">
        <v>2022</v>
      </c>
      <c r="AV341">
        <v>14</v>
      </c>
      <c r="AW341">
        <v>5</v>
      </c>
      <c r="AX341" t="s">
        <v>74</v>
      </c>
      <c r="AY341" t="s">
        <v>74</v>
      </c>
      <c r="AZ341" t="s">
        <v>74</v>
      </c>
      <c r="BA341" t="s">
        <v>74</v>
      </c>
      <c r="BB341" t="s">
        <v>74</v>
      </c>
      <c r="BC341" t="s">
        <v>74</v>
      </c>
      <c r="BD341">
        <v>382</v>
      </c>
      <c r="BE341" t="s">
        <v>7142</v>
      </c>
      <c r="BF341" t="str">
        <f>HYPERLINK("http://dx.doi.org/10.3390/d14050382","http://dx.doi.org/10.3390/d14050382")</f>
        <v>http://dx.doi.org/10.3390/d14050382</v>
      </c>
      <c r="BG341" t="s">
        <v>74</v>
      </c>
      <c r="BH341" t="s">
        <v>74</v>
      </c>
      <c r="BI341">
        <v>9</v>
      </c>
      <c r="BJ341" t="s">
        <v>539</v>
      </c>
      <c r="BK341" t="s">
        <v>101</v>
      </c>
      <c r="BL341" t="s">
        <v>540</v>
      </c>
      <c r="BM341" t="s">
        <v>7143</v>
      </c>
      <c r="BN341" t="s">
        <v>74</v>
      </c>
      <c r="BO341" t="s">
        <v>438</v>
      </c>
      <c r="BP341" t="s">
        <v>74</v>
      </c>
      <c r="BQ341" t="s">
        <v>74</v>
      </c>
      <c r="BR341" t="s">
        <v>103</v>
      </c>
      <c r="BS341" t="s">
        <v>7144</v>
      </c>
      <c r="BT341" t="str">
        <f>HYPERLINK("https%3A%2F%2Fwww.webofscience.com%2Fwos%2Fwoscc%2Ffull-record%2FWOS:000801476400001","View Full Record in Web of Science")</f>
        <v>View Full Record in Web of Science</v>
      </c>
    </row>
    <row r="342" spans="1:72" x14ac:dyDescent="0.15">
      <c r="A342" t="s">
        <v>72</v>
      </c>
      <c r="B342" t="s">
        <v>7145</v>
      </c>
      <c r="C342" t="s">
        <v>74</v>
      </c>
      <c r="D342" t="s">
        <v>74</v>
      </c>
      <c r="E342" t="s">
        <v>74</v>
      </c>
      <c r="F342" t="s">
        <v>7146</v>
      </c>
      <c r="G342" t="s">
        <v>74</v>
      </c>
      <c r="H342" t="s">
        <v>74</v>
      </c>
      <c r="I342" t="s">
        <v>7147</v>
      </c>
      <c r="J342" t="s">
        <v>7148</v>
      </c>
      <c r="K342" t="s">
        <v>74</v>
      </c>
      <c r="L342" t="s">
        <v>74</v>
      </c>
      <c r="M342" t="s">
        <v>78</v>
      </c>
      <c r="N342" t="s">
        <v>79</v>
      </c>
      <c r="O342" t="s">
        <v>74</v>
      </c>
      <c r="P342" t="s">
        <v>74</v>
      </c>
      <c r="Q342" t="s">
        <v>74</v>
      </c>
      <c r="R342" t="s">
        <v>74</v>
      </c>
      <c r="S342" t="s">
        <v>74</v>
      </c>
      <c r="T342" t="s">
        <v>7149</v>
      </c>
      <c r="U342" t="s">
        <v>7150</v>
      </c>
      <c r="V342" t="s">
        <v>7151</v>
      </c>
      <c r="W342" t="s">
        <v>7152</v>
      </c>
      <c r="X342" t="s">
        <v>7153</v>
      </c>
      <c r="Y342" t="s">
        <v>7154</v>
      </c>
      <c r="Z342" t="s">
        <v>7155</v>
      </c>
      <c r="AA342" t="s">
        <v>7156</v>
      </c>
      <c r="AB342" t="s">
        <v>7157</v>
      </c>
      <c r="AC342" t="s">
        <v>7158</v>
      </c>
      <c r="AD342" t="s">
        <v>7159</v>
      </c>
      <c r="AE342" t="s">
        <v>7160</v>
      </c>
      <c r="AF342" t="s">
        <v>74</v>
      </c>
      <c r="AG342">
        <v>64</v>
      </c>
      <c r="AH342">
        <v>7</v>
      </c>
      <c r="AI342">
        <v>7</v>
      </c>
      <c r="AJ342">
        <v>1</v>
      </c>
      <c r="AK342">
        <v>10</v>
      </c>
      <c r="AL342" t="s">
        <v>1766</v>
      </c>
      <c r="AM342" t="s">
        <v>1767</v>
      </c>
      <c r="AN342" t="s">
        <v>1768</v>
      </c>
      <c r="AO342" t="s">
        <v>74</v>
      </c>
      <c r="AP342" t="s">
        <v>7161</v>
      </c>
      <c r="AQ342" t="s">
        <v>74</v>
      </c>
      <c r="AR342" t="s">
        <v>7162</v>
      </c>
      <c r="AS342" t="s">
        <v>7163</v>
      </c>
      <c r="AT342" t="s">
        <v>5076</v>
      </c>
      <c r="AU342">
        <v>2022</v>
      </c>
      <c r="AV342">
        <v>23</v>
      </c>
      <c r="AW342">
        <v>10</v>
      </c>
      <c r="AX342" t="s">
        <v>74</v>
      </c>
      <c r="AY342" t="s">
        <v>74</v>
      </c>
      <c r="AZ342" t="s">
        <v>74</v>
      </c>
      <c r="BA342" t="s">
        <v>74</v>
      </c>
      <c r="BB342" t="s">
        <v>74</v>
      </c>
      <c r="BC342" t="s">
        <v>74</v>
      </c>
      <c r="BD342">
        <v>5741</v>
      </c>
      <c r="BE342" t="s">
        <v>7164</v>
      </c>
      <c r="BF342" t="str">
        <f>HYPERLINK("http://dx.doi.org/10.3390/ijms23105741","http://dx.doi.org/10.3390/ijms23105741")</f>
        <v>http://dx.doi.org/10.3390/ijms23105741</v>
      </c>
      <c r="BG342" t="s">
        <v>74</v>
      </c>
      <c r="BH342" t="s">
        <v>74</v>
      </c>
      <c r="BI342">
        <v>14</v>
      </c>
      <c r="BJ342" t="s">
        <v>7165</v>
      </c>
      <c r="BK342" t="s">
        <v>101</v>
      </c>
      <c r="BL342" t="s">
        <v>7166</v>
      </c>
      <c r="BM342" t="s">
        <v>7167</v>
      </c>
      <c r="BN342">
        <v>35628551</v>
      </c>
      <c r="BO342" t="s">
        <v>1533</v>
      </c>
      <c r="BP342" t="s">
        <v>74</v>
      </c>
      <c r="BQ342" t="s">
        <v>74</v>
      </c>
      <c r="BR342" t="s">
        <v>103</v>
      </c>
      <c r="BS342" t="s">
        <v>7168</v>
      </c>
      <c r="BT342" t="str">
        <f>HYPERLINK("https%3A%2F%2Fwww.webofscience.com%2Fwos%2Fwoscc%2Ffull-record%2FWOS:000801469800001","View Full Record in Web of Science")</f>
        <v>View Full Record in Web of Science</v>
      </c>
    </row>
    <row r="343" spans="1:72" x14ac:dyDescent="0.15">
      <c r="A343" t="s">
        <v>72</v>
      </c>
      <c r="B343" t="s">
        <v>7169</v>
      </c>
      <c r="C343" t="s">
        <v>74</v>
      </c>
      <c r="D343" t="s">
        <v>74</v>
      </c>
      <c r="E343" t="s">
        <v>74</v>
      </c>
      <c r="F343" t="s">
        <v>7170</v>
      </c>
      <c r="G343" t="s">
        <v>74</v>
      </c>
      <c r="H343" t="s">
        <v>74</v>
      </c>
      <c r="I343" t="s">
        <v>7171</v>
      </c>
      <c r="J343" t="s">
        <v>1923</v>
      </c>
      <c r="K343" t="s">
        <v>74</v>
      </c>
      <c r="L343" t="s">
        <v>74</v>
      </c>
      <c r="M343" t="s">
        <v>78</v>
      </c>
      <c r="N343" t="s">
        <v>79</v>
      </c>
      <c r="O343" t="s">
        <v>74</v>
      </c>
      <c r="P343" t="s">
        <v>74</v>
      </c>
      <c r="Q343" t="s">
        <v>74</v>
      </c>
      <c r="R343" t="s">
        <v>74</v>
      </c>
      <c r="S343" t="s">
        <v>74</v>
      </c>
      <c r="T343" t="s">
        <v>7172</v>
      </c>
      <c r="U343" t="s">
        <v>7173</v>
      </c>
      <c r="V343" t="s">
        <v>7174</v>
      </c>
      <c r="W343" t="s">
        <v>7175</v>
      </c>
      <c r="X343" t="s">
        <v>7176</v>
      </c>
      <c r="Y343" t="s">
        <v>7177</v>
      </c>
      <c r="Z343" t="s">
        <v>7178</v>
      </c>
      <c r="AA343" t="s">
        <v>74</v>
      </c>
      <c r="AB343" t="s">
        <v>7179</v>
      </c>
      <c r="AC343" t="s">
        <v>7180</v>
      </c>
      <c r="AD343" t="s">
        <v>7181</v>
      </c>
      <c r="AE343" t="s">
        <v>7182</v>
      </c>
      <c r="AF343" t="s">
        <v>74</v>
      </c>
      <c r="AG343">
        <v>112</v>
      </c>
      <c r="AH343">
        <v>2</v>
      </c>
      <c r="AI343">
        <v>3</v>
      </c>
      <c r="AJ343">
        <v>0</v>
      </c>
      <c r="AK343">
        <v>8</v>
      </c>
      <c r="AL343" t="s">
        <v>1766</v>
      </c>
      <c r="AM343" t="s">
        <v>1767</v>
      </c>
      <c r="AN343" t="s">
        <v>1768</v>
      </c>
      <c r="AO343" t="s">
        <v>74</v>
      </c>
      <c r="AP343" t="s">
        <v>1935</v>
      </c>
      <c r="AQ343" t="s">
        <v>74</v>
      </c>
      <c r="AR343" t="s">
        <v>1936</v>
      </c>
      <c r="AS343" t="s">
        <v>1937</v>
      </c>
      <c r="AT343" t="s">
        <v>5076</v>
      </c>
      <c r="AU343">
        <v>2022</v>
      </c>
      <c r="AV343">
        <v>14</v>
      </c>
      <c r="AW343">
        <v>9</v>
      </c>
      <c r="AX343" t="s">
        <v>74</v>
      </c>
      <c r="AY343" t="s">
        <v>74</v>
      </c>
      <c r="AZ343" t="s">
        <v>74</v>
      </c>
      <c r="BA343" t="s">
        <v>74</v>
      </c>
      <c r="BB343" t="s">
        <v>74</v>
      </c>
      <c r="BC343" t="s">
        <v>74</v>
      </c>
      <c r="BD343">
        <v>2140</v>
      </c>
      <c r="BE343" t="s">
        <v>7183</v>
      </c>
      <c r="BF343" t="str">
        <f>HYPERLINK("http://dx.doi.org/10.3390/rs14092140","http://dx.doi.org/10.3390/rs14092140")</f>
        <v>http://dx.doi.org/10.3390/rs14092140</v>
      </c>
      <c r="BG343" t="s">
        <v>74</v>
      </c>
      <c r="BH343" t="s">
        <v>74</v>
      </c>
      <c r="BI343">
        <v>24</v>
      </c>
      <c r="BJ343" t="s">
        <v>1939</v>
      </c>
      <c r="BK343" t="s">
        <v>101</v>
      </c>
      <c r="BL343" t="s">
        <v>1940</v>
      </c>
      <c r="BM343" t="s">
        <v>7184</v>
      </c>
      <c r="BN343" t="s">
        <v>74</v>
      </c>
      <c r="BO343" t="s">
        <v>1533</v>
      </c>
      <c r="BP343" t="s">
        <v>74</v>
      </c>
      <c r="BQ343" t="s">
        <v>74</v>
      </c>
      <c r="BR343" t="s">
        <v>103</v>
      </c>
      <c r="BS343" t="s">
        <v>7185</v>
      </c>
      <c r="BT343" t="str">
        <f>HYPERLINK("https%3A%2F%2Fwww.webofscience.com%2Fwos%2Fwoscc%2Ffull-record%2FWOS:000800722500001","View Full Record in Web of Science")</f>
        <v>View Full Record in Web of Science</v>
      </c>
    </row>
    <row r="344" spans="1:72" x14ac:dyDescent="0.15">
      <c r="A344" t="s">
        <v>72</v>
      </c>
      <c r="B344" t="s">
        <v>7186</v>
      </c>
      <c r="C344" t="s">
        <v>74</v>
      </c>
      <c r="D344" t="s">
        <v>74</v>
      </c>
      <c r="E344" t="s">
        <v>74</v>
      </c>
      <c r="F344" t="s">
        <v>7187</v>
      </c>
      <c r="G344" t="s">
        <v>74</v>
      </c>
      <c r="H344" t="s">
        <v>74</v>
      </c>
      <c r="I344" t="s">
        <v>7188</v>
      </c>
      <c r="J344" t="s">
        <v>7189</v>
      </c>
      <c r="K344" t="s">
        <v>74</v>
      </c>
      <c r="L344" t="s">
        <v>74</v>
      </c>
      <c r="M344" t="s">
        <v>78</v>
      </c>
      <c r="N344" t="s">
        <v>79</v>
      </c>
      <c r="O344" t="s">
        <v>74</v>
      </c>
      <c r="P344" t="s">
        <v>74</v>
      </c>
      <c r="Q344" t="s">
        <v>74</v>
      </c>
      <c r="R344" t="s">
        <v>74</v>
      </c>
      <c r="S344" t="s">
        <v>74</v>
      </c>
      <c r="T344" t="s">
        <v>7190</v>
      </c>
      <c r="U344" t="s">
        <v>7191</v>
      </c>
      <c r="V344" t="s">
        <v>7192</v>
      </c>
      <c r="W344" t="s">
        <v>7193</v>
      </c>
      <c r="X344" t="s">
        <v>7194</v>
      </c>
      <c r="Y344" t="s">
        <v>7195</v>
      </c>
      <c r="Z344" t="s">
        <v>7196</v>
      </c>
      <c r="AA344" t="s">
        <v>7197</v>
      </c>
      <c r="AB344" t="s">
        <v>74</v>
      </c>
      <c r="AC344" t="s">
        <v>7198</v>
      </c>
      <c r="AD344" t="s">
        <v>7199</v>
      </c>
      <c r="AE344" t="s">
        <v>7200</v>
      </c>
      <c r="AF344" t="s">
        <v>74</v>
      </c>
      <c r="AG344">
        <v>36</v>
      </c>
      <c r="AH344">
        <v>0</v>
      </c>
      <c r="AI344">
        <v>0</v>
      </c>
      <c r="AJ344">
        <v>0</v>
      </c>
      <c r="AK344">
        <v>12</v>
      </c>
      <c r="AL344" t="s">
        <v>7201</v>
      </c>
      <c r="AM344" t="s">
        <v>2859</v>
      </c>
      <c r="AN344" t="s">
        <v>7202</v>
      </c>
      <c r="AO344" t="s">
        <v>7203</v>
      </c>
      <c r="AP344" t="s">
        <v>74</v>
      </c>
      <c r="AQ344" t="s">
        <v>74</v>
      </c>
      <c r="AR344" t="s">
        <v>7204</v>
      </c>
      <c r="AS344" t="s">
        <v>7205</v>
      </c>
      <c r="AT344" t="s">
        <v>5076</v>
      </c>
      <c r="AU344">
        <v>2022</v>
      </c>
      <c r="AV344">
        <v>6</v>
      </c>
      <c r="AW344">
        <v>3</v>
      </c>
      <c r="AX344" t="s">
        <v>74</v>
      </c>
      <c r="AY344" t="s">
        <v>74</v>
      </c>
      <c r="AZ344" t="s">
        <v>74</v>
      </c>
      <c r="BA344" t="s">
        <v>74</v>
      </c>
      <c r="BB344">
        <v>248</v>
      </c>
      <c r="BC344">
        <v>258</v>
      </c>
      <c r="BD344" t="s">
        <v>74</v>
      </c>
      <c r="BE344" t="s">
        <v>7206</v>
      </c>
      <c r="BF344" t="str">
        <f>HYPERLINK("http://dx.doi.org/10.26464/epp2022023","http://dx.doi.org/10.26464/epp2022023")</f>
        <v>http://dx.doi.org/10.26464/epp2022023</v>
      </c>
      <c r="BG344" t="s">
        <v>74</v>
      </c>
      <c r="BH344" t="s">
        <v>74</v>
      </c>
      <c r="BI344">
        <v>11</v>
      </c>
      <c r="BJ344" t="s">
        <v>265</v>
      </c>
      <c r="BK344" t="s">
        <v>839</v>
      </c>
      <c r="BL344" t="s">
        <v>100</v>
      </c>
      <c r="BM344" t="s">
        <v>7207</v>
      </c>
      <c r="BN344" t="s">
        <v>74</v>
      </c>
      <c r="BO344" t="s">
        <v>438</v>
      </c>
      <c r="BP344" t="s">
        <v>74</v>
      </c>
      <c r="BQ344" t="s">
        <v>74</v>
      </c>
      <c r="BR344" t="s">
        <v>103</v>
      </c>
      <c r="BS344" t="s">
        <v>7208</v>
      </c>
      <c r="BT344" t="str">
        <f>HYPERLINK("https%3A%2F%2Fwww.webofscience.com%2Fwos%2Fwoscc%2Ffull-record%2FWOS:000795892200004","View Full Record in Web of Science")</f>
        <v>View Full Record in Web of Science</v>
      </c>
    </row>
    <row r="345" spans="1:72" x14ac:dyDescent="0.15">
      <c r="A345" t="s">
        <v>72</v>
      </c>
      <c r="B345" t="s">
        <v>7209</v>
      </c>
      <c r="C345" t="s">
        <v>74</v>
      </c>
      <c r="D345" t="s">
        <v>74</v>
      </c>
      <c r="E345" t="s">
        <v>74</v>
      </c>
      <c r="F345" t="s">
        <v>7210</v>
      </c>
      <c r="G345" t="s">
        <v>74</v>
      </c>
      <c r="H345" t="s">
        <v>74</v>
      </c>
      <c r="I345" t="s">
        <v>7211</v>
      </c>
      <c r="J345" t="s">
        <v>7212</v>
      </c>
      <c r="K345" t="s">
        <v>74</v>
      </c>
      <c r="L345" t="s">
        <v>74</v>
      </c>
      <c r="M345" t="s">
        <v>78</v>
      </c>
      <c r="N345" t="s">
        <v>79</v>
      </c>
      <c r="O345" t="s">
        <v>74</v>
      </c>
      <c r="P345" t="s">
        <v>74</v>
      </c>
      <c r="Q345" t="s">
        <v>74</v>
      </c>
      <c r="R345" t="s">
        <v>74</v>
      </c>
      <c r="S345" t="s">
        <v>74</v>
      </c>
      <c r="T345" t="s">
        <v>74</v>
      </c>
      <c r="U345" t="s">
        <v>7213</v>
      </c>
      <c r="V345" t="s">
        <v>7214</v>
      </c>
      <c r="W345" t="s">
        <v>7215</v>
      </c>
      <c r="X345" t="s">
        <v>7216</v>
      </c>
      <c r="Y345" t="s">
        <v>7217</v>
      </c>
      <c r="Z345" t="s">
        <v>7218</v>
      </c>
      <c r="AA345" t="s">
        <v>7219</v>
      </c>
      <c r="AB345" t="s">
        <v>7220</v>
      </c>
      <c r="AC345" t="s">
        <v>7221</v>
      </c>
      <c r="AD345" t="s">
        <v>7221</v>
      </c>
      <c r="AE345" t="s">
        <v>7222</v>
      </c>
      <c r="AF345" t="s">
        <v>74</v>
      </c>
      <c r="AG345">
        <v>105</v>
      </c>
      <c r="AH345">
        <v>0</v>
      </c>
      <c r="AI345">
        <v>0</v>
      </c>
      <c r="AJ345">
        <v>1</v>
      </c>
      <c r="AK345">
        <v>7</v>
      </c>
      <c r="AL345" t="s">
        <v>91</v>
      </c>
      <c r="AM345" t="s">
        <v>92</v>
      </c>
      <c r="AN345" t="s">
        <v>93</v>
      </c>
      <c r="AO345" t="s">
        <v>7223</v>
      </c>
      <c r="AP345" t="s">
        <v>74</v>
      </c>
      <c r="AQ345" t="s">
        <v>74</v>
      </c>
      <c r="AR345" t="s">
        <v>7224</v>
      </c>
      <c r="AS345" t="s">
        <v>7225</v>
      </c>
      <c r="AT345" t="s">
        <v>5076</v>
      </c>
      <c r="AU345">
        <v>2022</v>
      </c>
      <c r="AV345">
        <v>12</v>
      </c>
      <c r="AW345">
        <v>5</v>
      </c>
      <c r="AX345" t="s">
        <v>74</v>
      </c>
      <c r="AY345" t="s">
        <v>74</v>
      </c>
      <c r="AZ345" t="s">
        <v>74</v>
      </c>
      <c r="BA345" t="s">
        <v>74</v>
      </c>
      <c r="BB345" t="s">
        <v>74</v>
      </c>
      <c r="BC345" t="s">
        <v>74</v>
      </c>
      <c r="BD345" t="s">
        <v>7226</v>
      </c>
      <c r="BE345" t="s">
        <v>7227</v>
      </c>
      <c r="BF345" t="str">
        <f>HYPERLINK("http://dx.doi.org/10.1002/ece3.8916","http://dx.doi.org/10.1002/ece3.8916")</f>
        <v>http://dx.doi.org/10.1002/ece3.8916</v>
      </c>
      <c r="BG345" t="s">
        <v>74</v>
      </c>
      <c r="BH345" t="s">
        <v>74</v>
      </c>
      <c r="BI345">
        <v>19</v>
      </c>
      <c r="BJ345" t="s">
        <v>5150</v>
      </c>
      <c r="BK345" t="s">
        <v>956</v>
      </c>
      <c r="BL345" t="s">
        <v>5151</v>
      </c>
      <c r="BM345" t="s">
        <v>7228</v>
      </c>
      <c r="BN345">
        <v>35600677</v>
      </c>
      <c r="BO345" t="s">
        <v>295</v>
      </c>
      <c r="BP345" t="s">
        <v>74</v>
      </c>
      <c r="BQ345" t="s">
        <v>74</v>
      </c>
      <c r="BR345" t="s">
        <v>103</v>
      </c>
      <c r="BS345" t="s">
        <v>7229</v>
      </c>
      <c r="BT345" t="str">
        <f>HYPERLINK("https%3A%2F%2Fwww.webofscience.com%2Fwos%2Fwoscc%2Ffull-record%2FWOS:000797817200001","View Full Record in Web of Science")</f>
        <v>View Full Record in Web of Science</v>
      </c>
    </row>
    <row r="346" spans="1:72" x14ac:dyDescent="0.15">
      <c r="A346" t="s">
        <v>72</v>
      </c>
      <c r="B346" t="s">
        <v>7230</v>
      </c>
      <c r="C346" t="s">
        <v>74</v>
      </c>
      <c r="D346" t="s">
        <v>74</v>
      </c>
      <c r="E346" t="s">
        <v>74</v>
      </c>
      <c r="F346" t="s">
        <v>7231</v>
      </c>
      <c r="G346" t="s">
        <v>74</v>
      </c>
      <c r="H346" t="s">
        <v>74</v>
      </c>
      <c r="I346" t="s">
        <v>7232</v>
      </c>
      <c r="J346" t="s">
        <v>2029</v>
      </c>
      <c r="K346" t="s">
        <v>74</v>
      </c>
      <c r="L346" t="s">
        <v>74</v>
      </c>
      <c r="M346" t="s">
        <v>78</v>
      </c>
      <c r="N346" t="s">
        <v>79</v>
      </c>
      <c r="O346" t="s">
        <v>74</v>
      </c>
      <c r="P346" t="s">
        <v>74</v>
      </c>
      <c r="Q346" t="s">
        <v>74</v>
      </c>
      <c r="R346" t="s">
        <v>74</v>
      </c>
      <c r="S346" t="s">
        <v>74</v>
      </c>
      <c r="T346" t="s">
        <v>7233</v>
      </c>
      <c r="U346" t="s">
        <v>7234</v>
      </c>
      <c r="V346" t="s">
        <v>7235</v>
      </c>
      <c r="W346" t="s">
        <v>7236</v>
      </c>
      <c r="X346" t="s">
        <v>7237</v>
      </c>
      <c r="Y346" t="s">
        <v>7238</v>
      </c>
      <c r="Z346" t="s">
        <v>7239</v>
      </c>
      <c r="AA346" t="s">
        <v>7240</v>
      </c>
      <c r="AB346" t="s">
        <v>7241</v>
      </c>
      <c r="AC346" t="s">
        <v>7242</v>
      </c>
      <c r="AD346" t="s">
        <v>7243</v>
      </c>
      <c r="AE346" t="s">
        <v>7244</v>
      </c>
      <c r="AF346" t="s">
        <v>74</v>
      </c>
      <c r="AG346">
        <v>188</v>
      </c>
      <c r="AH346">
        <v>4</v>
      </c>
      <c r="AI346">
        <v>5</v>
      </c>
      <c r="AJ346">
        <v>3</v>
      </c>
      <c r="AK346">
        <v>24</v>
      </c>
      <c r="AL346" t="s">
        <v>2042</v>
      </c>
      <c r="AM346" t="s">
        <v>2043</v>
      </c>
      <c r="AN346" t="s">
        <v>2044</v>
      </c>
      <c r="AO346" t="s">
        <v>2045</v>
      </c>
      <c r="AP346" t="s">
        <v>2046</v>
      </c>
      <c r="AQ346" t="s">
        <v>74</v>
      </c>
      <c r="AR346" t="s">
        <v>2047</v>
      </c>
      <c r="AS346" t="s">
        <v>2048</v>
      </c>
      <c r="AT346" t="s">
        <v>5076</v>
      </c>
      <c r="AU346">
        <v>2022</v>
      </c>
      <c r="AV346">
        <v>36</v>
      </c>
      <c r="AW346">
        <v>5</v>
      </c>
      <c r="AX346" t="s">
        <v>74</v>
      </c>
      <c r="AY346" t="s">
        <v>74</v>
      </c>
      <c r="AZ346" t="s">
        <v>74</v>
      </c>
      <c r="BA346" t="s">
        <v>74</v>
      </c>
      <c r="BB346" t="s">
        <v>74</v>
      </c>
      <c r="BC346" t="s">
        <v>74</v>
      </c>
      <c r="BD346" t="s">
        <v>7245</v>
      </c>
      <c r="BE346" t="s">
        <v>7246</v>
      </c>
      <c r="BF346" t="str">
        <f>HYPERLINK("http://dx.doi.org/10.1029/2021GB007231","http://dx.doi.org/10.1029/2021GB007231")</f>
        <v>http://dx.doi.org/10.1029/2021GB007231</v>
      </c>
      <c r="BG346" t="s">
        <v>74</v>
      </c>
      <c r="BH346" t="s">
        <v>74</v>
      </c>
      <c r="BI346">
        <v>19</v>
      </c>
      <c r="BJ346" t="s">
        <v>407</v>
      </c>
      <c r="BK346" t="s">
        <v>101</v>
      </c>
      <c r="BL346" t="s">
        <v>408</v>
      </c>
      <c r="BM346" t="s">
        <v>7247</v>
      </c>
      <c r="BN346">
        <v>35859702</v>
      </c>
      <c r="BO346" t="s">
        <v>1033</v>
      </c>
      <c r="BP346" t="s">
        <v>74</v>
      </c>
      <c r="BQ346" t="s">
        <v>74</v>
      </c>
      <c r="BR346" t="s">
        <v>103</v>
      </c>
      <c r="BS346" t="s">
        <v>7248</v>
      </c>
      <c r="BT346" t="str">
        <f>HYPERLINK("https%3A%2F%2Fwww.webofscience.com%2Fwos%2Fwoscc%2Ffull-record%2FWOS:000799052200001","View Full Record in Web of Science")</f>
        <v>View Full Record in Web of Science</v>
      </c>
    </row>
    <row r="347" spans="1:72" x14ac:dyDescent="0.15">
      <c r="A347" t="s">
        <v>72</v>
      </c>
      <c r="B347" t="s">
        <v>7249</v>
      </c>
      <c r="C347" t="s">
        <v>74</v>
      </c>
      <c r="D347" t="s">
        <v>74</v>
      </c>
      <c r="E347" t="s">
        <v>74</v>
      </c>
      <c r="F347" t="s">
        <v>7250</v>
      </c>
      <c r="G347" t="s">
        <v>74</v>
      </c>
      <c r="H347" t="s">
        <v>74</v>
      </c>
      <c r="I347" t="s">
        <v>7251</v>
      </c>
      <c r="J347" t="s">
        <v>7252</v>
      </c>
      <c r="K347" t="s">
        <v>74</v>
      </c>
      <c r="L347" t="s">
        <v>74</v>
      </c>
      <c r="M347" t="s">
        <v>78</v>
      </c>
      <c r="N347" t="s">
        <v>79</v>
      </c>
      <c r="O347" t="s">
        <v>74</v>
      </c>
      <c r="P347" t="s">
        <v>74</v>
      </c>
      <c r="Q347" t="s">
        <v>74</v>
      </c>
      <c r="R347" t="s">
        <v>74</v>
      </c>
      <c r="S347" t="s">
        <v>74</v>
      </c>
      <c r="T347" t="s">
        <v>7253</v>
      </c>
      <c r="U347" t="s">
        <v>7254</v>
      </c>
      <c r="V347" t="s">
        <v>7255</v>
      </c>
      <c r="W347" t="s">
        <v>7256</v>
      </c>
      <c r="X347" t="s">
        <v>7257</v>
      </c>
      <c r="Y347" t="s">
        <v>7258</v>
      </c>
      <c r="Z347" t="s">
        <v>7259</v>
      </c>
      <c r="AA347" t="s">
        <v>7260</v>
      </c>
      <c r="AB347" t="s">
        <v>7261</v>
      </c>
      <c r="AC347" t="s">
        <v>7262</v>
      </c>
      <c r="AD347" t="s">
        <v>7263</v>
      </c>
      <c r="AE347" t="s">
        <v>7264</v>
      </c>
      <c r="AF347" t="s">
        <v>74</v>
      </c>
      <c r="AG347">
        <v>63</v>
      </c>
      <c r="AH347">
        <v>2</v>
      </c>
      <c r="AI347">
        <v>2</v>
      </c>
      <c r="AJ347">
        <v>1</v>
      </c>
      <c r="AK347">
        <v>19</v>
      </c>
      <c r="AL347" t="s">
        <v>2042</v>
      </c>
      <c r="AM347" t="s">
        <v>2043</v>
      </c>
      <c r="AN347" t="s">
        <v>2044</v>
      </c>
      <c r="AO347" t="s">
        <v>7265</v>
      </c>
      <c r="AP347" t="s">
        <v>7266</v>
      </c>
      <c r="AQ347" t="s">
        <v>74</v>
      </c>
      <c r="AR347" t="s">
        <v>7267</v>
      </c>
      <c r="AS347" t="s">
        <v>7268</v>
      </c>
      <c r="AT347" t="s">
        <v>5076</v>
      </c>
      <c r="AU347">
        <v>2022</v>
      </c>
      <c r="AV347">
        <v>127</v>
      </c>
      <c r="AW347">
        <v>5</v>
      </c>
      <c r="AX347" t="s">
        <v>74</v>
      </c>
      <c r="AY347" t="s">
        <v>74</v>
      </c>
      <c r="AZ347" t="s">
        <v>74</v>
      </c>
      <c r="BA347" t="s">
        <v>74</v>
      </c>
      <c r="BB347" t="s">
        <v>74</v>
      </c>
      <c r="BC347" t="s">
        <v>74</v>
      </c>
      <c r="BD347" t="s">
        <v>7269</v>
      </c>
      <c r="BE347" t="s">
        <v>7270</v>
      </c>
      <c r="BF347" t="str">
        <f>HYPERLINK("http://dx.doi.org/10.1029/2021JG006571","http://dx.doi.org/10.1029/2021JG006571")</f>
        <v>http://dx.doi.org/10.1029/2021JG006571</v>
      </c>
      <c r="BG347" t="s">
        <v>74</v>
      </c>
      <c r="BH347" t="s">
        <v>74</v>
      </c>
      <c r="BI347">
        <v>11</v>
      </c>
      <c r="BJ347" t="s">
        <v>6246</v>
      </c>
      <c r="BK347" t="s">
        <v>101</v>
      </c>
      <c r="BL347" t="s">
        <v>3113</v>
      </c>
      <c r="BM347" t="s">
        <v>7271</v>
      </c>
      <c r="BN347" t="s">
        <v>74</v>
      </c>
      <c r="BO347" t="s">
        <v>7272</v>
      </c>
      <c r="BP347" t="s">
        <v>74</v>
      </c>
      <c r="BQ347" t="s">
        <v>74</v>
      </c>
      <c r="BR347" t="s">
        <v>103</v>
      </c>
      <c r="BS347" t="s">
        <v>7273</v>
      </c>
      <c r="BT347" t="str">
        <f>HYPERLINK("https%3A%2F%2Fwww.webofscience.com%2Fwos%2Fwoscc%2Ffull-record%2FWOS:000798591700001","View Full Record in Web of Science")</f>
        <v>View Full Record in Web of Science</v>
      </c>
    </row>
    <row r="348" spans="1:72" x14ac:dyDescent="0.15">
      <c r="A348" t="s">
        <v>72</v>
      </c>
      <c r="B348" t="s">
        <v>7274</v>
      </c>
      <c r="C348" t="s">
        <v>74</v>
      </c>
      <c r="D348" t="s">
        <v>74</v>
      </c>
      <c r="E348" t="s">
        <v>74</v>
      </c>
      <c r="F348" t="s">
        <v>7275</v>
      </c>
      <c r="G348" t="s">
        <v>74</v>
      </c>
      <c r="H348" t="s">
        <v>74</v>
      </c>
      <c r="I348" t="s">
        <v>7276</v>
      </c>
      <c r="J348" t="s">
        <v>2443</v>
      </c>
      <c r="K348" t="s">
        <v>74</v>
      </c>
      <c r="L348" t="s">
        <v>74</v>
      </c>
      <c r="M348" t="s">
        <v>78</v>
      </c>
      <c r="N348" t="s">
        <v>79</v>
      </c>
      <c r="O348" t="s">
        <v>74</v>
      </c>
      <c r="P348" t="s">
        <v>74</v>
      </c>
      <c r="Q348" t="s">
        <v>74</v>
      </c>
      <c r="R348" t="s">
        <v>74</v>
      </c>
      <c r="S348" t="s">
        <v>74</v>
      </c>
      <c r="T348" t="s">
        <v>7277</v>
      </c>
      <c r="U348" t="s">
        <v>7278</v>
      </c>
      <c r="V348" t="s">
        <v>7279</v>
      </c>
      <c r="W348" t="s">
        <v>7280</v>
      </c>
      <c r="X348" t="s">
        <v>7281</v>
      </c>
      <c r="Y348" t="s">
        <v>7282</v>
      </c>
      <c r="Z348" t="s">
        <v>7283</v>
      </c>
      <c r="AA348" t="s">
        <v>7284</v>
      </c>
      <c r="AB348" t="s">
        <v>7285</v>
      </c>
      <c r="AC348" t="s">
        <v>7286</v>
      </c>
      <c r="AD348" t="s">
        <v>7287</v>
      </c>
      <c r="AE348" t="s">
        <v>7288</v>
      </c>
      <c r="AF348" t="s">
        <v>74</v>
      </c>
      <c r="AG348">
        <v>90</v>
      </c>
      <c r="AH348">
        <v>2</v>
      </c>
      <c r="AI348">
        <v>2</v>
      </c>
      <c r="AJ348">
        <v>1</v>
      </c>
      <c r="AK348">
        <v>3</v>
      </c>
      <c r="AL348" t="s">
        <v>2042</v>
      </c>
      <c r="AM348" t="s">
        <v>2043</v>
      </c>
      <c r="AN348" t="s">
        <v>2044</v>
      </c>
      <c r="AO348" t="s">
        <v>2456</v>
      </c>
      <c r="AP348" t="s">
        <v>2457</v>
      </c>
      <c r="AQ348" t="s">
        <v>74</v>
      </c>
      <c r="AR348" t="s">
        <v>2458</v>
      </c>
      <c r="AS348" t="s">
        <v>2459</v>
      </c>
      <c r="AT348" t="s">
        <v>5076</v>
      </c>
      <c r="AU348">
        <v>2022</v>
      </c>
      <c r="AV348">
        <v>127</v>
      </c>
      <c r="AW348">
        <v>5</v>
      </c>
      <c r="AX348" t="s">
        <v>74</v>
      </c>
      <c r="AY348" t="s">
        <v>74</v>
      </c>
      <c r="AZ348" t="s">
        <v>74</v>
      </c>
      <c r="BA348" t="s">
        <v>74</v>
      </c>
      <c r="BB348" t="s">
        <v>74</v>
      </c>
      <c r="BC348" t="s">
        <v>74</v>
      </c>
      <c r="BD348" t="s">
        <v>7289</v>
      </c>
      <c r="BE348" t="s">
        <v>7290</v>
      </c>
      <c r="BF348" t="str">
        <f>HYPERLINK("http://dx.doi.org/10.1029/2021JC017705","http://dx.doi.org/10.1029/2021JC017705")</f>
        <v>http://dx.doi.org/10.1029/2021JC017705</v>
      </c>
      <c r="BG348" t="s">
        <v>74</v>
      </c>
      <c r="BH348" t="s">
        <v>74</v>
      </c>
      <c r="BI348">
        <v>23</v>
      </c>
      <c r="BJ348" t="s">
        <v>208</v>
      </c>
      <c r="BK348" t="s">
        <v>101</v>
      </c>
      <c r="BL348" t="s">
        <v>208</v>
      </c>
      <c r="BM348" t="s">
        <v>7291</v>
      </c>
      <c r="BN348" t="s">
        <v>74</v>
      </c>
      <c r="BO348" t="s">
        <v>74</v>
      </c>
      <c r="BP348" t="s">
        <v>74</v>
      </c>
      <c r="BQ348" t="s">
        <v>74</v>
      </c>
      <c r="BR348" t="s">
        <v>103</v>
      </c>
      <c r="BS348" t="s">
        <v>7292</v>
      </c>
      <c r="BT348" t="str">
        <f>HYPERLINK("https%3A%2F%2Fwww.webofscience.com%2Fwos%2Fwoscc%2Ffull-record%2FWOS:000798514400001","View Full Record in Web of Science")</f>
        <v>View Full Record in Web of Science</v>
      </c>
    </row>
    <row r="349" spans="1:72" x14ac:dyDescent="0.15">
      <c r="A349" t="s">
        <v>72</v>
      </c>
      <c r="B349" t="s">
        <v>7293</v>
      </c>
      <c r="C349" t="s">
        <v>74</v>
      </c>
      <c r="D349" t="s">
        <v>74</v>
      </c>
      <c r="E349" t="s">
        <v>74</v>
      </c>
      <c r="F349" t="s">
        <v>7294</v>
      </c>
      <c r="G349" t="s">
        <v>74</v>
      </c>
      <c r="H349" t="s">
        <v>74</v>
      </c>
      <c r="I349" t="s">
        <v>7295</v>
      </c>
      <c r="J349" t="s">
        <v>7296</v>
      </c>
      <c r="K349" t="s">
        <v>74</v>
      </c>
      <c r="L349" t="s">
        <v>74</v>
      </c>
      <c r="M349" t="s">
        <v>7297</v>
      </c>
      <c r="N349" t="s">
        <v>79</v>
      </c>
      <c r="O349" t="s">
        <v>74</v>
      </c>
      <c r="P349" t="s">
        <v>74</v>
      </c>
      <c r="Q349" t="s">
        <v>74</v>
      </c>
      <c r="R349" t="s">
        <v>74</v>
      </c>
      <c r="S349" t="s">
        <v>74</v>
      </c>
      <c r="T349" t="s">
        <v>7298</v>
      </c>
      <c r="U349" t="s">
        <v>7299</v>
      </c>
      <c r="V349" t="s">
        <v>7300</v>
      </c>
      <c r="W349" t="s">
        <v>7301</v>
      </c>
      <c r="X349" t="s">
        <v>7302</v>
      </c>
      <c r="Y349" t="s">
        <v>7303</v>
      </c>
      <c r="Z349" t="s">
        <v>7304</v>
      </c>
      <c r="AA349" t="s">
        <v>74</v>
      </c>
      <c r="AB349" t="s">
        <v>74</v>
      </c>
      <c r="AC349" t="s">
        <v>74</v>
      </c>
      <c r="AD349" t="s">
        <v>74</v>
      </c>
      <c r="AE349" t="s">
        <v>74</v>
      </c>
      <c r="AF349" t="s">
        <v>74</v>
      </c>
      <c r="AG349">
        <v>27</v>
      </c>
      <c r="AH349">
        <v>0</v>
      </c>
      <c r="AI349">
        <v>0</v>
      </c>
      <c r="AJ349">
        <v>0</v>
      </c>
      <c r="AK349">
        <v>6</v>
      </c>
      <c r="AL349" t="s">
        <v>7201</v>
      </c>
      <c r="AM349" t="s">
        <v>2859</v>
      </c>
      <c r="AN349" t="s">
        <v>7202</v>
      </c>
      <c r="AO349" t="s">
        <v>7305</v>
      </c>
      <c r="AP349" t="s">
        <v>74</v>
      </c>
      <c r="AQ349" t="s">
        <v>74</v>
      </c>
      <c r="AR349" t="s">
        <v>7306</v>
      </c>
      <c r="AS349" t="s">
        <v>7307</v>
      </c>
      <c r="AT349" t="s">
        <v>5076</v>
      </c>
      <c r="AU349">
        <v>2022</v>
      </c>
      <c r="AV349">
        <v>65</v>
      </c>
      <c r="AW349">
        <v>5</v>
      </c>
      <c r="AX349" t="s">
        <v>74</v>
      </c>
      <c r="AY349" t="s">
        <v>74</v>
      </c>
      <c r="AZ349" t="s">
        <v>74</v>
      </c>
      <c r="BA349" t="s">
        <v>74</v>
      </c>
      <c r="BB349">
        <v>1732</v>
      </c>
      <c r="BC349">
        <v>1741</v>
      </c>
      <c r="BD349" t="s">
        <v>74</v>
      </c>
      <c r="BE349" t="s">
        <v>7308</v>
      </c>
      <c r="BF349" t="str">
        <f>HYPERLINK("http://dx.doi.org/10.6038/cjg2022N0160","http://dx.doi.org/10.6038/cjg2022N0160")</f>
        <v>http://dx.doi.org/10.6038/cjg2022N0160</v>
      </c>
      <c r="BG349" t="s">
        <v>74</v>
      </c>
      <c r="BH349" t="s">
        <v>74</v>
      </c>
      <c r="BI349">
        <v>10</v>
      </c>
      <c r="BJ349" t="s">
        <v>2144</v>
      </c>
      <c r="BK349" t="s">
        <v>101</v>
      </c>
      <c r="BL349" t="s">
        <v>2144</v>
      </c>
      <c r="BM349" t="s">
        <v>7309</v>
      </c>
      <c r="BN349" t="s">
        <v>74</v>
      </c>
      <c r="BO349" t="s">
        <v>74</v>
      </c>
      <c r="BP349" t="s">
        <v>74</v>
      </c>
      <c r="BQ349" t="s">
        <v>74</v>
      </c>
      <c r="BR349" t="s">
        <v>103</v>
      </c>
      <c r="BS349" t="s">
        <v>7310</v>
      </c>
      <c r="BT349" t="str">
        <f>HYPERLINK("https%3A%2F%2Fwww.webofscience.com%2Fwos%2Fwoscc%2Ffull-record%2FWOS:000796746600014","View Full Record in Web of Science")</f>
        <v>View Full Record in Web of Science</v>
      </c>
    </row>
    <row r="350" spans="1:72" x14ac:dyDescent="0.15">
      <c r="A350" t="s">
        <v>72</v>
      </c>
      <c r="B350" t="s">
        <v>7311</v>
      </c>
      <c r="C350" t="s">
        <v>74</v>
      </c>
      <c r="D350" t="s">
        <v>74</v>
      </c>
      <c r="E350" t="s">
        <v>74</v>
      </c>
      <c r="F350" t="s">
        <v>7312</v>
      </c>
      <c r="G350" t="s">
        <v>74</v>
      </c>
      <c r="H350" t="s">
        <v>74</v>
      </c>
      <c r="I350" t="s">
        <v>7313</v>
      </c>
      <c r="J350" t="s">
        <v>2630</v>
      </c>
      <c r="K350" t="s">
        <v>74</v>
      </c>
      <c r="L350" t="s">
        <v>74</v>
      </c>
      <c r="M350" t="s">
        <v>78</v>
      </c>
      <c r="N350" t="s">
        <v>79</v>
      </c>
      <c r="O350" t="s">
        <v>74</v>
      </c>
      <c r="P350" t="s">
        <v>74</v>
      </c>
      <c r="Q350" t="s">
        <v>74</v>
      </c>
      <c r="R350" t="s">
        <v>74</v>
      </c>
      <c r="S350" t="s">
        <v>74</v>
      </c>
      <c r="T350" t="s">
        <v>7314</v>
      </c>
      <c r="U350" t="s">
        <v>7315</v>
      </c>
      <c r="V350" t="s">
        <v>7316</v>
      </c>
      <c r="W350" t="s">
        <v>7317</v>
      </c>
      <c r="X350" t="s">
        <v>7318</v>
      </c>
      <c r="Y350" t="s">
        <v>7319</v>
      </c>
      <c r="Z350" t="s">
        <v>7320</v>
      </c>
      <c r="AA350" t="s">
        <v>7321</v>
      </c>
      <c r="AB350" t="s">
        <v>7322</v>
      </c>
      <c r="AC350" t="s">
        <v>7323</v>
      </c>
      <c r="AD350" t="s">
        <v>7323</v>
      </c>
      <c r="AE350" t="s">
        <v>7323</v>
      </c>
      <c r="AF350" t="s">
        <v>74</v>
      </c>
      <c r="AG350">
        <v>74</v>
      </c>
      <c r="AH350">
        <v>4</v>
      </c>
      <c r="AI350">
        <v>4</v>
      </c>
      <c r="AJ350">
        <v>4</v>
      </c>
      <c r="AK350">
        <v>11</v>
      </c>
      <c r="AL350" t="s">
        <v>91</v>
      </c>
      <c r="AM350" t="s">
        <v>92</v>
      </c>
      <c r="AN350" t="s">
        <v>93</v>
      </c>
      <c r="AO350" t="s">
        <v>2643</v>
      </c>
      <c r="AP350" t="s">
        <v>74</v>
      </c>
      <c r="AQ350" t="s">
        <v>74</v>
      </c>
      <c r="AR350" t="s">
        <v>2630</v>
      </c>
      <c r="AS350" t="s">
        <v>2644</v>
      </c>
      <c r="AT350" t="s">
        <v>5076</v>
      </c>
      <c r="AU350">
        <v>2022</v>
      </c>
      <c r="AV350">
        <v>13</v>
      </c>
      <c r="AW350">
        <v>5</v>
      </c>
      <c r="AX350" t="s">
        <v>74</v>
      </c>
      <c r="AY350" t="s">
        <v>74</v>
      </c>
      <c r="AZ350" t="s">
        <v>74</v>
      </c>
      <c r="BA350" t="s">
        <v>74</v>
      </c>
      <c r="BB350" t="s">
        <v>74</v>
      </c>
      <c r="BC350" t="s">
        <v>74</v>
      </c>
      <c r="BD350" t="s">
        <v>7324</v>
      </c>
      <c r="BE350" t="s">
        <v>7325</v>
      </c>
      <c r="BF350" t="str">
        <f>HYPERLINK("http://dx.doi.org/10.1002/ecs2.4090","http://dx.doi.org/10.1002/ecs2.4090")</f>
        <v>http://dx.doi.org/10.1002/ecs2.4090</v>
      </c>
      <c r="BG350" t="s">
        <v>74</v>
      </c>
      <c r="BH350" t="s">
        <v>74</v>
      </c>
      <c r="BI350">
        <v>16</v>
      </c>
      <c r="BJ350" t="s">
        <v>2647</v>
      </c>
      <c r="BK350" t="s">
        <v>101</v>
      </c>
      <c r="BL350" t="s">
        <v>840</v>
      </c>
      <c r="BM350" t="s">
        <v>7326</v>
      </c>
      <c r="BN350" t="s">
        <v>74</v>
      </c>
      <c r="BO350" t="s">
        <v>1942</v>
      </c>
      <c r="BP350" t="s">
        <v>74</v>
      </c>
      <c r="BQ350" t="s">
        <v>74</v>
      </c>
      <c r="BR350" t="s">
        <v>103</v>
      </c>
      <c r="BS350" t="s">
        <v>7327</v>
      </c>
      <c r="BT350" t="str">
        <f>HYPERLINK("https%3A%2F%2Fwww.webofscience.com%2Fwos%2Fwoscc%2Ffull-record%2FWOS:000797685900001","View Full Record in Web of Science")</f>
        <v>View Full Record in Web of Science</v>
      </c>
    </row>
    <row r="351" spans="1:72" x14ac:dyDescent="0.15">
      <c r="A351" t="s">
        <v>72</v>
      </c>
      <c r="B351" t="s">
        <v>7328</v>
      </c>
      <c r="C351" t="s">
        <v>74</v>
      </c>
      <c r="D351" t="s">
        <v>74</v>
      </c>
      <c r="E351" t="s">
        <v>74</v>
      </c>
      <c r="F351" t="s">
        <v>7329</v>
      </c>
      <c r="G351" t="s">
        <v>74</v>
      </c>
      <c r="H351" t="s">
        <v>74</v>
      </c>
      <c r="I351" t="s">
        <v>7330</v>
      </c>
      <c r="J351" t="s">
        <v>2443</v>
      </c>
      <c r="K351" t="s">
        <v>74</v>
      </c>
      <c r="L351" t="s">
        <v>74</v>
      </c>
      <c r="M351" t="s">
        <v>78</v>
      </c>
      <c r="N351" t="s">
        <v>79</v>
      </c>
      <c r="O351" t="s">
        <v>74</v>
      </c>
      <c r="P351" t="s">
        <v>74</v>
      </c>
      <c r="Q351" t="s">
        <v>74</v>
      </c>
      <c r="R351" t="s">
        <v>74</v>
      </c>
      <c r="S351" t="s">
        <v>74</v>
      </c>
      <c r="T351" t="s">
        <v>7331</v>
      </c>
      <c r="U351" t="s">
        <v>7332</v>
      </c>
      <c r="V351" t="s">
        <v>7333</v>
      </c>
      <c r="W351" t="s">
        <v>7334</v>
      </c>
      <c r="X351" t="s">
        <v>7335</v>
      </c>
      <c r="Y351" t="s">
        <v>7336</v>
      </c>
      <c r="Z351" t="s">
        <v>7337</v>
      </c>
      <c r="AA351" t="s">
        <v>7338</v>
      </c>
      <c r="AB351" t="s">
        <v>7339</v>
      </c>
      <c r="AC351" t="s">
        <v>7340</v>
      </c>
      <c r="AD351" t="s">
        <v>7341</v>
      </c>
      <c r="AE351" t="s">
        <v>7342</v>
      </c>
      <c r="AF351" t="s">
        <v>74</v>
      </c>
      <c r="AG351">
        <v>87</v>
      </c>
      <c r="AH351">
        <v>16</v>
      </c>
      <c r="AI351">
        <v>16</v>
      </c>
      <c r="AJ351">
        <v>1</v>
      </c>
      <c r="AK351">
        <v>14</v>
      </c>
      <c r="AL351" t="s">
        <v>2042</v>
      </c>
      <c r="AM351" t="s">
        <v>2043</v>
      </c>
      <c r="AN351" t="s">
        <v>2044</v>
      </c>
      <c r="AO351" t="s">
        <v>2456</v>
      </c>
      <c r="AP351" t="s">
        <v>2457</v>
      </c>
      <c r="AQ351" t="s">
        <v>74</v>
      </c>
      <c r="AR351" t="s">
        <v>2458</v>
      </c>
      <c r="AS351" t="s">
        <v>2459</v>
      </c>
      <c r="AT351" t="s">
        <v>5076</v>
      </c>
      <c r="AU351">
        <v>2022</v>
      </c>
      <c r="AV351">
        <v>127</v>
      </c>
      <c r="AW351">
        <v>5</v>
      </c>
      <c r="AX351" t="s">
        <v>74</v>
      </c>
      <c r="AY351" t="s">
        <v>74</v>
      </c>
      <c r="AZ351" t="s">
        <v>74</v>
      </c>
      <c r="BA351" t="s">
        <v>74</v>
      </c>
      <c r="BB351" t="s">
        <v>74</v>
      </c>
      <c r="BC351" t="s">
        <v>74</v>
      </c>
      <c r="BD351" t="s">
        <v>7343</v>
      </c>
      <c r="BE351" t="s">
        <v>7344</v>
      </c>
      <c r="BF351" t="str">
        <f>HYPERLINK("http://dx.doi.org/10.1029/2021JC017608","http://dx.doi.org/10.1029/2021JC017608")</f>
        <v>http://dx.doi.org/10.1029/2021JC017608</v>
      </c>
      <c r="BG351" t="s">
        <v>74</v>
      </c>
      <c r="BH351" t="s">
        <v>74</v>
      </c>
      <c r="BI351">
        <v>33</v>
      </c>
      <c r="BJ351" t="s">
        <v>208</v>
      </c>
      <c r="BK351" t="s">
        <v>101</v>
      </c>
      <c r="BL351" t="s">
        <v>208</v>
      </c>
      <c r="BM351" t="s">
        <v>7345</v>
      </c>
      <c r="BN351" t="s">
        <v>74</v>
      </c>
      <c r="BO351" t="s">
        <v>7346</v>
      </c>
      <c r="BP351" t="s">
        <v>74</v>
      </c>
      <c r="BQ351" t="s">
        <v>74</v>
      </c>
      <c r="BR351" t="s">
        <v>103</v>
      </c>
      <c r="BS351" t="s">
        <v>7347</v>
      </c>
      <c r="BT351" t="str">
        <f>HYPERLINK("https%3A%2F%2Fwww.webofscience.com%2Fwos%2Fwoscc%2Ffull-record%2FWOS:000798227700001","View Full Record in Web of Science")</f>
        <v>View Full Record in Web of Science</v>
      </c>
    </row>
    <row r="352" spans="1:72" x14ac:dyDescent="0.15">
      <c r="A352" t="s">
        <v>72</v>
      </c>
      <c r="B352" t="s">
        <v>7348</v>
      </c>
      <c r="C352" t="s">
        <v>74</v>
      </c>
      <c r="D352" t="s">
        <v>74</v>
      </c>
      <c r="E352" t="s">
        <v>74</v>
      </c>
      <c r="F352" t="s">
        <v>7349</v>
      </c>
      <c r="G352" t="s">
        <v>74</v>
      </c>
      <c r="H352" t="s">
        <v>74</v>
      </c>
      <c r="I352" t="s">
        <v>7350</v>
      </c>
      <c r="J352" t="s">
        <v>2443</v>
      </c>
      <c r="K352" t="s">
        <v>74</v>
      </c>
      <c r="L352" t="s">
        <v>74</v>
      </c>
      <c r="M352" t="s">
        <v>78</v>
      </c>
      <c r="N352" t="s">
        <v>79</v>
      </c>
      <c r="O352" t="s">
        <v>74</v>
      </c>
      <c r="P352" t="s">
        <v>74</v>
      </c>
      <c r="Q352" t="s">
        <v>74</v>
      </c>
      <c r="R352" t="s">
        <v>74</v>
      </c>
      <c r="S352" t="s">
        <v>74</v>
      </c>
      <c r="T352" t="s">
        <v>7351</v>
      </c>
      <c r="U352" t="s">
        <v>7352</v>
      </c>
      <c r="V352" t="s">
        <v>7353</v>
      </c>
      <c r="W352" t="s">
        <v>7354</v>
      </c>
      <c r="X352" t="s">
        <v>7355</v>
      </c>
      <c r="Y352" t="s">
        <v>7356</v>
      </c>
      <c r="Z352" t="s">
        <v>7357</v>
      </c>
      <c r="AA352" t="s">
        <v>7358</v>
      </c>
      <c r="AB352" t="s">
        <v>7359</v>
      </c>
      <c r="AC352" t="s">
        <v>7360</v>
      </c>
      <c r="AD352" t="s">
        <v>7361</v>
      </c>
      <c r="AE352" t="s">
        <v>7362</v>
      </c>
      <c r="AF352" t="s">
        <v>74</v>
      </c>
      <c r="AG352">
        <v>32</v>
      </c>
      <c r="AH352">
        <v>5</v>
      </c>
      <c r="AI352">
        <v>5</v>
      </c>
      <c r="AJ352">
        <v>1</v>
      </c>
      <c r="AK352">
        <v>12</v>
      </c>
      <c r="AL352" t="s">
        <v>2042</v>
      </c>
      <c r="AM352" t="s">
        <v>2043</v>
      </c>
      <c r="AN352" t="s">
        <v>2044</v>
      </c>
      <c r="AO352" t="s">
        <v>2456</v>
      </c>
      <c r="AP352" t="s">
        <v>2457</v>
      </c>
      <c r="AQ352" t="s">
        <v>74</v>
      </c>
      <c r="AR352" t="s">
        <v>2458</v>
      </c>
      <c r="AS352" t="s">
        <v>2459</v>
      </c>
      <c r="AT352" t="s">
        <v>5076</v>
      </c>
      <c r="AU352">
        <v>2022</v>
      </c>
      <c r="AV352">
        <v>127</v>
      </c>
      <c r="AW352">
        <v>5</v>
      </c>
      <c r="AX352" t="s">
        <v>74</v>
      </c>
      <c r="AY352" t="s">
        <v>74</v>
      </c>
      <c r="AZ352" t="s">
        <v>74</v>
      </c>
      <c r="BA352" t="s">
        <v>74</v>
      </c>
      <c r="BB352" t="s">
        <v>74</v>
      </c>
      <c r="BC352" t="s">
        <v>74</v>
      </c>
      <c r="BD352" t="s">
        <v>7363</v>
      </c>
      <c r="BE352" t="s">
        <v>7364</v>
      </c>
      <c r="BF352" t="str">
        <f>HYPERLINK("http://dx.doi.org/10.1029/2022JC018440","http://dx.doi.org/10.1029/2022JC018440")</f>
        <v>http://dx.doi.org/10.1029/2022JC018440</v>
      </c>
      <c r="BG352" t="s">
        <v>74</v>
      </c>
      <c r="BH352" t="s">
        <v>74</v>
      </c>
      <c r="BI352">
        <v>12</v>
      </c>
      <c r="BJ352" t="s">
        <v>208</v>
      </c>
      <c r="BK352" t="s">
        <v>101</v>
      </c>
      <c r="BL352" t="s">
        <v>208</v>
      </c>
      <c r="BM352" t="s">
        <v>7365</v>
      </c>
      <c r="BN352" t="s">
        <v>74</v>
      </c>
      <c r="BO352" t="s">
        <v>1033</v>
      </c>
      <c r="BP352" t="s">
        <v>74</v>
      </c>
      <c r="BQ352" t="s">
        <v>74</v>
      </c>
      <c r="BR352" t="s">
        <v>103</v>
      </c>
      <c r="BS352" t="s">
        <v>7366</v>
      </c>
      <c r="BT352" t="str">
        <f>HYPERLINK("https%3A%2F%2Fwww.webofscience.com%2Fwos%2Fwoscc%2Ffull-record%2FWOS:000798247000001","View Full Record in Web of Science")</f>
        <v>View Full Record in Web of Science</v>
      </c>
    </row>
    <row r="353" spans="1:72" x14ac:dyDescent="0.15">
      <c r="A353" t="s">
        <v>72</v>
      </c>
      <c r="B353" t="s">
        <v>7367</v>
      </c>
      <c r="C353" t="s">
        <v>74</v>
      </c>
      <c r="D353" t="s">
        <v>74</v>
      </c>
      <c r="E353" t="s">
        <v>74</v>
      </c>
      <c r="F353" t="s">
        <v>7368</v>
      </c>
      <c r="G353" t="s">
        <v>74</v>
      </c>
      <c r="H353" t="s">
        <v>74</v>
      </c>
      <c r="I353" t="s">
        <v>7369</v>
      </c>
      <c r="J353" t="s">
        <v>2443</v>
      </c>
      <c r="K353" t="s">
        <v>74</v>
      </c>
      <c r="L353" t="s">
        <v>74</v>
      </c>
      <c r="M353" t="s">
        <v>78</v>
      </c>
      <c r="N353" t="s">
        <v>79</v>
      </c>
      <c r="O353" t="s">
        <v>74</v>
      </c>
      <c r="P353" t="s">
        <v>74</v>
      </c>
      <c r="Q353" t="s">
        <v>74</v>
      </c>
      <c r="R353" t="s">
        <v>74</v>
      </c>
      <c r="S353" t="s">
        <v>74</v>
      </c>
      <c r="T353" t="s">
        <v>7370</v>
      </c>
      <c r="U353" t="s">
        <v>7371</v>
      </c>
      <c r="V353" t="s">
        <v>7372</v>
      </c>
      <c r="W353" t="s">
        <v>7373</v>
      </c>
      <c r="X353" t="s">
        <v>7374</v>
      </c>
      <c r="Y353" t="s">
        <v>7375</v>
      </c>
      <c r="Z353" t="s">
        <v>7376</v>
      </c>
      <c r="AA353" t="s">
        <v>7377</v>
      </c>
      <c r="AB353" t="s">
        <v>7378</v>
      </c>
      <c r="AC353" t="s">
        <v>7379</v>
      </c>
      <c r="AD353" t="s">
        <v>7380</v>
      </c>
      <c r="AE353" t="s">
        <v>7381</v>
      </c>
      <c r="AF353" t="s">
        <v>74</v>
      </c>
      <c r="AG353">
        <v>39</v>
      </c>
      <c r="AH353">
        <v>5</v>
      </c>
      <c r="AI353">
        <v>5</v>
      </c>
      <c r="AJ353">
        <v>4</v>
      </c>
      <c r="AK353">
        <v>23</v>
      </c>
      <c r="AL353" t="s">
        <v>2042</v>
      </c>
      <c r="AM353" t="s">
        <v>2043</v>
      </c>
      <c r="AN353" t="s">
        <v>2044</v>
      </c>
      <c r="AO353" t="s">
        <v>2456</v>
      </c>
      <c r="AP353" t="s">
        <v>2457</v>
      </c>
      <c r="AQ353" t="s">
        <v>74</v>
      </c>
      <c r="AR353" t="s">
        <v>2458</v>
      </c>
      <c r="AS353" t="s">
        <v>2459</v>
      </c>
      <c r="AT353" t="s">
        <v>5076</v>
      </c>
      <c r="AU353">
        <v>2022</v>
      </c>
      <c r="AV353">
        <v>127</v>
      </c>
      <c r="AW353">
        <v>5</v>
      </c>
      <c r="AX353" t="s">
        <v>74</v>
      </c>
      <c r="AY353" t="s">
        <v>74</v>
      </c>
      <c r="AZ353" t="s">
        <v>74</v>
      </c>
      <c r="BA353" t="s">
        <v>74</v>
      </c>
      <c r="BB353" t="s">
        <v>74</v>
      </c>
      <c r="BC353" t="s">
        <v>74</v>
      </c>
      <c r="BD353" t="s">
        <v>7382</v>
      </c>
      <c r="BE353" t="s">
        <v>7383</v>
      </c>
      <c r="BF353" t="str">
        <f>HYPERLINK("http://dx.doi.org/10.1029/2022JC018571","http://dx.doi.org/10.1029/2022JC018571")</f>
        <v>http://dx.doi.org/10.1029/2022JC018571</v>
      </c>
      <c r="BG353" t="s">
        <v>74</v>
      </c>
      <c r="BH353" t="s">
        <v>74</v>
      </c>
      <c r="BI353">
        <v>13</v>
      </c>
      <c r="BJ353" t="s">
        <v>208</v>
      </c>
      <c r="BK353" t="s">
        <v>101</v>
      </c>
      <c r="BL353" t="s">
        <v>208</v>
      </c>
      <c r="BM353" t="s">
        <v>7384</v>
      </c>
      <c r="BN353" t="s">
        <v>74</v>
      </c>
      <c r="BO353" t="s">
        <v>267</v>
      </c>
      <c r="BP353" t="s">
        <v>74</v>
      </c>
      <c r="BQ353" t="s">
        <v>74</v>
      </c>
      <c r="BR353" t="s">
        <v>103</v>
      </c>
      <c r="BS353" t="s">
        <v>7385</v>
      </c>
      <c r="BT353" t="str">
        <f>HYPERLINK("https%3A%2F%2Fwww.webofscience.com%2Fwos%2Fwoscc%2Ffull-record%2FWOS:000798513500001","View Full Record in Web of Science")</f>
        <v>View Full Record in Web of Science</v>
      </c>
    </row>
    <row r="354" spans="1:72" x14ac:dyDescent="0.15">
      <c r="A354" t="s">
        <v>72</v>
      </c>
      <c r="B354" t="s">
        <v>7386</v>
      </c>
      <c r="C354" t="s">
        <v>74</v>
      </c>
      <c r="D354" t="s">
        <v>74</v>
      </c>
      <c r="E354" t="s">
        <v>74</v>
      </c>
      <c r="F354" t="s">
        <v>7387</v>
      </c>
      <c r="G354" t="s">
        <v>74</v>
      </c>
      <c r="H354" t="s">
        <v>74</v>
      </c>
      <c r="I354" t="s">
        <v>7388</v>
      </c>
      <c r="J354" t="s">
        <v>2381</v>
      </c>
      <c r="K354" t="s">
        <v>74</v>
      </c>
      <c r="L354" t="s">
        <v>74</v>
      </c>
      <c r="M354" t="s">
        <v>78</v>
      </c>
      <c r="N354" t="s">
        <v>79</v>
      </c>
      <c r="O354" t="s">
        <v>74</v>
      </c>
      <c r="P354" t="s">
        <v>74</v>
      </c>
      <c r="Q354" t="s">
        <v>74</v>
      </c>
      <c r="R354" t="s">
        <v>74</v>
      </c>
      <c r="S354" t="s">
        <v>74</v>
      </c>
      <c r="T354" t="s">
        <v>7389</v>
      </c>
      <c r="U354" t="s">
        <v>7390</v>
      </c>
      <c r="V354" t="s">
        <v>7391</v>
      </c>
      <c r="W354" t="s">
        <v>7392</v>
      </c>
      <c r="X354" t="s">
        <v>7393</v>
      </c>
      <c r="Y354" t="s">
        <v>7394</v>
      </c>
      <c r="Z354" t="s">
        <v>7395</v>
      </c>
      <c r="AA354" t="s">
        <v>7396</v>
      </c>
      <c r="AB354" t="s">
        <v>7397</v>
      </c>
      <c r="AC354" t="s">
        <v>7398</v>
      </c>
      <c r="AD354" t="s">
        <v>7399</v>
      </c>
      <c r="AE354" t="s">
        <v>7400</v>
      </c>
      <c r="AF354" t="s">
        <v>74</v>
      </c>
      <c r="AG354">
        <v>78</v>
      </c>
      <c r="AH354">
        <v>4</v>
      </c>
      <c r="AI354">
        <v>4</v>
      </c>
      <c r="AJ354">
        <v>0</v>
      </c>
      <c r="AK354">
        <v>9</v>
      </c>
      <c r="AL354" t="s">
        <v>2042</v>
      </c>
      <c r="AM354" t="s">
        <v>2043</v>
      </c>
      <c r="AN354" t="s">
        <v>2044</v>
      </c>
      <c r="AO354" t="s">
        <v>2394</v>
      </c>
      <c r="AP354" t="s">
        <v>2395</v>
      </c>
      <c r="AQ354" t="s">
        <v>74</v>
      </c>
      <c r="AR354" t="s">
        <v>2396</v>
      </c>
      <c r="AS354" t="s">
        <v>2397</v>
      </c>
      <c r="AT354" t="s">
        <v>5076</v>
      </c>
      <c r="AU354">
        <v>2022</v>
      </c>
      <c r="AV354">
        <v>127</v>
      </c>
      <c r="AW354">
        <v>5</v>
      </c>
      <c r="AX354" t="s">
        <v>74</v>
      </c>
      <c r="AY354" t="s">
        <v>74</v>
      </c>
      <c r="AZ354" t="s">
        <v>74</v>
      </c>
      <c r="BA354" t="s">
        <v>74</v>
      </c>
      <c r="BB354" t="s">
        <v>74</v>
      </c>
      <c r="BC354" t="s">
        <v>74</v>
      </c>
      <c r="BD354" t="s">
        <v>7401</v>
      </c>
      <c r="BE354" t="s">
        <v>7402</v>
      </c>
      <c r="BF354" t="str">
        <f>HYPERLINK("http://dx.doi.org/10.1029/2021JA030157","http://dx.doi.org/10.1029/2021JA030157")</f>
        <v>http://dx.doi.org/10.1029/2021JA030157</v>
      </c>
      <c r="BG354" t="s">
        <v>74</v>
      </c>
      <c r="BH354" t="s">
        <v>74</v>
      </c>
      <c r="BI354">
        <v>24</v>
      </c>
      <c r="BJ354" t="s">
        <v>2275</v>
      </c>
      <c r="BK354" t="s">
        <v>101</v>
      </c>
      <c r="BL354" t="s">
        <v>2275</v>
      </c>
      <c r="BM354" t="s">
        <v>7403</v>
      </c>
      <c r="BN354" t="s">
        <v>74</v>
      </c>
      <c r="BO354" t="s">
        <v>267</v>
      </c>
      <c r="BP354" t="s">
        <v>74</v>
      </c>
      <c r="BQ354" t="s">
        <v>74</v>
      </c>
      <c r="BR354" t="s">
        <v>103</v>
      </c>
      <c r="BS354" t="s">
        <v>7404</v>
      </c>
      <c r="BT354" t="str">
        <f>HYPERLINK("https%3A%2F%2Fwww.webofscience.com%2Fwos%2Fwoscc%2Ffull-record%2FWOS:000797414900001","View Full Record in Web of Science")</f>
        <v>View Full Record in Web of Science</v>
      </c>
    </row>
    <row r="355" spans="1:72" x14ac:dyDescent="0.15">
      <c r="A355" t="s">
        <v>72</v>
      </c>
      <c r="B355" t="s">
        <v>7405</v>
      </c>
      <c r="C355" t="s">
        <v>74</v>
      </c>
      <c r="D355" t="s">
        <v>74</v>
      </c>
      <c r="E355" t="s">
        <v>74</v>
      </c>
      <c r="F355" t="s">
        <v>7406</v>
      </c>
      <c r="G355" t="s">
        <v>74</v>
      </c>
      <c r="H355" t="s">
        <v>74</v>
      </c>
      <c r="I355" t="s">
        <v>7407</v>
      </c>
      <c r="J355" t="s">
        <v>2381</v>
      </c>
      <c r="K355" t="s">
        <v>74</v>
      </c>
      <c r="L355" t="s">
        <v>74</v>
      </c>
      <c r="M355" t="s">
        <v>78</v>
      </c>
      <c r="N355" t="s">
        <v>79</v>
      </c>
      <c r="O355" t="s">
        <v>74</v>
      </c>
      <c r="P355" t="s">
        <v>74</v>
      </c>
      <c r="Q355" t="s">
        <v>74</v>
      </c>
      <c r="R355" t="s">
        <v>74</v>
      </c>
      <c r="S355" t="s">
        <v>74</v>
      </c>
      <c r="T355" t="s">
        <v>7408</v>
      </c>
      <c r="U355" t="s">
        <v>7409</v>
      </c>
      <c r="V355" t="s">
        <v>7410</v>
      </c>
      <c r="W355" t="s">
        <v>7411</v>
      </c>
      <c r="X355" t="s">
        <v>7412</v>
      </c>
      <c r="Y355" t="s">
        <v>7413</v>
      </c>
      <c r="Z355" t="s">
        <v>7414</v>
      </c>
      <c r="AA355" t="s">
        <v>74</v>
      </c>
      <c r="AB355" t="s">
        <v>7415</v>
      </c>
      <c r="AC355" t="s">
        <v>74</v>
      </c>
      <c r="AD355" t="s">
        <v>74</v>
      </c>
      <c r="AE355" t="s">
        <v>74</v>
      </c>
      <c r="AF355" t="s">
        <v>74</v>
      </c>
      <c r="AG355">
        <v>37</v>
      </c>
      <c r="AH355">
        <v>6</v>
      </c>
      <c r="AI355">
        <v>6</v>
      </c>
      <c r="AJ355">
        <v>0</v>
      </c>
      <c r="AK355">
        <v>1</v>
      </c>
      <c r="AL355" t="s">
        <v>2042</v>
      </c>
      <c r="AM355" t="s">
        <v>2043</v>
      </c>
      <c r="AN355" t="s">
        <v>2044</v>
      </c>
      <c r="AO355" t="s">
        <v>2394</v>
      </c>
      <c r="AP355" t="s">
        <v>2395</v>
      </c>
      <c r="AQ355" t="s">
        <v>74</v>
      </c>
      <c r="AR355" t="s">
        <v>2396</v>
      </c>
      <c r="AS355" t="s">
        <v>2397</v>
      </c>
      <c r="AT355" t="s">
        <v>5076</v>
      </c>
      <c r="AU355">
        <v>2022</v>
      </c>
      <c r="AV355">
        <v>127</v>
      </c>
      <c r="AW355">
        <v>5</v>
      </c>
      <c r="AX355" t="s">
        <v>74</v>
      </c>
      <c r="AY355" t="s">
        <v>74</v>
      </c>
      <c r="AZ355" t="s">
        <v>74</v>
      </c>
      <c r="BA355" t="s">
        <v>74</v>
      </c>
      <c r="BB355" t="s">
        <v>74</v>
      </c>
      <c r="BC355" t="s">
        <v>74</v>
      </c>
      <c r="BD355" t="s">
        <v>7416</v>
      </c>
      <c r="BE355" t="s">
        <v>7417</v>
      </c>
      <c r="BF355" t="str">
        <f>HYPERLINK("http://dx.doi.org/10.1029/2022JA030355","http://dx.doi.org/10.1029/2022JA030355")</f>
        <v>http://dx.doi.org/10.1029/2022JA030355</v>
      </c>
      <c r="BG355" t="s">
        <v>74</v>
      </c>
      <c r="BH355" t="s">
        <v>74</v>
      </c>
      <c r="BI355">
        <v>16</v>
      </c>
      <c r="BJ355" t="s">
        <v>2275</v>
      </c>
      <c r="BK355" t="s">
        <v>101</v>
      </c>
      <c r="BL355" t="s">
        <v>2275</v>
      </c>
      <c r="BM355" t="s">
        <v>7418</v>
      </c>
      <c r="BN355" t="s">
        <v>74</v>
      </c>
      <c r="BO355" t="s">
        <v>267</v>
      </c>
      <c r="BP355" t="s">
        <v>74</v>
      </c>
      <c r="BQ355" t="s">
        <v>74</v>
      </c>
      <c r="BR355" t="s">
        <v>103</v>
      </c>
      <c r="BS355" t="s">
        <v>7419</v>
      </c>
      <c r="BT355" t="str">
        <f>HYPERLINK("https%3A%2F%2Fwww.webofscience.com%2Fwos%2Fwoscc%2Ffull-record%2FWOS:000798071100001","View Full Record in Web of Science")</f>
        <v>View Full Record in Web of Science</v>
      </c>
    </row>
    <row r="356" spans="1:72" x14ac:dyDescent="0.15">
      <c r="A356" t="s">
        <v>72</v>
      </c>
      <c r="B356" t="s">
        <v>7420</v>
      </c>
      <c r="C356" t="s">
        <v>74</v>
      </c>
      <c r="D356" t="s">
        <v>74</v>
      </c>
      <c r="E356" t="s">
        <v>74</v>
      </c>
      <c r="F356" t="s">
        <v>7421</v>
      </c>
      <c r="G356" t="s">
        <v>74</v>
      </c>
      <c r="H356" t="s">
        <v>74</v>
      </c>
      <c r="I356" t="s">
        <v>7422</v>
      </c>
      <c r="J356" t="s">
        <v>6748</v>
      </c>
      <c r="K356" t="s">
        <v>74</v>
      </c>
      <c r="L356" t="s">
        <v>74</v>
      </c>
      <c r="M356" t="s">
        <v>78</v>
      </c>
      <c r="N356" t="s">
        <v>79</v>
      </c>
      <c r="O356" t="s">
        <v>74</v>
      </c>
      <c r="P356" t="s">
        <v>74</v>
      </c>
      <c r="Q356" t="s">
        <v>74</v>
      </c>
      <c r="R356" t="s">
        <v>74</v>
      </c>
      <c r="S356" t="s">
        <v>74</v>
      </c>
      <c r="T356" t="s">
        <v>7423</v>
      </c>
      <c r="U356" t="s">
        <v>7424</v>
      </c>
      <c r="V356" t="s">
        <v>7425</v>
      </c>
      <c r="W356" t="s">
        <v>7426</v>
      </c>
      <c r="X356" t="s">
        <v>7427</v>
      </c>
      <c r="Y356" t="s">
        <v>7428</v>
      </c>
      <c r="Z356" t="s">
        <v>7429</v>
      </c>
      <c r="AA356" t="s">
        <v>7430</v>
      </c>
      <c r="AB356" t="s">
        <v>7431</v>
      </c>
      <c r="AC356" t="s">
        <v>7432</v>
      </c>
      <c r="AD356" t="s">
        <v>7433</v>
      </c>
      <c r="AE356" t="s">
        <v>7434</v>
      </c>
      <c r="AF356" t="s">
        <v>74</v>
      </c>
      <c r="AG356">
        <v>88</v>
      </c>
      <c r="AH356">
        <v>2</v>
      </c>
      <c r="AI356">
        <v>2</v>
      </c>
      <c r="AJ356">
        <v>2</v>
      </c>
      <c r="AK356">
        <v>6</v>
      </c>
      <c r="AL356" t="s">
        <v>2042</v>
      </c>
      <c r="AM356" t="s">
        <v>2043</v>
      </c>
      <c r="AN356" t="s">
        <v>2044</v>
      </c>
      <c r="AO356" t="s">
        <v>6761</v>
      </c>
      <c r="AP356" t="s">
        <v>6762</v>
      </c>
      <c r="AQ356" t="s">
        <v>74</v>
      </c>
      <c r="AR356" t="s">
        <v>6763</v>
      </c>
      <c r="AS356" t="s">
        <v>6764</v>
      </c>
      <c r="AT356" t="s">
        <v>5076</v>
      </c>
      <c r="AU356">
        <v>2022</v>
      </c>
      <c r="AV356">
        <v>37</v>
      </c>
      <c r="AW356">
        <v>5</v>
      </c>
      <c r="AX356" t="s">
        <v>74</v>
      </c>
      <c r="AY356" t="s">
        <v>74</v>
      </c>
      <c r="AZ356" t="s">
        <v>74</v>
      </c>
      <c r="BA356" t="s">
        <v>74</v>
      </c>
      <c r="BB356" t="s">
        <v>74</v>
      </c>
      <c r="BC356" t="s">
        <v>74</v>
      </c>
      <c r="BD356" t="s">
        <v>7435</v>
      </c>
      <c r="BE356" t="s">
        <v>7436</v>
      </c>
      <c r="BF356" t="str">
        <f>HYPERLINK("http://dx.doi.org/10.1029/2021PA004379","http://dx.doi.org/10.1029/2021PA004379")</f>
        <v>http://dx.doi.org/10.1029/2021PA004379</v>
      </c>
      <c r="BG356" t="s">
        <v>74</v>
      </c>
      <c r="BH356" t="s">
        <v>74</v>
      </c>
      <c r="BI356">
        <v>12</v>
      </c>
      <c r="BJ356" t="s">
        <v>6767</v>
      </c>
      <c r="BK356" t="s">
        <v>101</v>
      </c>
      <c r="BL356" t="s">
        <v>6768</v>
      </c>
      <c r="BM356" t="s">
        <v>7437</v>
      </c>
      <c r="BN356" t="s">
        <v>74</v>
      </c>
      <c r="BO356" t="s">
        <v>590</v>
      </c>
      <c r="BP356" t="s">
        <v>74</v>
      </c>
      <c r="BQ356" t="s">
        <v>74</v>
      </c>
      <c r="BR356" t="s">
        <v>103</v>
      </c>
      <c r="BS356" t="s">
        <v>7438</v>
      </c>
      <c r="BT356" t="str">
        <f>HYPERLINK("https%3A%2F%2Fwww.webofscience.com%2Fwos%2Fwoscc%2Ffull-record%2FWOS:000796955100001","View Full Record in Web of Science")</f>
        <v>View Full Record in Web of Science</v>
      </c>
    </row>
    <row r="357" spans="1:72" x14ac:dyDescent="0.15">
      <c r="A357" t="s">
        <v>72</v>
      </c>
      <c r="B357" t="s">
        <v>7439</v>
      </c>
      <c r="C357" t="s">
        <v>74</v>
      </c>
      <c r="D357" t="s">
        <v>74</v>
      </c>
      <c r="E357" t="s">
        <v>74</v>
      </c>
      <c r="F357" t="s">
        <v>7440</v>
      </c>
      <c r="G357" t="s">
        <v>74</v>
      </c>
      <c r="H357" t="s">
        <v>74</v>
      </c>
      <c r="I357" t="s">
        <v>7441</v>
      </c>
      <c r="J357" t="s">
        <v>7442</v>
      </c>
      <c r="K357" t="s">
        <v>74</v>
      </c>
      <c r="L357" t="s">
        <v>74</v>
      </c>
      <c r="M357" t="s">
        <v>78</v>
      </c>
      <c r="N357" t="s">
        <v>79</v>
      </c>
      <c r="O357" t="s">
        <v>74</v>
      </c>
      <c r="P357" t="s">
        <v>74</v>
      </c>
      <c r="Q357" t="s">
        <v>74</v>
      </c>
      <c r="R357" t="s">
        <v>74</v>
      </c>
      <c r="S357" t="s">
        <v>74</v>
      </c>
      <c r="T357" t="s">
        <v>74</v>
      </c>
      <c r="U357" t="s">
        <v>7443</v>
      </c>
      <c r="V357" t="s">
        <v>7444</v>
      </c>
      <c r="W357" t="s">
        <v>7445</v>
      </c>
      <c r="X357" t="s">
        <v>7446</v>
      </c>
      <c r="Y357" t="s">
        <v>7447</v>
      </c>
      <c r="Z357" t="s">
        <v>7448</v>
      </c>
      <c r="AA357" t="s">
        <v>74</v>
      </c>
      <c r="AB357" t="s">
        <v>74</v>
      </c>
      <c r="AC357" t="s">
        <v>74</v>
      </c>
      <c r="AD357" t="s">
        <v>74</v>
      </c>
      <c r="AE357" t="s">
        <v>74</v>
      </c>
      <c r="AF357" t="s">
        <v>74</v>
      </c>
      <c r="AG357">
        <v>27</v>
      </c>
      <c r="AH357">
        <v>0</v>
      </c>
      <c r="AI357">
        <v>0</v>
      </c>
      <c r="AJ357">
        <v>1</v>
      </c>
      <c r="AK357">
        <v>6</v>
      </c>
      <c r="AL357" t="s">
        <v>1714</v>
      </c>
      <c r="AM357" t="s">
        <v>1715</v>
      </c>
      <c r="AN357" t="s">
        <v>1716</v>
      </c>
      <c r="AO357" t="s">
        <v>7449</v>
      </c>
      <c r="AP357" t="s">
        <v>7450</v>
      </c>
      <c r="AQ357" t="s">
        <v>74</v>
      </c>
      <c r="AR357" t="s">
        <v>7451</v>
      </c>
      <c r="AS357" t="s">
        <v>7452</v>
      </c>
      <c r="AT357" t="s">
        <v>5076</v>
      </c>
      <c r="AU357">
        <v>2022</v>
      </c>
      <c r="AV357">
        <v>90</v>
      </c>
      <c r="AW357">
        <v>5</v>
      </c>
      <c r="AX357" t="s">
        <v>74</v>
      </c>
      <c r="AY357" t="s">
        <v>74</v>
      </c>
      <c r="AZ357" t="s">
        <v>74</v>
      </c>
      <c r="BA357" t="s">
        <v>74</v>
      </c>
      <c r="BB357">
        <v>351</v>
      </c>
      <c r="BC357">
        <v>358</v>
      </c>
      <c r="BD357" t="s">
        <v>74</v>
      </c>
      <c r="BE357" t="s">
        <v>7453</v>
      </c>
      <c r="BF357" t="str">
        <f>HYPERLINK("http://dx.doi.org/10.1119/5.0067924","http://dx.doi.org/10.1119/5.0067924")</f>
        <v>http://dx.doi.org/10.1119/5.0067924</v>
      </c>
      <c r="BG357" t="s">
        <v>74</v>
      </c>
      <c r="BH357" t="s">
        <v>74</v>
      </c>
      <c r="BI357">
        <v>8</v>
      </c>
      <c r="BJ357" t="s">
        <v>7454</v>
      </c>
      <c r="BK357" t="s">
        <v>101</v>
      </c>
      <c r="BL357" t="s">
        <v>7455</v>
      </c>
      <c r="BM357" t="s">
        <v>7456</v>
      </c>
      <c r="BN357" t="s">
        <v>74</v>
      </c>
      <c r="BO357" t="s">
        <v>74</v>
      </c>
      <c r="BP357" t="s">
        <v>74</v>
      </c>
      <c r="BQ357" t="s">
        <v>74</v>
      </c>
      <c r="BR357" t="s">
        <v>103</v>
      </c>
      <c r="BS357" t="s">
        <v>7457</v>
      </c>
      <c r="BT357" t="str">
        <f>HYPERLINK("https%3A%2F%2Fwww.webofscience.com%2Fwos%2Fwoscc%2Ffull-record%2FWOS:000794036400005","View Full Record in Web of Science")</f>
        <v>View Full Record in Web of Science</v>
      </c>
    </row>
    <row r="358" spans="1:72" x14ac:dyDescent="0.15">
      <c r="A358" t="s">
        <v>72</v>
      </c>
      <c r="B358" t="s">
        <v>7458</v>
      </c>
      <c r="C358" t="s">
        <v>74</v>
      </c>
      <c r="D358" t="s">
        <v>74</v>
      </c>
      <c r="E358" t="s">
        <v>74</v>
      </c>
      <c r="F358" t="s">
        <v>7459</v>
      </c>
      <c r="G358" t="s">
        <v>74</v>
      </c>
      <c r="H358" t="s">
        <v>74</v>
      </c>
      <c r="I358" t="s">
        <v>7460</v>
      </c>
      <c r="J358" t="s">
        <v>2443</v>
      </c>
      <c r="K358" t="s">
        <v>74</v>
      </c>
      <c r="L358" t="s">
        <v>74</v>
      </c>
      <c r="M358" t="s">
        <v>78</v>
      </c>
      <c r="N358" t="s">
        <v>79</v>
      </c>
      <c r="O358" t="s">
        <v>74</v>
      </c>
      <c r="P358" t="s">
        <v>74</v>
      </c>
      <c r="Q358" t="s">
        <v>74</v>
      </c>
      <c r="R358" t="s">
        <v>74</v>
      </c>
      <c r="S358" t="s">
        <v>74</v>
      </c>
      <c r="T358" t="s">
        <v>7461</v>
      </c>
      <c r="U358" t="s">
        <v>7462</v>
      </c>
      <c r="V358" t="s">
        <v>7463</v>
      </c>
      <c r="W358" t="s">
        <v>7464</v>
      </c>
      <c r="X358" t="s">
        <v>7465</v>
      </c>
      <c r="Y358" t="s">
        <v>7466</v>
      </c>
      <c r="Z358" t="s">
        <v>7467</v>
      </c>
      <c r="AA358" t="s">
        <v>7468</v>
      </c>
      <c r="AB358" t="s">
        <v>7469</v>
      </c>
      <c r="AC358" t="s">
        <v>7470</v>
      </c>
      <c r="AD358" t="s">
        <v>4081</v>
      </c>
      <c r="AE358" t="s">
        <v>7471</v>
      </c>
      <c r="AF358" t="s">
        <v>74</v>
      </c>
      <c r="AG358">
        <v>81</v>
      </c>
      <c r="AH358">
        <v>3</v>
      </c>
      <c r="AI358">
        <v>4</v>
      </c>
      <c r="AJ358">
        <v>1</v>
      </c>
      <c r="AK358">
        <v>8</v>
      </c>
      <c r="AL358" t="s">
        <v>2042</v>
      </c>
      <c r="AM358" t="s">
        <v>2043</v>
      </c>
      <c r="AN358" t="s">
        <v>2044</v>
      </c>
      <c r="AO358" t="s">
        <v>2456</v>
      </c>
      <c r="AP358" t="s">
        <v>2457</v>
      </c>
      <c r="AQ358" t="s">
        <v>74</v>
      </c>
      <c r="AR358" t="s">
        <v>2458</v>
      </c>
      <c r="AS358" t="s">
        <v>2459</v>
      </c>
      <c r="AT358" t="s">
        <v>5076</v>
      </c>
      <c r="AU358">
        <v>2022</v>
      </c>
      <c r="AV358">
        <v>127</v>
      </c>
      <c r="AW358">
        <v>5</v>
      </c>
      <c r="AX358" t="s">
        <v>74</v>
      </c>
      <c r="AY358" t="s">
        <v>74</v>
      </c>
      <c r="AZ358" t="s">
        <v>74</v>
      </c>
      <c r="BA358" t="s">
        <v>74</v>
      </c>
      <c r="BB358" t="s">
        <v>74</v>
      </c>
      <c r="BC358" t="s">
        <v>74</v>
      </c>
      <c r="BD358" t="s">
        <v>7472</v>
      </c>
      <c r="BE358" t="s">
        <v>7473</v>
      </c>
      <c r="BF358" t="str">
        <f>HYPERLINK("http://dx.doi.org/10.1029/2021JC017482","http://dx.doi.org/10.1029/2021JC017482")</f>
        <v>http://dx.doi.org/10.1029/2021JC017482</v>
      </c>
      <c r="BG358" t="s">
        <v>74</v>
      </c>
      <c r="BH358" t="s">
        <v>74</v>
      </c>
      <c r="BI358">
        <v>15</v>
      </c>
      <c r="BJ358" t="s">
        <v>208</v>
      </c>
      <c r="BK358" t="s">
        <v>101</v>
      </c>
      <c r="BL358" t="s">
        <v>208</v>
      </c>
      <c r="BM358" t="s">
        <v>7474</v>
      </c>
      <c r="BN358" t="s">
        <v>74</v>
      </c>
      <c r="BO358" t="s">
        <v>643</v>
      </c>
      <c r="BP358" t="s">
        <v>74</v>
      </c>
      <c r="BQ358" t="s">
        <v>74</v>
      </c>
      <c r="BR358" t="s">
        <v>103</v>
      </c>
      <c r="BS358" t="s">
        <v>7475</v>
      </c>
      <c r="BT358" t="str">
        <f>HYPERLINK("https%3A%2F%2Fwww.webofscience.com%2Fwos%2Fwoscc%2Ffull-record%2FWOS:000796957600001","View Full Record in Web of Science")</f>
        <v>View Full Record in Web of Science</v>
      </c>
    </row>
    <row r="359" spans="1:72" x14ac:dyDescent="0.15">
      <c r="A359" t="s">
        <v>72</v>
      </c>
      <c r="B359" t="s">
        <v>7476</v>
      </c>
      <c r="C359" t="s">
        <v>74</v>
      </c>
      <c r="D359" t="s">
        <v>74</v>
      </c>
      <c r="E359" t="s">
        <v>74</v>
      </c>
      <c r="F359" t="s">
        <v>7477</v>
      </c>
      <c r="G359" t="s">
        <v>74</v>
      </c>
      <c r="H359" t="s">
        <v>74</v>
      </c>
      <c r="I359" t="s">
        <v>7478</v>
      </c>
      <c r="J359" t="s">
        <v>7479</v>
      </c>
      <c r="K359" t="s">
        <v>74</v>
      </c>
      <c r="L359" t="s">
        <v>74</v>
      </c>
      <c r="M359" t="s">
        <v>78</v>
      </c>
      <c r="N359" t="s">
        <v>79</v>
      </c>
      <c r="O359" t="s">
        <v>74</v>
      </c>
      <c r="P359" t="s">
        <v>74</v>
      </c>
      <c r="Q359" t="s">
        <v>74</v>
      </c>
      <c r="R359" t="s">
        <v>74</v>
      </c>
      <c r="S359" t="s">
        <v>74</v>
      </c>
      <c r="T359" t="s">
        <v>7480</v>
      </c>
      <c r="U359" t="s">
        <v>7481</v>
      </c>
      <c r="V359" t="s">
        <v>7482</v>
      </c>
      <c r="W359" t="s">
        <v>7483</v>
      </c>
      <c r="X359" t="s">
        <v>7484</v>
      </c>
      <c r="Y359" t="s">
        <v>7485</v>
      </c>
      <c r="Z359" t="s">
        <v>7486</v>
      </c>
      <c r="AA359" t="s">
        <v>7487</v>
      </c>
      <c r="AB359" t="s">
        <v>7488</v>
      </c>
      <c r="AC359" t="s">
        <v>7489</v>
      </c>
      <c r="AD359" t="s">
        <v>1614</v>
      </c>
      <c r="AE359" t="s">
        <v>7490</v>
      </c>
      <c r="AF359" t="s">
        <v>74</v>
      </c>
      <c r="AG359">
        <v>46</v>
      </c>
      <c r="AH359">
        <v>0</v>
      </c>
      <c r="AI359">
        <v>0</v>
      </c>
      <c r="AJ359">
        <v>0</v>
      </c>
      <c r="AK359">
        <v>3</v>
      </c>
      <c r="AL359" t="s">
        <v>7201</v>
      </c>
      <c r="AM359" t="s">
        <v>2859</v>
      </c>
      <c r="AN359" t="s">
        <v>7202</v>
      </c>
      <c r="AO359" t="s">
        <v>7491</v>
      </c>
      <c r="AP359" t="s">
        <v>7492</v>
      </c>
      <c r="AQ359" t="s">
        <v>74</v>
      </c>
      <c r="AR359" t="s">
        <v>7493</v>
      </c>
      <c r="AS359" t="s">
        <v>7494</v>
      </c>
      <c r="AT359" t="s">
        <v>5076</v>
      </c>
      <c r="AU359">
        <v>2022</v>
      </c>
      <c r="AV359">
        <v>19</v>
      </c>
      <c r="AW359">
        <v>5</v>
      </c>
      <c r="AX359" t="s">
        <v>74</v>
      </c>
      <c r="AY359" t="s">
        <v>74</v>
      </c>
      <c r="AZ359" t="s">
        <v>74</v>
      </c>
      <c r="BA359" t="s">
        <v>74</v>
      </c>
      <c r="BB359">
        <v>1217</v>
      </c>
      <c r="BC359">
        <v>1230</v>
      </c>
      <c r="BD359" t="s">
        <v>74</v>
      </c>
      <c r="BE359" t="s">
        <v>7495</v>
      </c>
      <c r="BF359" t="str">
        <f>HYPERLINK("http://dx.doi.org/10.1007/s11629-022-7338-1","http://dx.doi.org/10.1007/s11629-022-7338-1")</f>
        <v>http://dx.doi.org/10.1007/s11629-022-7338-1</v>
      </c>
      <c r="BG359" t="s">
        <v>74</v>
      </c>
      <c r="BH359" t="s">
        <v>74</v>
      </c>
      <c r="BI359">
        <v>14</v>
      </c>
      <c r="BJ359" t="s">
        <v>1104</v>
      </c>
      <c r="BK359" t="s">
        <v>101</v>
      </c>
      <c r="BL359" t="s">
        <v>840</v>
      </c>
      <c r="BM359" t="s">
        <v>7496</v>
      </c>
      <c r="BN359" t="s">
        <v>74</v>
      </c>
      <c r="BO359" t="s">
        <v>74</v>
      </c>
      <c r="BP359" t="s">
        <v>74</v>
      </c>
      <c r="BQ359" t="s">
        <v>74</v>
      </c>
      <c r="BR359" t="s">
        <v>103</v>
      </c>
      <c r="BS359" t="s">
        <v>7497</v>
      </c>
      <c r="BT359" t="str">
        <f>HYPERLINK("https%3A%2F%2Fwww.webofscience.com%2Fwos%2Fwoscc%2Ffull-record%2FWOS:000796067700001","View Full Record in Web of Science")</f>
        <v>View Full Record in Web of Science</v>
      </c>
    </row>
    <row r="360" spans="1:72" x14ac:dyDescent="0.15">
      <c r="A360" t="s">
        <v>72</v>
      </c>
      <c r="B360" t="s">
        <v>7498</v>
      </c>
      <c r="C360" t="s">
        <v>74</v>
      </c>
      <c r="D360" t="s">
        <v>74</v>
      </c>
      <c r="E360" t="s">
        <v>74</v>
      </c>
      <c r="F360" t="s">
        <v>7499</v>
      </c>
      <c r="G360" t="s">
        <v>74</v>
      </c>
      <c r="H360" t="s">
        <v>74</v>
      </c>
      <c r="I360" t="s">
        <v>7500</v>
      </c>
      <c r="J360" t="s">
        <v>7501</v>
      </c>
      <c r="K360" t="s">
        <v>74</v>
      </c>
      <c r="L360" t="s">
        <v>74</v>
      </c>
      <c r="M360" t="s">
        <v>78</v>
      </c>
      <c r="N360" t="s">
        <v>79</v>
      </c>
      <c r="O360" t="s">
        <v>74</v>
      </c>
      <c r="P360" t="s">
        <v>74</v>
      </c>
      <c r="Q360" t="s">
        <v>74</v>
      </c>
      <c r="R360" t="s">
        <v>74</v>
      </c>
      <c r="S360" t="s">
        <v>74</v>
      </c>
      <c r="T360" t="s">
        <v>7502</v>
      </c>
      <c r="U360" t="s">
        <v>7503</v>
      </c>
      <c r="V360" t="s">
        <v>7504</v>
      </c>
      <c r="W360" t="s">
        <v>7505</v>
      </c>
      <c r="X360" t="s">
        <v>7506</v>
      </c>
      <c r="Y360" t="s">
        <v>7507</v>
      </c>
      <c r="Z360" t="s">
        <v>7508</v>
      </c>
      <c r="AA360" t="s">
        <v>7509</v>
      </c>
      <c r="AB360" t="s">
        <v>7510</v>
      </c>
      <c r="AC360" t="s">
        <v>7511</v>
      </c>
      <c r="AD360" t="s">
        <v>7512</v>
      </c>
      <c r="AE360" t="s">
        <v>7513</v>
      </c>
      <c r="AF360" t="s">
        <v>74</v>
      </c>
      <c r="AG360">
        <v>80</v>
      </c>
      <c r="AH360">
        <v>9</v>
      </c>
      <c r="AI360">
        <v>9</v>
      </c>
      <c r="AJ360">
        <v>2</v>
      </c>
      <c r="AK360">
        <v>18</v>
      </c>
      <c r="AL360" t="s">
        <v>7514</v>
      </c>
      <c r="AM360" t="s">
        <v>174</v>
      </c>
      <c r="AN360" t="s">
        <v>7515</v>
      </c>
      <c r="AO360" t="s">
        <v>7516</v>
      </c>
      <c r="AP360" t="s">
        <v>7517</v>
      </c>
      <c r="AQ360" t="s">
        <v>74</v>
      </c>
      <c r="AR360" t="s">
        <v>7518</v>
      </c>
      <c r="AS360" t="s">
        <v>7519</v>
      </c>
      <c r="AT360" t="s">
        <v>5076</v>
      </c>
      <c r="AU360">
        <v>2022</v>
      </c>
      <c r="AV360">
        <v>225</v>
      </c>
      <c r="AW360">
        <v>9</v>
      </c>
      <c r="AX360" t="s">
        <v>74</v>
      </c>
      <c r="AY360" t="s">
        <v>74</v>
      </c>
      <c r="AZ360" t="s">
        <v>74</v>
      </c>
      <c r="BA360" t="s">
        <v>74</v>
      </c>
      <c r="BB360" t="s">
        <v>74</v>
      </c>
      <c r="BC360" t="s">
        <v>74</v>
      </c>
      <c r="BD360" t="s">
        <v>7520</v>
      </c>
      <c r="BE360" t="s">
        <v>7521</v>
      </c>
      <c r="BF360" t="str">
        <f>HYPERLINK("http://dx.doi.org/10.1242/jeb.243414","http://dx.doi.org/10.1242/jeb.243414")</f>
        <v>http://dx.doi.org/10.1242/jeb.243414</v>
      </c>
      <c r="BG360" t="s">
        <v>74</v>
      </c>
      <c r="BH360" t="s">
        <v>74</v>
      </c>
      <c r="BI360">
        <v>13</v>
      </c>
      <c r="BJ360" t="s">
        <v>1819</v>
      </c>
      <c r="BK360" t="s">
        <v>101</v>
      </c>
      <c r="BL360" t="s">
        <v>1820</v>
      </c>
      <c r="BM360" t="s">
        <v>7522</v>
      </c>
      <c r="BN360">
        <v>35420125</v>
      </c>
      <c r="BO360" t="s">
        <v>7523</v>
      </c>
      <c r="BP360" t="s">
        <v>74</v>
      </c>
      <c r="BQ360" t="s">
        <v>74</v>
      </c>
      <c r="BR360" t="s">
        <v>103</v>
      </c>
      <c r="BS360" t="s">
        <v>7524</v>
      </c>
      <c r="BT360" t="str">
        <f>HYPERLINK("https%3A%2F%2Fwww.webofscience.com%2Fwos%2Fwoscc%2Ffull-record%2FWOS:000795922800006","View Full Record in Web of Science")</f>
        <v>View Full Record in Web of Science</v>
      </c>
    </row>
    <row r="361" spans="1:72" x14ac:dyDescent="0.15">
      <c r="A361" t="s">
        <v>72</v>
      </c>
      <c r="B361" t="s">
        <v>7525</v>
      </c>
      <c r="C361" t="s">
        <v>74</v>
      </c>
      <c r="D361" t="s">
        <v>74</v>
      </c>
      <c r="E361" t="s">
        <v>74</v>
      </c>
      <c r="F361" t="s">
        <v>7526</v>
      </c>
      <c r="G361" t="s">
        <v>74</v>
      </c>
      <c r="H361" t="s">
        <v>74</v>
      </c>
      <c r="I361" t="s">
        <v>7527</v>
      </c>
      <c r="J361" t="s">
        <v>7528</v>
      </c>
      <c r="K361" t="s">
        <v>74</v>
      </c>
      <c r="L361" t="s">
        <v>74</v>
      </c>
      <c r="M361" t="s">
        <v>78</v>
      </c>
      <c r="N361" t="s">
        <v>79</v>
      </c>
      <c r="O361" t="s">
        <v>74</v>
      </c>
      <c r="P361" t="s">
        <v>74</v>
      </c>
      <c r="Q361" t="s">
        <v>74</v>
      </c>
      <c r="R361" t="s">
        <v>74</v>
      </c>
      <c r="S361" t="s">
        <v>74</v>
      </c>
      <c r="T361" t="s">
        <v>7529</v>
      </c>
      <c r="U361" t="s">
        <v>7530</v>
      </c>
      <c r="V361" t="s">
        <v>7531</v>
      </c>
      <c r="W361" t="s">
        <v>7532</v>
      </c>
      <c r="X361" t="s">
        <v>7533</v>
      </c>
      <c r="Y361" t="s">
        <v>7534</v>
      </c>
      <c r="Z361" t="s">
        <v>7535</v>
      </c>
      <c r="AA361" t="s">
        <v>7536</v>
      </c>
      <c r="AB361" t="s">
        <v>7537</v>
      </c>
      <c r="AC361" t="s">
        <v>7538</v>
      </c>
      <c r="AD361" t="s">
        <v>7539</v>
      </c>
      <c r="AE361" t="s">
        <v>7540</v>
      </c>
      <c r="AF361" t="s">
        <v>74</v>
      </c>
      <c r="AG361">
        <v>40</v>
      </c>
      <c r="AH361">
        <v>3</v>
      </c>
      <c r="AI361">
        <v>4</v>
      </c>
      <c r="AJ361">
        <v>2</v>
      </c>
      <c r="AK361">
        <v>33</v>
      </c>
      <c r="AL361" t="s">
        <v>1766</v>
      </c>
      <c r="AM361" t="s">
        <v>1767</v>
      </c>
      <c r="AN361" t="s">
        <v>1768</v>
      </c>
      <c r="AO361" t="s">
        <v>74</v>
      </c>
      <c r="AP361" t="s">
        <v>7541</v>
      </c>
      <c r="AQ361" t="s">
        <v>74</v>
      </c>
      <c r="AR361" t="s">
        <v>7528</v>
      </c>
      <c r="AS361" t="s">
        <v>7542</v>
      </c>
      <c r="AT361" t="s">
        <v>5076</v>
      </c>
      <c r="AU361">
        <v>2022</v>
      </c>
      <c r="AV361">
        <v>27</v>
      </c>
      <c r="AW361">
        <v>9</v>
      </c>
      <c r="AX361" t="s">
        <v>74</v>
      </c>
      <c r="AY361" t="s">
        <v>74</v>
      </c>
      <c r="AZ361" t="s">
        <v>74</v>
      </c>
      <c r="BA361" t="s">
        <v>74</v>
      </c>
      <c r="BB361" t="s">
        <v>74</v>
      </c>
      <c r="BC361" t="s">
        <v>74</v>
      </c>
      <c r="BD361">
        <v>2771</v>
      </c>
      <c r="BE361" t="s">
        <v>7543</v>
      </c>
      <c r="BF361" t="str">
        <f>HYPERLINK("http://dx.doi.org/10.3390/molecules27092771","http://dx.doi.org/10.3390/molecules27092771")</f>
        <v>http://dx.doi.org/10.3390/molecules27092771</v>
      </c>
      <c r="BG361" t="s">
        <v>74</v>
      </c>
      <c r="BH361" t="s">
        <v>74</v>
      </c>
      <c r="BI361">
        <v>11</v>
      </c>
      <c r="BJ361" t="s">
        <v>7165</v>
      </c>
      <c r="BK361" t="s">
        <v>101</v>
      </c>
      <c r="BL361" t="s">
        <v>7166</v>
      </c>
      <c r="BM361" t="s">
        <v>7544</v>
      </c>
      <c r="BN361">
        <v>35566118</v>
      </c>
      <c r="BO361" t="s">
        <v>1533</v>
      </c>
      <c r="BP361" t="s">
        <v>74</v>
      </c>
      <c r="BQ361" t="s">
        <v>74</v>
      </c>
      <c r="BR361" t="s">
        <v>103</v>
      </c>
      <c r="BS361" t="s">
        <v>7545</v>
      </c>
      <c r="BT361" t="str">
        <f>HYPERLINK("https%3A%2F%2Fwww.webofscience.com%2Fwos%2Fwoscc%2Ffull-record%2FWOS:000796139100001","View Full Record in Web of Science")</f>
        <v>View Full Record in Web of Science</v>
      </c>
    </row>
    <row r="362" spans="1:72" x14ac:dyDescent="0.15">
      <c r="A362" t="s">
        <v>72</v>
      </c>
      <c r="B362" t="s">
        <v>7546</v>
      </c>
      <c r="C362" t="s">
        <v>74</v>
      </c>
      <c r="D362" t="s">
        <v>74</v>
      </c>
      <c r="E362" t="s">
        <v>74</v>
      </c>
      <c r="F362" t="s">
        <v>7547</v>
      </c>
      <c r="G362" t="s">
        <v>74</v>
      </c>
      <c r="H362" t="s">
        <v>74</v>
      </c>
      <c r="I362" t="s">
        <v>7548</v>
      </c>
      <c r="J362" t="s">
        <v>7528</v>
      </c>
      <c r="K362" t="s">
        <v>74</v>
      </c>
      <c r="L362" t="s">
        <v>74</v>
      </c>
      <c r="M362" t="s">
        <v>78</v>
      </c>
      <c r="N362" t="s">
        <v>79</v>
      </c>
      <c r="O362" t="s">
        <v>74</v>
      </c>
      <c r="P362" t="s">
        <v>74</v>
      </c>
      <c r="Q362" t="s">
        <v>74</v>
      </c>
      <c r="R362" t="s">
        <v>74</v>
      </c>
      <c r="S362" t="s">
        <v>74</v>
      </c>
      <c r="T362" t="s">
        <v>7549</v>
      </c>
      <c r="U362" t="s">
        <v>7550</v>
      </c>
      <c r="V362" t="s">
        <v>7551</v>
      </c>
      <c r="W362" t="s">
        <v>7552</v>
      </c>
      <c r="X362" t="s">
        <v>7553</v>
      </c>
      <c r="Y362" t="s">
        <v>7554</v>
      </c>
      <c r="Z362" t="s">
        <v>7555</v>
      </c>
      <c r="AA362" t="s">
        <v>74</v>
      </c>
      <c r="AB362" t="s">
        <v>74</v>
      </c>
      <c r="AC362" t="s">
        <v>7556</v>
      </c>
      <c r="AD362" t="s">
        <v>7557</v>
      </c>
      <c r="AE362" t="s">
        <v>7558</v>
      </c>
      <c r="AF362" t="s">
        <v>74</v>
      </c>
      <c r="AG362">
        <v>38</v>
      </c>
      <c r="AH362">
        <v>1</v>
      </c>
      <c r="AI362">
        <v>1</v>
      </c>
      <c r="AJ362">
        <v>0</v>
      </c>
      <c r="AK362">
        <v>11</v>
      </c>
      <c r="AL362" t="s">
        <v>1766</v>
      </c>
      <c r="AM362" t="s">
        <v>1767</v>
      </c>
      <c r="AN362" t="s">
        <v>1768</v>
      </c>
      <c r="AO362" t="s">
        <v>74</v>
      </c>
      <c r="AP362" t="s">
        <v>7541</v>
      </c>
      <c r="AQ362" t="s">
        <v>74</v>
      </c>
      <c r="AR362" t="s">
        <v>7528</v>
      </c>
      <c r="AS362" t="s">
        <v>7542</v>
      </c>
      <c r="AT362" t="s">
        <v>5076</v>
      </c>
      <c r="AU362">
        <v>2022</v>
      </c>
      <c r="AV362">
        <v>27</v>
      </c>
      <c r="AW362">
        <v>9</v>
      </c>
      <c r="AX362" t="s">
        <v>74</v>
      </c>
      <c r="AY362" t="s">
        <v>74</v>
      </c>
      <c r="AZ362" t="s">
        <v>74</v>
      </c>
      <c r="BA362" t="s">
        <v>74</v>
      </c>
      <c r="BB362" t="s">
        <v>74</v>
      </c>
      <c r="BC362" t="s">
        <v>74</v>
      </c>
      <c r="BD362">
        <v>2851</v>
      </c>
      <c r="BE362" t="s">
        <v>7559</v>
      </c>
      <c r="BF362" t="str">
        <f>HYPERLINK("http://dx.doi.org/10.3390/molecules27092851","http://dx.doi.org/10.3390/molecules27092851")</f>
        <v>http://dx.doi.org/10.3390/molecules27092851</v>
      </c>
      <c r="BG362" t="s">
        <v>74</v>
      </c>
      <c r="BH362" t="s">
        <v>74</v>
      </c>
      <c r="BI362">
        <v>12</v>
      </c>
      <c r="BJ362" t="s">
        <v>7165</v>
      </c>
      <c r="BK362" t="s">
        <v>101</v>
      </c>
      <c r="BL362" t="s">
        <v>7166</v>
      </c>
      <c r="BM362" t="s">
        <v>7560</v>
      </c>
      <c r="BN362">
        <v>35566201</v>
      </c>
      <c r="BO362" t="s">
        <v>1533</v>
      </c>
      <c r="BP362" t="s">
        <v>74</v>
      </c>
      <c r="BQ362" t="s">
        <v>74</v>
      </c>
      <c r="BR362" t="s">
        <v>103</v>
      </c>
      <c r="BS362" t="s">
        <v>7561</v>
      </c>
      <c r="BT362" t="str">
        <f>HYPERLINK("https%3A%2F%2Fwww.webofscience.com%2Fwos%2Fwoscc%2Ffull-record%2FWOS:000795340500001","View Full Record in Web of Science")</f>
        <v>View Full Record in Web of Science</v>
      </c>
    </row>
    <row r="363" spans="1:72" x14ac:dyDescent="0.15">
      <c r="A363" t="s">
        <v>72</v>
      </c>
      <c r="B363" t="s">
        <v>7562</v>
      </c>
      <c r="C363" t="s">
        <v>74</v>
      </c>
      <c r="D363" t="s">
        <v>74</v>
      </c>
      <c r="E363" t="s">
        <v>74</v>
      </c>
      <c r="F363" t="s">
        <v>7563</v>
      </c>
      <c r="G363" t="s">
        <v>74</v>
      </c>
      <c r="H363" t="s">
        <v>74</v>
      </c>
      <c r="I363" t="s">
        <v>7564</v>
      </c>
      <c r="J363" t="s">
        <v>1923</v>
      </c>
      <c r="K363" t="s">
        <v>74</v>
      </c>
      <c r="L363" t="s">
        <v>74</v>
      </c>
      <c r="M363" t="s">
        <v>78</v>
      </c>
      <c r="N363" t="s">
        <v>79</v>
      </c>
      <c r="O363" t="s">
        <v>74</v>
      </c>
      <c r="P363" t="s">
        <v>74</v>
      </c>
      <c r="Q363" t="s">
        <v>74</v>
      </c>
      <c r="R363" t="s">
        <v>74</v>
      </c>
      <c r="S363" t="s">
        <v>74</v>
      </c>
      <c r="T363" t="s">
        <v>7565</v>
      </c>
      <c r="U363" t="s">
        <v>7566</v>
      </c>
      <c r="V363" t="s">
        <v>7567</v>
      </c>
      <c r="W363" t="s">
        <v>7568</v>
      </c>
      <c r="X363" t="s">
        <v>7569</v>
      </c>
      <c r="Y363" t="s">
        <v>7570</v>
      </c>
      <c r="Z363" t="s">
        <v>7571</v>
      </c>
      <c r="AA363" t="s">
        <v>7572</v>
      </c>
      <c r="AB363" t="s">
        <v>7573</v>
      </c>
      <c r="AC363" t="s">
        <v>74</v>
      </c>
      <c r="AD363" t="s">
        <v>74</v>
      </c>
      <c r="AE363" t="s">
        <v>74</v>
      </c>
      <c r="AF363" t="s">
        <v>74</v>
      </c>
      <c r="AG363">
        <v>38</v>
      </c>
      <c r="AH363">
        <v>4</v>
      </c>
      <c r="AI363">
        <v>5</v>
      </c>
      <c r="AJ363">
        <v>0</v>
      </c>
      <c r="AK363">
        <v>4</v>
      </c>
      <c r="AL363" t="s">
        <v>1766</v>
      </c>
      <c r="AM363" t="s">
        <v>1767</v>
      </c>
      <c r="AN363" t="s">
        <v>1768</v>
      </c>
      <c r="AO363" t="s">
        <v>74</v>
      </c>
      <c r="AP363" t="s">
        <v>1935</v>
      </c>
      <c r="AQ363" t="s">
        <v>74</v>
      </c>
      <c r="AR363" t="s">
        <v>1936</v>
      </c>
      <c r="AS363" t="s">
        <v>1937</v>
      </c>
      <c r="AT363" t="s">
        <v>5076</v>
      </c>
      <c r="AU363">
        <v>2022</v>
      </c>
      <c r="AV363">
        <v>14</v>
      </c>
      <c r="AW363">
        <v>9</v>
      </c>
      <c r="AX363" t="s">
        <v>74</v>
      </c>
      <c r="AY363" t="s">
        <v>74</v>
      </c>
      <c r="AZ363" t="s">
        <v>74</v>
      </c>
      <c r="BA363" t="s">
        <v>74</v>
      </c>
      <c r="BB363" t="s">
        <v>74</v>
      </c>
      <c r="BC363" t="s">
        <v>74</v>
      </c>
      <c r="BD363">
        <v>2213</v>
      </c>
      <c r="BE363" t="s">
        <v>7574</v>
      </c>
      <c r="BF363" t="str">
        <f>HYPERLINK("http://dx.doi.org/10.3390/rs14092213","http://dx.doi.org/10.3390/rs14092213")</f>
        <v>http://dx.doi.org/10.3390/rs14092213</v>
      </c>
      <c r="BG363" t="s">
        <v>74</v>
      </c>
      <c r="BH363" t="s">
        <v>74</v>
      </c>
      <c r="BI363">
        <v>14</v>
      </c>
      <c r="BJ363" t="s">
        <v>1939</v>
      </c>
      <c r="BK363" t="s">
        <v>101</v>
      </c>
      <c r="BL363" t="s">
        <v>1940</v>
      </c>
      <c r="BM363" t="s">
        <v>7575</v>
      </c>
      <c r="BN363" t="s">
        <v>74</v>
      </c>
      <c r="BO363" t="s">
        <v>438</v>
      </c>
      <c r="BP363" t="s">
        <v>74</v>
      </c>
      <c r="BQ363" t="s">
        <v>74</v>
      </c>
      <c r="BR363" t="s">
        <v>103</v>
      </c>
      <c r="BS363" t="s">
        <v>7576</v>
      </c>
      <c r="BT363" t="str">
        <f>HYPERLINK("https%3A%2F%2Fwww.webofscience.com%2Fwos%2Fwoscc%2Ffull-record%2FWOS:000795363600001","View Full Record in Web of Science")</f>
        <v>View Full Record in Web of Science</v>
      </c>
    </row>
    <row r="364" spans="1:72" x14ac:dyDescent="0.15">
      <c r="A364" t="s">
        <v>72</v>
      </c>
      <c r="B364" t="s">
        <v>7577</v>
      </c>
      <c r="C364" t="s">
        <v>74</v>
      </c>
      <c r="D364" t="s">
        <v>74</v>
      </c>
      <c r="E364" t="s">
        <v>74</v>
      </c>
      <c r="F364" t="s">
        <v>7578</v>
      </c>
      <c r="G364" t="s">
        <v>74</v>
      </c>
      <c r="H364" t="s">
        <v>74</v>
      </c>
      <c r="I364" t="s">
        <v>7579</v>
      </c>
      <c r="J364" t="s">
        <v>1923</v>
      </c>
      <c r="K364" t="s">
        <v>74</v>
      </c>
      <c r="L364" t="s">
        <v>74</v>
      </c>
      <c r="M364" t="s">
        <v>78</v>
      </c>
      <c r="N364" t="s">
        <v>79</v>
      </c>
      <c r="O364" t="s">
        <v>74</v>
      </c>
      <c r="P364" t="s">
        <v>74</v>
      </c>
      <c r="Q364" t="s">
        <v>74</v>
      </c>
      <c r="R364" t="s">
        <v>74</v>
      </c>
      <c r="S364" t="s">
        <v>74</v>
      </c>
      <c r="T364" t="s">
        <v>7580</v>
      </c>
      <c r="U364" t="s">
        <v>7581</v>
      </c>
      <c r="V364" t="s">
        <v>7582</v>
      </c>
      <c r="W364" t="s">
        <v>7583</v>
      </c>
      <c r="X364" t="s">
        <v>7584</v>
      </c>
      <c r="Y364" t="s">
        <v>6874</v>
      </c>
      <c r="Z364" t="s">
        <v>7585</v>
      </c>
      <c r="AA364" t="s">
        <v>7586</v>
      </c>
      <c r="AB364" t="s">
        <v>7587</v>
      </c>
      <c r="AC364" t="s">
        <v>7588</v>
      </c>
      <c r="AD364" t="s">
        <v>7589</v>
      </c>
      <c r="AE364" t="s">
        <v>7590</v>
      </c>
      <c r="AF364" t="s">
        <v>74</v>
      </c>
      <c r="AG364">
        <v>34</v>
      </c>
      <c r="AH364">
        <v>1</v>
      </c>
      <c r="AI364">
        <v>1</v>
      </c>
      <c r="AJ364">
        <v>0</v>
      </c>
      <c r="AK364">
        <v>7</v>
      </c>
      <c r="AL364" t="s">
        <v>1766</v>
      </c>
      <c r="AM364" t="s">
        <v>1767</v>
      </c>
      <c r="AN364" t="s">
        <v>1768</v>
      </c>
      <c r="AO364" t="s">
        <v>74</v>
      </c>
      <c r="AP364" t="s">
        <v>1935</v>
      </c>
      <c r="AQ364" t="s">
        <v>74</v>
      </c>
      <c r="AR364" t="s">
        <v>1936</v>
      </c>
      <c r="AS364" t="s">
        <v>1937</v>
      </c>
      <c r="AT364" t="s">
        <v>5076</v>
      </c>
      <c r="AU364">
        <v>2022</v>
      </c>
      <c r="AV364">
        <v>14</v>
      </c>
      <c r="AW364">
        <v>9</v>
      </c>
      <c r="AX364" t="s">
        <v>74</v>
      </c>
      <c r="AY364" t="s">
        <v>74</v>
      </c>
      <c r="AZ364" t="s">
        <v>74</v>
      </c>
      <c r="BA364" t="s">
        <v>74</v>
      </c>
      <c r="BB364" t="s">
        <v>74</v>
      </c>
      <c r="BC364" t="s">
        <v>74</v>
      </c>
      <c r="BD364">
        <v>2192</v>
      </c>
      <c r="BE364" t="s">
        <v>7591</v>
      </c>
      <c r="BF364" t="str">
        <f>HYPERLINK("http://dx.doi.org/10.3390/rs14092192","http://dx.doi.org/10.3390/rs14092192")</f>
        <v>http://dx.doi.org/10.3390/rs14092192</v>
      </c>
      <c r="BG364" t="s">
        <v>74</v>
      </c>
      <c r="BH364" t="s">
        <v>74</v>
      </c>
      <c r="BI364">
        <v>12</v>
      </c>
      <c r="BJ364" t="s">
        <v>1939</v>
      </c>
      <c r="BK364" t="s">
        <v>101</v>
      </c>
      <c r="BL364" t="s">
        <v>1940</v>
      </c>
      <c r="BM364" t="s">
        <v>7592</v>
      </c>
      <c r="BN364" t="s">
        <v>74</v>
      </c>
      <c r="BO364" t="s">
        <v>128</v>
      </c>
      <c r="BP364" t="s">
        <v>74</v>
      </c>
      <c r="BQ364" t="s">
        <v>74</v>
      </c>
      <c r="BR364" t="s">
        <v>103</v>
      </c>
      <c r="BS364" t="s">
        <v>7593</v>
      </c>
      <c r="BT364" t="str">
        <f>HYPERLINK("https%3A%2F%2Fwww.webofscience.com%2Fwos%2Fwoscc%2Ffull-record%2FWOS:000795403800001","View Full Record in Web of Science")</f>
        <v>View Full Record in Web of Science</v>
      </c>
    </row>
    <row r="365" spans="1:72" x14ac:dyDescent="0.15">
      <c r="A365" t="s">
        <v>72</v>
      </c>
      <c r="B365" t="s">
        <v>7594</v>
      </c>
      <c r="C365" t="s">
        <v>74</v>
      </c>
      <c r="D365" t="s">
        <v>74</v>
      </c>
      <c r="E365" t="s">
        <v>74</v>
      </c>
      <c r="F365" t="s">
        <v>7595</v>
      </c>
      <c r="G365" t="s">
        <v>74</v>
      </c>
      <c r="H365" t="s">
        <v>74</v>
      </c>
      <c r="I365" t="s">
        <v>7596</v>
      </c>
      <c r="J365" t="s">
        <v>1947</v>
      </c>
      <c r="K365" t="s">
        <v>74</v>
      </c>
      <c r="L365" t="s">
        <v>74</v>
      </c>
      <c r="M365" t="s">
        <v>78</v>
      </c>
      <c r="N365" t="s">
        <v>79</v>
      </c>
      <c r="O365" t="s">
        <v>74</v>
      </c>
      <c r="P365" t="s">
        <v>74</v>
      </c>
      <c r="Q365" t="s">
        <v>74</v>
      </c>
      <c r="R365" t="s">
        <v>74</v>
      </c>
      <c r="S365" t="s">
        <v>74</v>
      </c>
      <c r="T365" t="s">
        <v>7597</v>
      </c>
      <c r="U365" t="s">
        <v>7598</v>
      </c>
      <c r="V365" t="s">
        <v>7599</v>
      </c>
      <c r="W365" t="s">
        <v>7600</v>
      </c>
      <c r="X365" t="s">
        <v>7601</v>
      </c>
      <c r="Y365" t="s">
        <v>7602</v>
      </c>
      <c r="Z365" t="s">
        <v>7603</v>
      </c>
      <c r="AA365" t="s">
        <v>7604</v>
      </c>
      <c r="AB365" t="s">
        <v>7605</v>
      </c>
      <c r="AC365" t="s">
        <v>74</v>
      </c>
      <c r="AD365" t="s">
        <v>74</v>
      </c>
      <c r="AE365" t="s">
        <v>74</v>
      </c>
      <c r="AF365" t="s">
        <v>74</v>
      </c>
      <c r="AG365">
        <v>35</v>
      </c>
      <c r="AH365">
        <v>2</v>
      </c>
      <c r="AI365">
        <v>2</v>
      </c>
      <c r="AJ365">
        <v>0</v>
      </c>
      <c r="AK365">
        <v>11</v>
      </c>
      <c r="AL365" t="s">
        <v>1766</v>
      </c>
      <c r="AM365" t="s">
        <v>1767</v>
      </c>
      <c r="AN365" t="s">
        <v>1768</v>
      </c>
      <c r="AO365" t="s">
        <v>74</v>
      </c>
      <c r="AP365" t="s">
        <v>1960</v>
      </c>
      <c r="AQ365" t="s">
        <v>74</v>
      </c>
      <c r="AR365" t="s">
        <v>1961</v>
      </c>
      <c r="AS365" t="s">
        <v>1962</v>
      </c>
      <c r="AT365" t="s">
        <v>5076</v>
      </c>
      <c r="AU365">
        <v>2022</v>
      </c>
      <c r="AV365">
        <v>12</v>
      </c>
      <c r="AW365">
        <v>9</v>
      </c>
      <c r="AX365" t="s">
        <v>74</v>
      </c>
      <c r="AY365" t="s">
        <v>74</v>
      </c>
      <c r="AZ365" t="s">
        <v>74</v>
      </c>
      <c r="BA365" t="s">
        <v>74</v>
      </c>
      <c r="BB365" t="s">
        <v>74</v>
      </c>
      <c r="BC365" t="s">
        <v>74</v>
      </c>
      <c r="BD365">
        <v>4438</v>
      </c>
      <c r="BE365" t="s">
        <v>7606</v>
      </c>
      <c r="BF365" t="str">
        <f>HYPERLINK("http://dx.doi.org/10.3390/app12094438","http://dx.doi.org/10.3390/app12094438")</f>
        <v>http://dx.doi.org/10.3390/app12094438</v>
      </c>
      <c r="BG365" t="s">
        <v>74</v>
      </c>
      <c r="BH365" t="s">
        <v>74</v>
      </c>
      <c r="BI365">
        <v>21</v>
      </c>
      <c r="BJ365" t="s">
        <v>1964</v>
      </c>
      <c r="BK365" t="s">
        <v>101</v>
      </c>
      <c r="BL365" t="s">
        <v>1965</v>
      </c>
      <c r="BM365" t="s">
        <v>7607</v>
      </c>
      <c r="BN365" t="s">
        <v>74</v>
      </c>
      <c r="BO365" t="s">
        <v>438</v>
      </c>
      <c r="BP365" t="s">
        <v>74</v>
      </c>
      <c r="BQ365" t="s">
        <v>74</v>
      </c>
      <c r="BR365" t="s">
        <v>103</v>
      </c>
      <c r="BS365" t="s">
        <v>7608</v>
      </c>
      <c r="BT365" t="str">
        <f>HYPERLINK("https%3A%2F%2Fwww.webofscience.com%2Fwos%2Fwoscc%2Ffull-record%2FWOS:000794621200001","View Full Record in Web of Science")</f>
        <v>View Full Record in Web of Science</v>
      </c>
    </row>
    <row r="366" spans="1:72" x14ac:dyDescent="0.15">
      <c r="A366" t="s">
        <v>72</v>
      </c>
      <c r="B366" t="s">
        <v>7609</v>
      </c>
      <c r="C366" t="s">
        <v>74</v>
      </c>
      <c r="D366" t="s">
        <v>74</v>
      </c>
      <c r="E366" t="s">
        <v>74</v>
      </c>
      <c r="F366" t="s">
        <v>7610</v>
      </c>
      <c r="G366" t="s">
        <v>74</v>
      </c>
      <c r="H366" t="s">
        <v>74</v>
      </c>
      <c r="I366" t="s">
        <v>7611</v>
      </c>
      <c r="J366" t="s">
        <v>7612</v>
      </c>
      <c r="K366" t="s">
        <v>74</v>
      </c>
      <c r="L366" t="s">
        <v>74</v>
      </c>
      <c r="M366" t="s">
        <v>78</v>
      </c>
      <c r="N366" t="s">
        <v>79</v>
      </c>
      <c r="O366" t="s">
        <v>74</v>
      </c>
      <c r="P366" t="s">
        <v>74</v>
      </c>
      <c r="Q366" t="s">
        <v>74</v>
      </c>
      <c r="R366" t="s">
        <v>74</v>
      </c>
      <c r="S366" t="s">
        <v>74</v>
      </c>
      <c r="T366" t="s">
        <v>7613</v>
      </c>
      <c r="U366" t="s">
        <v>7614</v>
      </c>
      <c r="V366" t="s">
        <v>7615</v>
      </c>
      <c r="W366" t="s">
        <v>7616</v>
      </c>
      <c r="X366" t="s">
        <v>7617</v>
      </c>
      <c r="Y366" t="s">
        <v>7618</v>
      </c>
      <c r="Z366" t="s">
        <v>7619</v>
      </c>
      <c r="AA366" t="s">
        <v>7620</v>
      </c>
      <c r="AB366" t="s">
        <v>7621</v>
      </c>
      <c r="AC366" t="s">
        <v>7622</v>
      </c>
      <c r="AD366" t="s">
        <v>7623</v>
      </c>
      <c r="AE366" t="s">
        <v>7624</v>
      </c>
      <c r="AF366" t="s">
        <v>74</v>
      </c>
      <c r="AG366">
        <v>52</v>
      </c>
      <c r="AH366">
        <v>2</v>
      </c>
      <c r="AI366">
        <v>2</v>
      </c>
      <c r="AJ366">
        <v>0</v>
      </c>
      <c r="AK366">
        <v>7</v>
      </c>
      <c r="AL366" t="s">
        <v>2572</v>
      </c>
      <c r="AM366" t="s">
        <v>2573</v>
      </c>
      <c r="AN366" t="s">
        <v>2574</v>
      </c>
      <c r="AO366" t="s">
        <v>7625</v>
      </c>
      <c r="AP366" t="s">
        <v>74</v>
      </c>
      <c r="AQ366" t="s">
        <v>74</v>
      </c>
      <c r="AR366" t="s">
        <v>7626</v>
      </c>
      <c r="AS366" t="s">
        <v>7627</v>
      </c>
      <c r="AT366" t="s">
        <v>7628</v>
      </c>
      <c r="AU366">
        <v>2022</v>
      </c>
      <c r="AV366">
        <v>4</v>
      </c>
      <c r="AW366">
        <v>5</v>
      </c>
      <c r="AX366" t="s">
        <v>74</v>
      </c>
      <c r="AY366" t="s">
        <v>74</v>
      </c>
      <c r="AZ366" t="s">
        <v>74</v>
      </c>
      <c r="BA366" t="s">
        <v>74</v>
      </c>
      <c r="BB366" t="s">
        <v>74</v>
      </c>
      <c r="BC366" t="s">
        <v>74</v>
      </c>
      <c r="BD366">
        <v>55006</v>
      </c>
      <c r="BE366" t="s">
        <v>7629</v>
      </c>
      <c r="BF366" t="str">
        <f>HYPERLINK("http://dx.doi.org/10.1088/2515-7620/ac6cd1","http://dx.doi.org/10.1088/2515-7620/ac6cd1")</f>
        <v>http://dx.doi.org/10.1088/2515-7620/ac6cd1</v>
      </c>
      <c r="BG366" t="s">
        <v>74</v>
      </c>
      <c r="BH366" t="s">
        <v>74</v>
      </c>
      <c r="BI366">
        <v>10</v>
      </c>
      <c r="BJ366" t="s">
        <v>1104</v>
      </c>
      <c r="BK366" t="s">
        <v>101</v>
      </c>
      <c r="BL366" t="s">
        <v>840</v>
      </c>
      <c r="BM366" t="s">
        <v>7630</v>
      </c>
      <c r="BN366" t="s">
        <v>74</v>
      </c>
      <c r="BO366" t="s">
        <v>438</v>
      </c>
      <c r="BP366" t="s">
        <v>74</v>
      </c>
      <c r="BQ366" t="s">
        <v>74</v>
      </c>
      <c r="BR366" t="s">
        <v>103</v>
      </c>
      <c r="BS366" t="s">
        <v>7631</v>
      </c>
      <c r="BT366" t="str">
        <f>HYPERLINK("https%3A%2F%2Fwww.webofscience.com%2Fwos%2Fwoscc%2Ffull-record%2FWOS:000794977000001","View Full Record in Web of Science")</f>
        <v>View Full Record in Web of Science</v>
      </c>
    </row>
    <row r="367" spans="1:72" x14ac:dyDescent="0.15">
      <c r="A367" t="s">
        <v>72</v>
      </c>
      <c r="B367" t="s">
        <v>7632</v>
      </c>
      <c r="C367" t="s">
        <v>74</v>
      </c>
      <c r="D367" t="s">
        <v>74</v>
      </c>
      <c r="E367" t="s">
        <v>74</v>
      </c>
      <c r="F367" t="s">
        <v>7633</v>
      </c>
      <c r="G367" t="s">
        <v>74</v>
      </c>
      <c r="H367" t="s">
        <v>74</v>
      </c>
      <c r="I367" t="s">
        <v>7634</v>
      </c>
      <c r="J367" t="s">
        <v>2443</v>
      </c>
      <c r="K367" t="s">
        <v>74</v>
      </c>
      <c r="L367" t="s">
        <v>74</v>
      </c>
      <c r="M367" t="s">
        <v>78</v>
      </c>
      <c r="N367" t="s">
        <v>79</v>
      </c>
      <c r="O367" t="s">
        <v>74</v>
      </c>
      <c r="P367" t="s">
        <v>74</v>
      </c>
      <c r="Q367" t="s">
        <v>74</v>
      </c>
      <c r="R367" t="s">
        <v>74</v>
      </c>
      <c r="S367" t="s">
        <v>74</v>
      </c>
      <c r="T367" t="s">
        <v>7635</v>
      </c>
      <c r="U367" t="s">
        <v>7636</v>
      </c>
      <c r="V367" t="s">
        <v>7637</v>
      </c>
      <c r="W367" t="s">
        <v>7638</v>
      </c>
      <c r="X367" t="s">
        <v>7639</v>
      </c>
      <c r="Y367" t="s">
        <v>7640</v>
      </c>
      <c r="Z367" t="s">
        <v>7641</v>
      </c>
      <c r="AA367" t="s">
        <v>7642</v>
      </c>
      <c r="AB367" t="s">
        <v>7643</v>
      </c>
      <c r="AC367" t="s">
        <v>7644</v>
      </c>
      <c r="AD367" t="s">
        <v>7645</v>
      </c>
      <c r="AE367" t="s">
        <v>7646</v>
      </c>
      <c r="AF367" t="s">
        <v>74</v>
      </c>
      <c r="AG367">
        <v>64</v>
      </c>
      <c r="AH367">
        <v>3</v>
      </c>
      <c r="AI367">
        <v>4</v>
      </c>
      <c r="AJ367">
        <v>5</v>
      </c>
      <c r="AK367">
        <v>11</v>
      </c>
      <c r="AL367" t="s">
        <v>2042</v>
      </c>
      <c r="AM367" t="s">
        <v>2043</v>
      </c>
      <c r="AN367" t="s">
        <v>2044</v>
      </c>
      <c r="AO367" t="s">
        <v>2456</v>
      </c>
      <c r="AP367" t="s">
        <v>2457</v>
      </c>
      <c r="AQ367" t="s">
        <v>74</v>
      </c>
      <c r="AR367" t="s">
        <v>2458</v>
      </c>
      <c r="AS367" t="s">
        <v>2459</v>
      </c>
      <c r="AT367" t="s">
        <v>5076</v>
      </c>
      <c r="AU367">
        <v>2022</v>
      </c>
      <c r="AV367">
        <v>127</v>
      </c>
      <c r="AW367">
        <v>5</v>
      </c>
      <c r="AX367" t="s">
        <v>74</v>
      </c>
      <c r="AY367" t="s">
        <v>74</v>
      </c>
      <c r="AZ367" t="s">
        <v>74</v>
      </c>
      <c r="BA367" t="s">
        <v>74</v>
      </c>
      <c r="BB367" t="s">
        <v>74</v>
      </c>
      <c r="BC367" t="s">
        <v>74</v>
      </c>
      <c r="BD367" t="s">
        <v>7647</v>
      </c>
      <c r="BE367" t="s">
        <v>7648</v>
      </c>
      <c r="BF367" t="str">
        <f>HYPERLINK("http://dx.doi.org/10.1029/2021JC018103","http://dx.doi.org/10.1029/2021JC018103")</f>
        <v>http://dx.doi.org/10.1029/2021JC018103</v>
      </c>
      <c r="BG367" t="s">
        <v>74</v>
      </c>
      <c r="BH367" t="s">
        <v>74</v>
      </c>
      <c r="BI367">
        <v>25</v>
      </c>
      <c r="BJ367" t="s">
        <v>208</v>
      </c>
      <c r="BK367" t="s">
        <v>101</v>
      </c>
      <c r="BL367" t="s">
        <v>208</v>
      </c>
      <c r="BM367" t="s">
        <v>7649</v>
      </c>
      <c r="BN367" t="s">
        <v>74</v>
      </c>
      <c r="BO367" t="s">
        <v>267</v>
      </c>
      <c r="BP367" t="s">
        <v>74</v>
      </c>
      <c r="BQ367" t="s">
        <v>74</v>
      </c>
      <c r="BR367" t="s">
        <v>103</v>
      </c>
      <c r="BS367" t="s">
        <v>7650</v>
      </c>
      <c r="BT367" t="str">
        <f>HYPERLINK("https%3A%2F%2Fwww.webofscience.com%2Fwos%2Fwoscc%2Ffull-record%2FWOS:000793856600001","View Full Record in Web of Science")</f>
        <v>View Full Record in Web of Science</v>
      </c>
    </row>
    <row r="368" spans="1:72" x14ac:dyDescent="0.15">
      <c r="A368" t="s">
        <v>72</v>
      </c>
      <c r="B368" t="s">
        <v>7651</v>
      </c>
      <c r="C368" t="s">
        <v>74</v>
      </c>
      <c r="D368" t="s">
        <v>74</v>
      </c>
      <c r="E368" t="s">
        <v>74</v>
      </c>
      <c r="F368" t="s">
        <v>7652</v>
      </c>
      <c r="G368" t="s">
        <v>74</v>
      </c>
      <c r="H368" t="s">
        <v>74</v>
      </c>
      <c r="I368" t="s">
        <v>7653</v>
      </c>
      <c r="J368" t="s">
        <v>1923</v>
      </c>
      <c r="K368" t="s">
        <v>74</v>
      </c>
      <c r="L368" t="s">
        <v>74</v>
      </c>
      <c r="M368" t="s">
        <v>78</v>
      </c>
      <c r="N368" t="s">
        <v>79</v>
      </c>
      <c r="O368" t="s">
        <v>74</v>
      </c>
      <c r="P368" t="s">
        <v>74</v>
      </c>
      <c r="Q368" t="s">
        <v>74</v>
      </c>
      <c r="R368" t="s">
        <v>74</v>
      </c>
      <c r="S368" t="s">
        <v>74</v>
      </c>
      <c r="T368" t="s">
        <v>7654</v>
      </c>
      <c r="U368" t="s">
        <v>7655</v>
      </c>
      <c r="V368" t="s">
        <v>7656</v>
      </c>
      <c r="W368" t="s">
        <v>7657</v>
      </c>
      <c r="X368" t="s">
        <v>7658</v>
      </c>
      <c r="Y368" t="s">
        <v>7659</v>
      </c>
      <c r="Z368" t="s">
        <v>7660</v>
      </c>
      <c r="AA368" t="s">
        <v>7661</v>
      </c>
      <c r="AB368" t="s">
        <v>7662</v>
      </c>
      <c r="AC368" t="s">
        <v>7663</v>
      </c>
      <c r="AD368" t="s">
        <v>4081</v>
      </c>
      <c r="AE368" t="s">
        <v>7664</v>
      </c>
      <c r="AF368" t="s">
        <v>74</v>
      </c>
      <c r="AG368">
        <v>42</v>
      </c>
      <c r="AH368">
        <v>3</v>
      </c>
      <c r="AI368">
        <v>3</v>
      </c>
      <c r="AJ368">
        <v>1</v>
      </c>
      <c r="AK368">
        <v>2</v>
      </c>
      <c r="AL368" t="s">
        <v>1766</v>
      </c>
      <c r="AM368" t="s">
        <v>1767</v>
      </c>
      <c r="AN368" t="s">
        <v>1768</v>
      </c>
      <c r="AO368" t="s">
        <v>74</v>
      </c>
      <c r="AP368" t="s">
        <v>1935</v>
      </c>
      <c r="AQ368" t="s">
        <v>74</v>
      </c>
      <c r="AR368" t="s">
        <v>1936</v>
      </c>
      <c r="AS368" t="s">
        <v>1937</v>
      </c>
      <c r="AT368" t="s">
        <v>5076</v>
      </c>
      <c r="AU368">
        <v>2022</v>
      </c>
      <c r="AV368">
        <v>14</v>
      </c>
      <c r="AW368">
        <v>9</v>
      </c>
      <c r="AX368" t="s">
        <v>74</v>
      </c>
      <c r="AY368" t="s">
        <v>74</v>
      </c>
      <c r="AZ368" t="s">
        <v>74</v>
      </c>
      <c r="BA368" t="s">
        <v>74</v>
      </c>
      <c r="BB368" t="s">
        <v>74</v>
      </c>
      <c r="BC368" t="s">
        <v>74</v>
      </c>
      <c r="BD368">
        <v>2258</v>
      </c>
      <c r="BE368" t="s">
        <v>7665</v>
      </c>
      <c r="BF368" t="str">
        <f>HYPERLINK("http://dx.doi.org/10.3390/rs14092258","http://dx.doi.org/10.3390/rs14092258")</f>
        <v>http://dx.doi.org/10.3390/rs14092258</v>
      </c>
      <c r="BG368" t="s">
        <v>74</v>
      </c>
      <c r="BH368" t="s">
        <v>74</v>
      </c>
      <c r="BI368">
        <v>23</v>
      </c>
      <c r="BJ368" t="s">
        <v>1939</v>
      </c>
      <c r="BK368" t="s">
        <v>101</v>
      </c>
      <c r="BL368" t="s">
        <v>1940</v>
      </c>
      <c r="BM368" t="s">
        <v>7666</v>
      </c>
      <c r="BN368" t="s">
        <v>74</v>
      </c>
      <c r="BO368" t="s">
        <v>438</v>
      </c>
      <c r="BP368" t="s">
        <v>74</v>
      </c>
      <c r="BQ368" t="s">
        <v>74</v>
      </c>
      <c r="BR368" t="s">
        <v>103</v>
      </c>
      <c r="BS368" t="s">
        <v>7667</v>
      </c>
      <c r="BT368" t="str">
        <f>HYPERLINK("https%3A%2F%2Fwww.webofscience.com%2Fwos%2Fwoscc%2Ffull-record%2FWOS:000794666400001","View Full Record in Web of Science")</f>
        <v>View Full Record in Web of Science</v>
      </c>
    </row>
    <row r="369" spans="1:72" x14ac:dyDescent="0.15">
      <c r="A369" t="s">
        <v>72</v>
      </c>
      <c r="B369" t="s">
        <v>7668</v>
      </c>
      <c r="C369" t="s">
        <v>74</v>
      </c>
      <c r="D369" t="s">
        <v>74</v>
      </c>
      <c r="E369" t="s">
        <v>74</v>
      </c>
      <c r="F369" t="s">
        <v>7669</v>
      </c>
      <c r="G369" t="s">
        <v>74</v>
      </c>
      <c r="H369" t="s">
        <v>74</v>
      </c>
      <c r="I369" t="s">
        <v>7670</v>
      </c>
      <c r="J369" t="s">
        <v>1923</v>
      </c>
      <c r="K369" t="s">
        <v>74</v>
      </c>
      <c r="L369" t="s">
        <v>74</v>
      </c>
      <c r="M369" t="s">
        <v>78</v>
      </c>
      <c r="N369" t="s">
        <v>79</v>
      </c>
      <c r="O369" t="s">
        <v>74</v>
      </c>
      <c r="P369" t="s">
        <v>74</v>
      </c>
      <c r="Q369" t="s">
        <v>74</v>
      </c>
      <c r="R369" t="s">
        <v>74</v>
      </c>
      <c r="S369" t="s">
        <v>74</v>
      </c>
      <c r="T369" t="s">
        <v>7671</v>
      </c>
      <c r="U369" t="s">
        <v>7672</v>
      </c>
      <c r="V369" t="s">
        <v>7673</v>
      </c>
      <c r="W369" t="s">
        <v>7674</v>
      </c>
      <c r="X369" t="s">
        <v>7675</v>
      </c>
      <c r="Y369" t="s">
        <v>7676</v>
      </c>
      <c r="Z369" t="s">
        <v>7677</v>
      </c>
      <c r="AA369" t="s">
        <v>74</v>
      </c>
      <c r="AB369" t="s">
        <v>7678</v>
      </c>
      <c r="AC369" t="s">
        <v>7679</v>
      </c>
      <c r="AD369" t="s">
        <v>7680</v>
      </c>
      <c r="AE369" t="s">
        <v>7681</v>
      </c>
      <c r="AF369" t="s">
        <v>74</v>
      </c>
      <c r="AG369">
        <v>36</v>
      </c>
      <c r="AH369">
        <v>2</v>
      </c>
      <c r="AI369">
        <v>3</v>
      </c>
      <c r="AJ369">
        <v>3</v>
      </c>
      <c r="AK369">
        <v>20</v>
      </c>
      <c r="AL369" t="s">
        <v>1766</v>
      </c>
      <c r="AM369" t="s">
        <v>1767</v>
      </c>
      <c r="AN369" t="s">
        <v>1768</v>
      </c>
      <c r="AO369" t="s">
        <v>74</v>
      </c>
      <c r="AP369" t="s">
        <v>1935</v>
      </c>
      <c r="AQ369" t="s">
        <v>74</v>
      </c>
      <c r="AR369" t="s">
        <v>1936</v>
      </c>
      <c r="AS369" t="s">
        <v>1937</v>
      </c>
      <c r="AT369" t="s">
        <v>5076</v>
      </c>
      <c r="AU369">
        <v>2022</v>
      </c>
      <c r="AV369">
        <v>14</v>
      </c>
      <c r="AW369">
        <v>9</v>
      </c>
      <c r="AX369" t="s">
        <v>74</v>
      </c>
      <c r="AY369" t="s">
        <v>74</v>
      </c>
      <c r="AZ369" t="s">
        <v>74</v>
      </c>
      <c r="BA369" t="s">
        <v>74</v>
      </c>
      <c r="BB369" t="s">
        <v>74</v>
      </c>
      <c r="BC369" t="s">
        <v>74</v>
      </c>
      <c r="BD369">
        <v>2159</v>
      </c>
      <c r="BE369" t="s">
        <v>7682</v>
      </c>
      <c r="BF369" t="str">
        <f>HYPERLINK("http://dx.doi.org/10.3390/rs14092159","http://dx.doi.org/10.3390/rs14092159")</f>
        <v>http://dx.doi.org/10.3390/rs14092159</v>
      </c>
      <c r="BG369" t="s">
        <v>74</v>
      </c>
      <c r="BH369" t="s">
        <v>74</v>
      </c>
      <c r="BI369">
        <v>12</v>
      </c>
      <c r="BJ369" t="s">
        <v>1939</v>
      </c>
      <c r="BK369" t="s">
        <v>101</v>
      </c>
      <c r="BL369" t="s">
        <v>1940</v>
      </c>
      <c r="BM369" t="s">
        <v>7683</v>
      </c>
      <c r="BN369" t="s">
        <v>74</v>
      </c>
      <c r="BO369" t="s">
        <v>128</v>
      </c>
      <c r="BP369" t="s">
        <v>74</v>
      </c>
      <c r="BQ369" t="s">
        <v>74</v>
      </c>
      <c r="BR369" t="s">
        <v>103</v>
      </c>
      <c r="BS369" t="s">
        <v>7684</v>
      </c>
      <c r="BT369" t="str">
        <f>HYPERLINK("https%3A%2F%2Fwww.webofscience.com%2Fwos%2Fwoscc%2Ffull-record%2FWOS:000795422000001","View Full Record in Web of Science")</f>
        <v>View Full Record in Web of Science</v>
      </c>
    </row>
    <row r="370" spans="1:72" x14ac:dyDescent="0.15">
      <c r="A370" t="s">
        <v>72</v>
      </c>
      <c r="B370" t="s">
        <v>7685</v>
      </c>
      <c r="C370" t="s">
        <v>74</v>
      </c>
      <c r="D370" t="s">
        <v>74</v>
      </c>
      <c r="E370" t="s">
        <v>74</v>
      </c>
      <c r="F370" t="s">
        <v>7686</v>
      </c>
      <c r="G370" t="s">
        <v>74</v>
      </c>
      <c r="H370" t="s">
        <v>74</v>
      </c>
      <c r="I370" t="s">
        <v>7687</v>
      </c>
      <c r="J370" t="s">
        <v>1923</v>
      </c>
      <c r="K370" t="s">
        <v>74</v>
      </c>
      <c r="L370" t="s">
        <v>74</v>
      </c>
      <c r="M370" t="s">
        <v>78</v>
      </c>
      <c r="N370" t="s">
        <v>79</v>
      </c>
      <c r="O370" t="s">
        <v>74</v>
      </c>
      <c r="P370" t="s">
        <v>74</v>
      </c>
      <c r="Q370" t="s">
        <v>74</v>
      </c>
      <c r="R370" t="s">
        <v>74</v>
      </c>
      <c r="S370" t="s">
        <v>74</v>
      </c>
      <c r="T370" t="s">
        <v>7688</v>
      </c>
      <c r="U370" t="s">
        <v>7689</v>
      </c>
      <c r="V370" t="s">
        <v>7690</v>
      </c>
      <c r="W370" t="s">
        <v>7691</v>
      </c>
      <c r="X370" t="s">
        <v>7692</v>
      </c>
      <c r="Y370" t="s">
        <v>7693</v>
      </c>
      <c r="Z370" t="s">
        <v>7694</v>
      </c>
      <c r="AA370" t="s">
        <v>74</v>
      </c>
      <c r="AB370" t="s">
        <v>7695</v>
      </c>
      <c r="AC370" t="s">
        <v>7696</v>
      </c>
      <c r="AD370" t="s">
        <v>479</v>
      </c>
      <c r="AE370" t="s">
        <v>7697</v>
      </c>
      <c r="AF370" t="s">
        <v>74</v>
      </c>
      <c r="AG370">
        <v>50</v>
      </c>
      <c r="AH370">
        <v>0</v>
      </c>
      <c r="AI370">
        <v>0</v>
      </c>
      <c r="AJ370">
        <v>0</v>
      </c>
      <c r="AK370">
        <v>6</v>
      </c>
      <c r="AL370" t="s">
        <v>1766</v>
      </c>
      <c r="AM370" t="s">
        <v>1767</v>
      </c>
      <c r="AN370" t="s">
        <v>1768</v>
      </c>
      <c r="AO370" t="s">
        <v>74</v>
      </c>
      <c r="AP370" t="s">
        <v>1935</v>
      </c>
      <c r="AQ370" t="s">
        <v>74</v>
      </c>
      <c r="AR370" t="s">
        <v>1936</v>
      </c>
      <c r="AS370" t="s">
        <v>1937</v>
      </c>
      <c r="AT370" t="s">
        <v>5076</v>
      </c>
      <c r="AU370">
        <v>2022</v>
      </c>
      <c r="AV370">
        <v>14</v>
      </c>
      <c r="AW370">
        <v>9</v>
      </c>
      <c r="AX370" t="s">
        <v>74</v>
      </c>
      <c r="AY370" t="s">
        <v>74</v>
      </c>
      <c r="AZ370" t="s">
        <v>74</v>
      </c>
      <c r="BA370" t="s">
        <v>74</v>
      </c>
      <c r="BB370" t="s">
        <v>74</v>
      </c>
      <c r="BC370" t="s">
        <v>74</v>
      </c>
      <c r="BD370">
        <v>1958</v>
      </c>
      <c r="BE370" t="s">
        <v>7698</v>
      </c>
      <c r="BF370" t="str">
        <f>HYPERLINK("http://dx.doi.org/10.3390/rs14091958","http://dx.doi.org/10.3390/rs14091958")</f>
        <v>http://dx.doi.org/10.3390/rs14091958</v>
      </c>
      <c r="BG370" t="s">
        <v>74</v>
      </c>
      <c r="BH370" t="s">
        <v>74</v>
      </c>
      <c r="BI370">
        <v>21</v>
      </c>
      <c r="BJ370" t="s">
        <v>1939</v>
      </c>
      <c r="BK370" t="s">
        <v>101</v>
      </c>
      <c r="BL370" t="s">
        <v>1940</v>
      </c>
      <c r="BM370" t="s">
        <v>7699</v>
      </c>
      <c r="BN370" t="s">
        <v>74</v>
      </c>
      <c r="BO370" t="s">
        <v>438</v>
      </c>
      <c r="BP370" t="s">
        <v>74</v>
      </c>
      <c r="BQ370" t="s">
        <v>74</v>
      </c>
      <c r="BR370" t="s">
        <v>103</v>
      </c>
      <c r="BS370" t="s">
        <v>7700</v>
      </c>
      <c r="BT370" t="str">
        <f>HYPERLINK("https%3A%2F%2Fwww.webofscience.com%2Fwos%2Fwoscc%2Ffull-record%2FWOS:000794633700001","View Full Record in Web of Science")</f>
        <v>View Full Record in Web of Science</v>
      </c>
    </row>
    <row r="371" spans="1:72" x14ac:dyDescent="0.15">
      <c r="A371" t="s">
        <v>72</v>
      </c>
      <c r="B371" t="s">
        <v>7701</v>
      </c>
      <c r="C371" t="s">
        <v>74</v>
      </c>
      <c r="D371" t="s">
        <v>74</v>
      </c>
      <c r="E371" t="s">
        <v>74</v>
      </c>
      <c r="F371" t="s">
        <v>7702</v>
      </c>
      <c r="G371" t="s">
        <v>74</v>
      </c>
      <c r="H371" t="s">
        <v>74</v>
      </c>
      <c r="I371" t="s">
        <v>7703</v>
      </c>
      <c r="J371" t="s">
        <v>7018</v>
      </c>
      <c r="K371" t="s">
        <v>74</v>
      </c>
      <c r="L371" t="s">
        <v>74</v>
      </c>
      <c r="M371" t="s">
        <v>78</v>
      </c>
      <c r="N371" t="s">
        <v>79</v>
      </c>
      <c r="O371" t="s">
        <v>74</v>
      </c>
      <c r="P371" t="s">
        <v>74</v>
      </c>
      <c r="Q371" t="s">
        <v>74</v>
      </c>
      <c r="R371" t="s">
        <v>74</v>
      </c>
      <c r="S371" t="s">
        <v>74</v>
      </c>
      <c r="T371" t="s">
        <v>7704</v>
      </c>
      <c r="U371" t="s">
        <v>7705</v>
      </c>
      <c r="V371" t="s">
        <v>7706</v>
      </c>
      <c r="W371" t="s">
        <v>7707</v>
      </c>
      <c r="X371" t="s">
        <v>7708</v>
      </c>
      <c r="Y371" t="s">
        <v>7709</v>
      </c>
      <c r="Z371" t="s">
        <v>7710</v>
      </c>
      <c r="AA371" t="s">
        <v>7711</v>
      </c>
      <c r="AB371" t="s">
        <v>7712</v>
      </c>
      <c r="AC371" t="s">
        <v>7713</v>
      </c>
      <c r="AD371" t="s">
        <v>7714</v>
      </c>
      <c r="AE371" t="s">
        <v>7715</v>
      </c>
      <c r="AF371" t="s">
        <v>74</v>
      </c>
      <c r="AG371">
        <v>81</v>
      </c>
      <c r="AH371">
        <v>5</v>
      </c>
      <c r="AI371">
        <v>7</v>
      </c>
      <c r="AJ371">
        <v>17</v>
      </c>
      <c r="AK371">
        <v>66</v>
      </c>
      <c r="AL371" t="s">
        <v>1766</v>
      </c>
      <c r="AM371" t="s">
        <v>1767</v>
      </c>
      <c r="AN371" t="s">
        <v>1768</v>
      </c>
      <c r="AO371" t="s">
        <v>74</v>
      </c>
      <c r="AP371" t="s">
        <v>7028</v>
      </c>
      <c r="AQ371" t="s">
        <v>74</v>
      </c>
      <c r="AR371" t="s">
        <v>7029</v>
      </c>
      <c r="AS371" t="s">
        <v>7030</v>
      </c>
      <c r="AT371" t="s">
        <v>5076</v>
      </c>
      <c r="AU371">
        <v>2022</v>
      </c>
      <c r="AV371">
        <v>14</v>
      </c>
      <c r="AW371">
        <v>9</v>
      </c>
      <c r="AX371" t="s">
        <v>74</v>
      </c>
      <c r="AY371" t="s">
        <v>74</v>
      </c>
      <c r="AZ371" t="s">
        <v>74</v>
      </c>
      <c r="BA371" t="s">
        <v>74</v>
      </c>
      <c r="BB371" t="s">
        <v>74</v>
      </c>
      <c r="BC371" t="s">
        <v>74</v>
      </c>
      <c r="BD371">
        <v>5591</v>
      </c>
      <c r="BE371" t="s">
        <v>7716</v>
      </c>
      <c r="BF371" t="str">
        <f>HYPERLINK("http://dx.doi.org/10.3390/su14095591","http://dx.doi.org/10.3390/su14095591")</f>
        <v>http://dx.doi.org/10.3390/su14095591</v>
      </c>
      <c r="BG371" t="s">
        <v>74</v>
      </c>
      <c r="BH371" t="s">
        <v>74</v>
      </c>
      <c r="BI371">
        <v>20</v>
      </c>
      <c r="BJ371" t="s">
        <v>7032</v>
      </c>
      <c r="BK371" t="s">
        <v>956</v>
      </c>
      <c r="BL371" t="s">
        <v>7033</v>
      </c>
      <c r="BM371" t="s">
        <v>7717</v>
      </c>
      <c r="BN371" t="s">
        <v>74</v>
      </c>
      <c r="BO371" t="s">
        <v>438</v>
      </c>
      <c r="BP371" t="s">
        <v>74</v>
      </c>
      <c r="BQ371" t="s">
        <v>74</v>
      </c>
      <c r="BR371" t="s">
        <v>103</v>
      </c>
      <c r="BS371" t="s">
        <v>7718</v>
      </c>
      <c r="BT371" t="str">
        <f>HYPERLINK("https%3A%2F%2Fwww.webofscience.com%2Fwos%2Fwoscc%2Ffull-record%2FWOS:000794644900001","View Full Record in Web of Science")</f>
        <v>View Full Record in Web of Science</v>
      </c>
    </row>
    <row r="372" spans="1:72" x14ac:dyDescent="0.15">
      <c r="A372" t="s">
        <v>72</v>
      </c>
      <c r="B372" t="s">
        <v>7719</v>
      </c>
      <c r="C372" t="s">
        <v>74</v>
      </c>
      <c r="D372" t="s">
        <v>74</v>
      </c>
      <c r="E372" t="s">
        <v>74</v>
      </c>
      <c r="F372" t="s">
        <v>7720</v>
      </c>
      <c r="G372" t="s">
        <v>74</v>
      </c>
      <c r="H372" t="s">
        <v>74</v>
      </c>
      <c r="I372" t="s">
        <v>7721</v>
      </c>
      <c r="J372" t="s">
        <v>5640</v>
      </c>
      <c r="K372" t="s">
        <v>74</v>
      </c>
      <c r="L372" t="s">
        <v>74</v>
      </c>
      <c r="M372" t="s">
        <v>78</v>
      </c>
      <c r="N372" t="s">
        <v>79</v>
      </c>
      <c r="O372" t="s">
        <v>74</v>
      </c>
      <c r="P372" t="s">
        <v>74</v>
      </c>
      <c r="Q372" t="s">
        <v>74</v>
      </c>
      <c r="R372" t="s">
        <v>74</v>
      </c>
      <c r="S372" t="s">
        <v>74</v>
      </c>
      <c r="T372" t="s">
        <v>74</v>
      </c>
      <c r="U372" t="s">
        <v>7722</v>
      </c>
      <c r="V372" t="s">
        <v>7723</v>
      </c>
      <c r="W372" t="s">
        <v>7724</v>
      </c>
      <c r="X372" t="s">
        <v>7725</v>
      </c>
      <c r="Y372" t="s">
        <v>7726</v>
      </c>
      <c r="Z372" t="s">
        <v>74</v>
      </c>
      <c r="AA372" t="s">
        <v>7727</v>
      </c>
      <c r="AB372" t="s">
        <v>74</v>
      </c>
      <c r="AC372" t="s">
        <v>7728</v>
      </c>
      <c r="AD372" t="s">
        <v>7729</v>
      </c>
      <c r="AE372" t="s">
        <v>7730</v>
      </c>
      <c r="AF372" t="s">
        <v>74</v>
      </c>
      <c r="AG372">
        <v>36</v>
      </c>
      <c r="AH372">
        <v>1</v>
      </c>
      <c r="AI372">
        <v>2</v>
      </c>
      <c r="AJ372">
        <v>0</v>
      </c>
      <c r="AK372">
        <v>0</v>
      </c>
      <c r="AL372" t="s">
        <v>5652</v>
      </c>
      <c r="AM372" t="s">
        <v>5653</v>
      </c>
      <c r="AN372" t="s">
        <v>5654</v>
      </c>
      <c r="AO372" t="s">
        <v>5655</v>
      </c>
      <c r="AP372" t="s">
        <v>5656</v>
      </c>
      <c r="AQ372" t="s">
        <v>74</v>
      </c>
      <c r="AR372" t="s">
        <v>5640</v>
      </c>
      <c r="AS372" t="s">
        <v>100</v>
      </c>
      <c r="AT372" t="s">
        <v>7628</v>
      </c>
      <c r="AU372">
        <v>2022</v>
      </c>
      <c r="AV372">
        <v>50</v>
      </c>
      <c r="AW372">
        <v>5</v>
      </c>
      <c r="AX372" t="s">
        <v>74</v>
      </c>
      <c r="AY372" t="s">
        <v>74</v>
      </c>
      <c r="AZ372" t="s">
        <v>74</v>
      </c>
      <c r="BA372" t="s">
        <v>74</v>
      </c>
      <c r="BB372">
        <v>557</v>
      </c>
      <c r="BC372">
        <v>561</v>
      </c>
      <c r="BD372" t="s">
        <v>74</v>
      </c>
      <c r="BE372" t="s">
        <v>7731</v>
      </c>
      <c r="BF372" t="str">
        <f>HYPERLINK("http://dx.doi.org/10.1130/G49664.1","http://dx.doi.org/10.1130/G49664.1")</f>
        <v>http://dx.doi.org/10.1130/G49664.1</v>
      </c>
      <c r="BG372" t="s">
        <v>74</v>
      </c>
      <c r="BH372" t="s">
        <v>74</v>
      </c>
      <c r="BI372">
        <v>5</v>
      </c>
      <c r="BJ372" t="s">
        <v>100</v>
      </c>
      <c r="BK372" t="s">
        <v>101</v>
      </c>
      <c r="BL372" t="s">
        <v>100</v>
      </c>
      <c r="BM372" t="s">
        <v>7732</v>
      </c>
      <c r="BN372" t="s">
        <v>74</v>
      </c>
      <c r="BO372" t="s">
        <v>986</v>
      </c>
      <c r="BP372" t="s">
        <v>74</v>
      </c>
      <c r="BQ372" t="s">
        <v>74</v>
      </c>
      <c r="BR372" t="s">
        <v>103</v>
      </c>
      <c r="BS372" t="s">
        <v>7733</v>
      </c>
      <c r="BT372" t="str">
        <f>HYPERLINK("https%3A%2F%2Fwww.webofscience.com%2Fwos%2Fwoscc%2Ffull-record%2FWOS:000792123300012","View Full Record in Web of Science")</f>
        <v>View Full Record in Web of Science</v>
      </c>
    </row>
    <row r="373" spans="1:72" x14ac:dyDescent="0.15">
      <c r="A373" t="s">
        <v>72</v>
      </c>
      <c r="B373" t="s">
        <v>1381</v>
      </c>
      <c r="C373" t="s">
        <v>74</v>
      </c>
      <c r="D373" t="s">
        <v>74</v>
      </c>
      <c r="E373" t="s">
        <v>74</v>
      </c>
      <c r="F373" t="s">
        <v>1381</v>
      </c>
      <c r="G373" t="s">
        <v>74</v>
      </c>
      <c r="H373" t="s">
        <v>74</v>
      </c>
      <c r="I373" t="s">
        <v>7734</v>
      </c>
      <c r="J373" t="s">
        <v>7735</v>
      </c>
      <c r="K373" t="s">
        <v>74</v>
      </c>
      <c r="L373" t="s">
        <v>74</v>
      </c>
      <c r="M373" t="s">
        <v>78</v>
      </c>
      <c r="N373" t="s">
        <v>1385</v>
      </c>
      <c r="O373" t="s">
        <v>74</v>
      </c>
      <c r="P373" t="s">
        <v>74</v>
      </c>
      <c r="Q373" t="s">
        <v>74</v>
      </c>
      <c r="R373" t="s">
        <v>74</v>
      </c>
      <c r="S373" t="s">
        <v>74</v>
      </c>
      <c r="T373" t="s">
        <v>74</v>
      </c>
      <c r="U373" t="s">
        <v>74</v>
      </c>
      <c r="V373" t="s">
        <v>74</v>
      </c>
      <c r="W373" t="s">
        <v>74</v>
      </c>
      <c r="X373" t="s">
        <v>74</v>
      </c>
      <c r="Y373" t="s">
        <v>74</v>
      </c>
      <c r="Z373" t="s">
        <v>74</v>
      </c>
      <c r="AA373" t="s">
        <v>74</v>
      </c>
      <c r="AB373" t="s">
        <v>74</v>
      </c>
      <c r="AC373" t="s">
        <v>74</v>
      </c>
      <c r="AD373" t="s">
        <v>74</v>
      </c>
      <c r="AE373" t="s">
        <v>74</v>
      </c>
      <c r="AF373" t="s">
        <v>74</v>
      </c>
      <c r="AG373">
        <v>0</v>
      </c>
      <c r="AH373">
        <v>0</v>
      </c>
      <c r="AI373">
        <v>0</v>
      </c>
      <c r="AJ373">
        <v>0</v>
      </c>
      <c r="AK373">
        <v>0</v>
      </c>
      <c r="AL373" t="s">
        <v>91</v>
      </c>
      <c r="AM373" t="s">
        <v>92</v>
      </c>
      <c r="AN373" t="s">
        <v>93</v>
      </c>
      <c r="AO373" t="s">
        <v>7736</v>
      </c>
      <c r="AP373" t="s">
        <v>7737</v>
      </c>
      <c r="AQ373" t="s">
        <v>74</v>
      </c>
      <c r="AR373" t="s">
        <v>7735</v>
      </c>
      <c r="AS373" t="s">
        <v>7738</v>
      </c>
      <c r="AT373" t="s">
        <v>5076</v>
      </c>
      <c r="AU373">
        <v>2022</v>
      </c>
      <c r="AV373">
        <v>77</v>
      </c>
      <c r="AW373">
        <v>5</v>
      </c>
      <c r="AX373" t="s">
        <v>74</v>
      </c>
      <c r="AY373" t="s">
        <v>74</v>
      </c>
      <c r="AZ373" t="s">
        <v>74</v>
      </c>
      <c r="BA373" t="s">
        <v>74</v>
      </c>
      <c r="BB373">
        <v>155</v>
      </c>
      <c r="BC373">
        <v>155</v>
      </c>
      <c r="BD373" t="s">
        <v>74</v>
      </c>
      <c r="BE373" t="s">
        <v>74</v>
      </c>
      <c r="BF373" t="s">
        <v>74</v>
      </c>
      <c r="BG373" t="s">
        <v>74</v>
      </c>
      <c r="BH373" t="s">
        <v>74</v>
      </c>
      <c r="BI373">
        <v>1</v>
      </c>
      <c r="BJ373" t="s">
        <v>510</v>
      </c>
      <c r="BK373" t="s">
        <v>101</v>
      </c>
      <c r="BL373" t="s">
        <v>510</v>
      </c>
      <c r="BM373" t="s">
        <v>7739</v>
      </c>
      <c r="BN373" t="s">
        <v>74</v>
      </c>
      <c r="BO373" t="s">
        <v>74</v>
      </c>
      <c r="BP373" t="s">
        <v>74</v>
      </c>
      <c r="BQ373" t="s">
        <v>74</v>
      </c>
      <c r="BR373" t="s">
        <v>103</v>
      </c>
      <c r="BS373" t="s">
        <v>7740</v>
      </c>
      <c r="BT373" t="str">
        <f>HYPERLINK("https%3A%2F%2Fwww.webofscience.com%2Fwos%2Fwoscc%2Ffull-record%2FWOS:000788251800019","View Full Record in Web of Science")</f>
        <v>View Full Record in Web of Science</v>
      </c>
    </row>
    <row r="374" spans="1:72" x14ac:dyDescent="0.15">
      <c r="A374" t="s">
        <v>72</v>
      </c>
      <c r="B374" t="s">
        <v>7741</v>
      </c>
      <c r="C374" t="s">
        <v>74</v>
      </c>
      <c r="D374" t="s">
        <v>74</v>
      </c>
      <c r="E374" t="s">
        <v>74</v>
      </c>
      <c r="F374" t="s">
        <v>7742</v>
      </c>
      <c r="G374" t="s">
        <v>74</v>
      </c>
      <c r="H374" t="s">
        <v>74</v>
      </c>
      <c r="I374" t="s">
        <v>7743</v>
      </c>
      <c r="J374" t="s">
        <v>7744</v>
      </c>
      <c r="K374" t="s">
        <v>74</v>
      </c>
      <c r="L374" t="s">
        <v>74</v>
      </c>
      <c r="M374" t="s">
        <v>78</v>
      </c>
      <c r="N374" t="s">
        <v>79</v>
      </c>
      <c r="O374" t="s">
        <v>74</v>
      </c>
      <c r="P374" t="s">
        <v>74</v>
      </c>
      <c r="Q374" t="s">
        <v>74</v>
      </c>
      <c r="R374" t="s">
        <v>74</v>
      </c>
      <c r="S374" t="s">
        <v>74</v>
      </c>
      <c r="T374" t="s">
        <v>74</v>
      </c>
      <c r="U374" t="s">
        <v>7745</v>
      </c>
      <c r="V374" t="s">
        <v>7746</v>
      </c>
      <c r="W374" t="s">
        <v>7747</v>
      </c>
      <c r="X374" t="s">
        <v>7748</v>
      </c>
      <c r="Y374" t="s">
        <v>7749</v>
      </c>
      <c r="Z374" t="s">
        <v>7750</v>
      </c>
      <c r="AA374" t="s">
        <v>7751</v>
      </c>
      <c r="AB374" t="s">
        <v>7752</v>
      </c>
      <c r="AC374" t="s">
        <v>7753</v>
      </c>
      <c r="AD374" t="s">
        <v>7753</v>
      </c>
      <c r="AE374" t="s">
        <v>7754</v>
      </c>
      <c r="AF374" t="s">
        <v>74</v>
      </c>
      <c r="AG374">
        <v>49</v>
      </c>
      <c r="AH374">
        <v>2</v>
      </c>
      <c r="AI374">
        <v>2</v>
      </c>
      <c r="AJ374">
        <v>0</v>
      </c>
      <c r="AK374">
        <v>2</v>
      </c>
      <c r="AL374" t="s">
        <v>2042</v>
      </c>
      <c r="AM374" t="s">
        <v>2043</v>
      </c>
      <c r="AN374" t="s">
        <v>2044</v>
      </c>
      <c r="AO374" t="s">
        <v>74</v>
      </c>
      <c r="AP374" t="s">
        <v>7755</v>
      </c>
      <c r="AQ374" t="s">
        <v>74</v>
      </c>
      <c r="AR374" t="s">
        <v>7756</v>
      </c>
      <c r="AS374" t="s">
        <v>7757</v>
      </c>
      <c r="AT374" t="s">
        <v>5076</v>
      </c>
      <c r="AU374">
        <v>2022</v>
      </c>
      <c r="AV374">
        <v>9</v>
      </c>
      <c r="AW374">
        <v>5</v>
      </c>
      <c r="AX374" t="s">
        <v>74</v>
      </c>
      <c r="AY374" t="s">
        <v>74</v>
      </c>
      <c r="AZ374" t="s">
        <v>74</v>
      </c>
      <c r="BA374" t="s">
        <v>74</v>
      </c>
      <c r="BB374" t="s">
        <v>74</v>
      </c>
      <c r="BC374" t="s">
        <v>74</v>
      </c>
      <c r="BD374" t="s">
        <v>7758</v>
      </c>
      <c r="BE374" t="s">
        <v>7759</v>
      </c>
      <c r="BF374" t="str">
        <f>HYPERLINK("http://dx.doi.org/10.1029/2021EA002191","http://dx.doi.org/10.1029/2021EA002191")</f>
        <v>http://dx.doi.org/10.1029/2021EA002191</v>
      </c>
      <c r="BG374" t="s">
        <v>74</v>
      </c>
      <c r="BH374" t="s">
        <v>74</v>
      </c>
      <c r="BI374">
        <v>19</v>
      </c>
      <c r="BJ374" t="s">
        <v>7760</v>
      </c>
      <c r="BK374" t="s">
        <v>101</v>
      </c>
      <c r="BL374" t="s">
        <v>7761</v>
      </c>
      <c r="BM374" t="s">
        <v>7762</v>
      </c>
      <c r="BN374" t="s">
        <v>74</v>
      </c>
      <c r="BO374" t="s">
        <v>1533</v>
      </c>
      <c r="BP374" t="s">
        <v>74</v>
      </c>
      <c r="BQ374" t="s">
        <v>74</v>
      </c>
      <c r="BR374" t="s">
        <v>103</v>
      </c>
      <c r="BS374" t="s">
        <v>7763</v>
      </c>
      <c r="BT374" t="str">
        <f>HYPERLINK("https%3A%2F%2Fwww.webofscience.com%2Fwos%2Fwoscc%2Ffull-record%2FWOS:000789930500001","View Full Record in Web of Science")</f>
        <v>View Full Record in Web of Science</v>
      </c>
    </row>
    <row r="375" spans="1:72" x14ac:dyDescent="0.15">
      <c r="A375" t="s">
        <v>72</v>
      </c>
      <c r="B375" t="s">
        <v>7764</v>
      </c>
      <c r="C375" t="s">
        <v>74</v>
      </c>
      <c r="D375" t="s">
        <v>74</v>
      </c>
      <c r="E375" t="s">
        <v>74</v>
      </c>
      <c r="F375" t="s">
        <v>7765</v>
      </c>
      <c r="G375" t="s">
        <v>74</v>
      </c>
      <c r="H375" t="s">
        <v>74</v>
      </c>
      <c r="I375" t="s">
        <v>7766</v>
      </c>
      <c r="J375" t="s">
        <v>2671</v>
      </c>
      <c r="K375" t="s">
        <v>74</v>
      </c>
      <c r="L375" t="s">
        <v>74</v>
      </c>
      <c r="M375" t="s">
        <v>78</v>
      </c>
      <c r="N375" t="s">
        <v>79</v>
      </c>
      <c r="O375" t="s">
        <v>74</v>
      </c>
      <c r="P375" t="s">
        <v>74</v>
      </c>
      <c r="Q375" t="s">
        <v>74</v>
      </c>
      <c r="R375" t="s">
        <v>74</v>
      </c>
      <c r="S375" t="s">
        <v>74</v>
      </c>
      <c r="T375" t="s">
        <v>7767</v>
      </c>
      <c r="U375" t="s">
        <v>7768</v>
      </c>
      <c r="V375" t="s">
        <v>7769</v>
      </c>
      <c r="W375" t="s">
        <v>7770</v>
      </c>
      <c r="X375" t="s">
        <v>7771</v>
      </c>
      <c r="Y375" t="s">
        <v>7772</v>
      </c>
      <c r="Z375" t="s">
        <v>7773</v>
      </c>
      <c r="AA375" t="s">
        <v>7774</v>
      </c>
      <c r="AB375" t="s">
        <v>7775</v>
      </c>
      <c r="AC375" t="s">
        <v>7776</v>
      </c>
      <c r="AD375" t="s">
        <v>7777</v>
      </c>
      <c r="AE375" t="s">
        <v>7778</v>
      </c>
      <c r="AF375" t="s">
        <v>74</v>
      </c>
      <c r="AG375">
        <v>94</v>
      </c>
      <c r="AH375">
        <v>3</v>
      </c>
      <c r="AI375">
        <v>3</v>
      </c>
      <c r="AJ375">
        <v>2</v>
      </c>
      <c r="AK375">
        <v>10</v>
      </c>
      <c r="AL375" t="s">
        <v>2042</v>
      </c>
      <c r="AM375" t="s">
        <v>2043</v>
      </c>
      <c r="AN375" t="s">
        <v>2044</v>
      </c>
      <c r="AO375" t="s">
        <v>2684</v>
      </c>
      <c r="AP375" t="s">
        <v>2685</v>
      </c>
      <c r="AQ375" t="s">
        <v>74</v>
      </c>
      <c r="AR375" t="s">
        <v>2686</v>
      </c>
      <c r="AS375" t="s">
        <v>2687</v>
      </c>
      <c r="AT375" t="s">
        <v>5076</v>
      </c>
      <c r="AU375">
        <v>2022</v>
      </c>
      <c r="AV375">
        <v>127</v>
      </c>
      <c r="AW375">
        <v>5</v>
      </c>
      <c r="AX375" t="s">
        <v>74</v>
      </c>
      <c r="AY375" t="s">
        <v>74</v>
      </c>
      <c r="AZ375" t="s">
        <v>74</v>
      </c>
      <c r="BA375" t="s">
        <v>74</v>
      </c>
      <c r="BB375" t="s">
        <v>74</v>
      </c>
      <c r="BC375" t="s">
        <v>74</v>
      </c>
      <c r="BD375" t="s">
        <v>7779</v>
      </c>
      <c r="BE375" t="s">
        <v>7780</v>
      </c>
      <c r="BF375" t="str">
        <f>HYPERLINK("http://dx.doi.org/10.1029/2021JE007166","http://dx.doi.org/10.1029/2021JE007166")</f>
        <v>http://dx.doi.org/10.1029/2021JE007166</v>
      </c>
      <c r="BG375" t="s">
        <v>74</v>
      </c>
      <c r="BH375" t="s">
        <v>74</v>
      </c>
      <c r="BI375">
        <v>20</v>
      </c>
      <c r="BJ375" t="s">
        <v>2144</v>
      </c>
      <c r="BK375" t="s">
        <v>101</v>
      </c>
      <c r="BL375" t="s">
        <v>2144</v>
      </c>
      <c r="BM375" t="s">
        <v>7781</v>
      </c>
      <c r="BN375" t="s">
        <v>74</v>
      </c>
      <c r="BO375" t="s">
        <v>590</v>
      </c>
      <c r="BP375" t="s">
        <v>74</v>
      </c>
      <c r="BQ375" t="s">
        <v>74</v>
      </c>
      <c r="BR375" t="s">
        <v>103</v>
      </c>
      <c r="BS375" t="s">
        <v>7782</v>
      </c>
      <c r="BT375" t="str">
        <f>HYPERLINK("https%3A%2F%2Fwww.webofscience.com%2Fwos%2Fwoscc%2Ffull-record%2FWOS:000788042200001","View Full Record in Web of Science")</f>
        <v>View Full Record in Web of Science</v>
      </c>
    </row>
    <row r="376" spans="1:72" x14ac:dyDescent="0.15">
      <c r="A376" t="s">
        <v>72</v>
      </c>
      <c r="B376" t="s">
        <v>7783</v>
      </c>
      <c r="C376" t="s">
        <v>74</v>
      </c>
      <c r="D376" t="s">
        <v>74</v>
      </c>
      <c r="E376" t="s">
        <v>74</v>
      </c>
      <c r="F376" t="s">
        <v>7784</v>
      </c>
      <c r="G376" t="s">
        <v>74</v>
      </c>
      <c r="H376" t="s">
        <v>74</v>
      </c>
      <c r="I376" t="s">
        <v>7785</v>
      </c>
      <c r="J376" t="s">
        <v>2381</v>
      </c>
      <c r="K376" t="s">
        <v>74</v>
      </c>
      <c r="L376" t="s">
        <v>74</v>
      </c>
      <c r="M376" t="s">
        <v>78</v>
      </c>
      <c r="N376" t="s">
        <v>79</v>
      </c>
      <c r="O376" t="s">
        <v>74</v>
      </c>
      <c r="P376" t="s">
        <v>74</v>
      </c>
      <c r="Q376" t="s">
        <v>74</v>
      </c>
      <c r="R376" t="s">
        <v>74</v>
      </c>
      <c r="S376" t="s">
        <v>74</v>
      </c>
      <c r="T376" t="s">
        <v>7786</v>
      </c>
      <c r="U376" t="s">
        <v>7787</v>
      </c>
      <c r="V376" t="s">
        <v>7788</v>
      </c>
      <c r="W376" t="s">
        <v>7789</v>
      </c>
      <c r="X376" t="s">
        <v>7790</v>
      </c>
      <c r="Y376" t="s">
        <v>7791</v>
      </c>
      <c r="Z376" t="s">
        <v>7792</v>
      </c>
      <c r="AA376" t="s">
        <v>7793</v>
      </c>
      <c r="AB376" t="s">
        <v>7794</v>
      </c>
      <c r="AC376" t="s">
        <v>7795</v>
      </c>
      <c r="AD376" t="s">
        <v>7796</v>
      </c>
      <c r="AE376" t="s">
        <v>7797</v>
      </c>
      <c r="AF376" t="s">
        <v>74</v>
      </c>
      <c r="AG376">
        <v>86</v>
      </c>
      <c r="AH376">
        <v>3</v>
      </c>
      <c r="AI376">
        <v>3</v>
      </c>
      <c r="AJ376">
        <v>1</v>
      </c>
      <c r="AK376">
        <v>8</v>
      </c>
      <c r="AL376" t="s">
        <v>2042</v>
      </c>
      <c r="AM376" t="s">
        <v>2043</v>
      </c>
      <c r="AN376" t="s">
        <v>2044</v>
      </c>
      <c r="AO376" t="s">
        <v>2394</v>
      </c>
      <c r="AP376" t="s">
        <v>2395</v>
      </c>
      <c r="AQ376" t="s">
        <v>74</v>
      </c>
      <c r="AR376" t="s">
        <v>2396</v>
      </c>
      <c r="AS376" t="s">
        <v>2397</v>
      </c>
      <c r="AT376" t="s">
        <v>5076</v>
      </c>
      <c r="AU376">
        <v>2022</v>
      </c>
      <c r="AV376">
        <v>127</v>
      </c>
      <c r="AW376">
        <v>5</v>
      </c>
      <c r="AX376" t="s">
        <v>74</v>
      </c>
      <c r="AY376" t="s">
        <v>74</v>
      </c>
      <c r="AZ376" t="s">
        <v>74</v>
      </c>
      <c r="BA376" t="s">
        <v>74</v>
      </c>
      <c r="BB376" t="s">
        <v>74</v>
      </c>
      <c r="BC376" t="s">
        <v>74</v>
      </c>
      <c r="BD376" t="s">
        <v>7798</v>
      </c>
      <c r="BE376" t="s">
        <v>7799</v>
      </c>
      <c r="BF376" t="str">
        <f>HYPERLINK("http://dx.doi.org/10.1029/2021JA030069","http://dx.doi.org/10.1029/2021JA030069")</f>
        <v>http://dx.doi.org/10.1029/2021JA030069</v>
      </c>
      <c r="BG376" t="s">
        <v>74</v>
      </c>
      <c r="BH376" t="s">
        <v>74</v>
      </c>
      <c r="BI376">
        <v>15</v>
      </c>
      <c r="BJ376" t="s">
        <v>2275</v>
      </c>
      <c r="BK376" t="s">
        <v>101</v>
      </c>
      <c r="BL376" t="s">
        <v>2275</v>
      </c>
      <c r="BM376" t="s">
        <v>7800</v>
      </c>
      <c r="BN376" t="s">
        <v>74</v>
      </c>
      <c r="BO376" t="s">
        <v>465</v>
      </c>
      <c r="BP376" t="s">
        <v>74</v>
      </c>
      <c r="BQ376" t="s">
        <v>74</v>
      </c>
      <c r="BR376" t="s">
        <v>103</v>
      </c>
      <c r="BS376" t="s">
        <v>7801</v>
      </c>
      <c r="BT376" t="str">
        <f>HYPERLINK("https%3A%2F%2Fwww.webofscience.com%2Fwos%2Fwoscc%2Ffull-record%2FWOS:000788106000001","View Full Record in Web of Science")</f>
        <v>View Full Record in Web of Science</v>
      </c>
    </row>
    <row r="377" spans="1:72" x14ac:dyDescent="0.15">
      <c r="A377" t="s">
        <v>72</v>
      </c>
      <c r="B377" t="s">
        <v>7802</v>
      </c>
      <c r="C377" t="s">
        <v>74</v>
      </c>
      <c r="D377" t="s">
        <v>74</v>
      </c>
      <c r="E377" t="s">
        <v>74</v>
      </c>
      <c r="F377" t="s">
        <v>7803</v>
      </c>
      <c r="G377" t="s">
        <v>74</v>
      </c>
      <c r="H377" t="s">
        <v>74</v>
      </c>
      <c r="I377" t="s">
        <v>7804</v>
      </c>
      <c r="J377" t="s">
        <v>2714</v>
      </c>
      <c r="K377" t="s">
        <v>74</v>
      </c>
      <c r="L377" t="s">
        <v>74</v>
      </c>
      <c r="M377" t="s">
        <v>78</v>
      </c>
      <c r="N377" t="s">
        <v>79</v>
      </c>
      <c r="O377" t="s">
        <v>74</v>
      </c>
      <c r="P377" t="s">
        <v>74</v>
      </c>
      <c r="Q377" t="s">
        <v>74</v>
      </c>
      <c r="R377" t="s">
        <v>74</v>
      </c>
      <c r="S377" t="s">
        <v>74</v>
      </c>
      <c r="T377" t="s">
        <v>7805</v>
      </c>
      <c r="U377" t="s">
        <v>7806</v>
      </c>
      <c r="V377" t="s">
        <v>7807</v>
      </c>
      <c r="W377" t="s">
        <v>7808</v>
      </c>
      <c r="X377" t="s">
        <v>7809</v>
      </c>
      <c r="Y377" t="s">
        <v>7810</v>
      </c>
      <c r="Z377" t="s">
        <v>7811</v>
      </c>
      <c r="AA377" t="s">
        <v>7812</v>
      </c>
      <c r="AB377" t="s">
        <v>7813</v>
      </c>
      <c r="AC377" t="s">
        <v>7814</v>
      </c>
      <c r="AD377" t="s">
        <v>7815</v>
      </c>
      <c r="AE377" t="s">
        <v>7816</v>
      </c>
      <c r="AF377" t="s">
        <v>74</v>
      </c>
      <c r="AG377">
        <v>55</v>
      </c>
      <c r="AH377">
        <v>6</v>
      </c>
      <c r="AI377">
        <v>6</v>
      </c>
      <c r="AJ377">
        <v>2</v>
      </c>
      <c r="AK377">
        <v>7</v>
      </c>
      <c r="AL377" t="s">
        <v>2572</v>
      </c>
      <c r="AM377" t="s">
        <v>2573</v>
      </c>
      <c r="AN377" t="s">
        <v>2574</v>
      </c>
      <c r="AO377" t="s">
        <v>2726</v>
      </c>
      <c r="AP377" t="s">
        <v>74</v>
      </c>
      <c r="AQ377" t="s">
        <v>74</v>
      </c>
      <c r="AR377" t="s">
        <v>2727</v>
      </c>
      <c r="AS377" t="s">
        <v>2728</v>
      </c>
      <c r="AT377" t="s">
        <v>7628</v>
      </c>
      <c r="AU377">
        <v>2022</v>
      </c>
      <c r="AV377">
        <v>17</v>
      </c>
      <c r="AW377">
        <v>5</v>
      </c>
      <c r="AX377" t="s">
        <v>74</v>
      </c>
      <c r="AY377" t="s">
        <v>74</v>
      </c>
      <c r="AZ377" t="s">
        <v>74</v>
      </c>
      <c r="BA377" t="s">
        <v>74</v>
      </c>
      <c r="BB377" t="s">
        <v>74</v>
      </c>
      <c r="BC377" t="s">
        <v>74</v>
      </c>
      <c r="BD377">
        <v>54022</v>
      </c>
      <c r="BE377" t="s">
        <v>7817</v>
      </c>
      <c r="BF377" t="str">
        <f>HYPERLINK("http://dx.doi.org/10.1088/1748-9326/ac5d99","http://dx.doi.org/10.1088/1748-9326/ac5d99")</f>
        <v>http://dx.doi.org/10.1088/1748-9326/ac5d99</v>
      </c>
      <c r="BG377" t="s">
        <v>74</v>
      </c>
      <c r="BH377" t="s">
        <v>74</v>
      </c>
      <c r="BI377">
        <v>13</v>
      </c>
      <c r="BJ377" t="s">
        <v>1797</v>
      </c>
      <c r="BK377" t="s">
        <v>101</v>
      </c>
      <c r="BL377" t="s">
        <v>957</v>
      </c>
      <c r="BM377" t="s">
        <v>7818</v>
      </c>
      <c r="BN377" t="s">
        <v>74</v>
      </c>
      <c r="BO377" t="s">
        <v>295</v>
      </c>
      <c r="BP377" t="s">
        <v>74</v>
      </c>
      <c r="BQ377" t="s">
        <v>74</v>
      </c>
      <c r="BR377" t="s">
        <v>103</v>
      </c>
      <c r="BS377" t="s">
        <v>7819</v>
      </c>
      <c r="BT377" t="str">
        <f>HYPERLINK("https%3A%2F%2Fwww.webofscience.com%2Fwos%2Fwoscc%2Ffull-record%2FWOS:000787645000001","View Full Record in Web of Science")</f>
        <v>View Full Record in Web of Science</v>
      </c>
    </row>
    <row r="378" spans="1:72" x14ac:dyDescent="0.15">
      <c r="A378" t="s">
        <v>72</v>
      </c>
      <c r="B378" t="s">
        <v>1699</v>
      </c>
      <c r="C378" t="s">
        <v>74</v>
      </c>
      <c r="D378" t="s">
        <v>74</v>
      </c>
      <c r="E378" t="s">
        <v>74</v>
      </c>
      <c r="F378" t="s">
        <v>7820</v>
      </c>
      <c r="G378" t="s">
        <v>74</v>
      </c>
      <c r="H378" t="s">
        <v>74</v>
      </c>
      <c r="I378" t="s">
        <v>7821</v>
      </c>
      <c r="J378" t="s">
        <v>7822</v>
      </c>
      <c r="K378" t="s">
        <v>74</v>
      </c>
      <c r="L378" t="s">
        <v>74</v>
      </c>
      <c r="M378" t="s">
        <v>78</v>
      </c>
      <c r="N378" t="s">
        <v>79</v>
      </c>
      <c r="O378" t="s">
        <v>74</v>
      </c>
      <c r="P378" t="s">
        <v>74</v>
      </c>
      <c r="Q378" t="s">
        <v>74</v>
      </c>
      <c r="R378" t="s">
        <v>74</v>
      </c>
      <c r="S378" t="s">
        <v>74</v>
      </c>
      <c r="T378" t="s">
        <v>7823</v>
      </c>
      <c r="U378" t="s">
        <v>7824</v>
      </c>
      <c r="V378" t="s">
        <v>7825</v>
      </c>
      <c r="W378" t="s">
        <v>7826</v>
      </c>
      <c r="X378" t="s">
        <v>7827</v>
      </c>
      <c r="Y378" t="s">
        <v>7828</v>
      </c>
      <c r="Z378" t="s">
        <v>7829</v>
      </c>
      <c r="AA378" t="s">
        <v>1709</v>
      </c>
      <c r="AB378" t="s">
        <v>1710</v>
      </c>
      <c r="AC378" t="s">
        <v>7830</v>
      </c>
      <c r="AD378" t="s">
        <v>7831</v>
      </c>
      <c r="AE378" t="s">
        <v>7832</v>
      </c>
      <c r="AF378" t="s">
        <v>74</v>
      </c>
      <c r="AG378">
        <v>20</v>
      </c>
      <c r="AH378">
        <v>4</v>
      </c>
      <c r="AI378">
        <v>4</v>
      </c>
      <c r="AJ378">
        <v>1</v>
      </c>
      <c r="AK378">
        <v>3</v>
      </c>
      <c r="AL378" t="s">
        <v>1689</v>
      </c>
      <c r="AM378" t="s">
        <v>531</v>
      </c>
      <c r="AN378" t="s">
        <v>1690</v>
      </c>
      <c r="AO378" t="s">
        <v>7833</v>
      </c>
      <c r="AP378" t="s">
        <v>7834</v>
      </c>
      <c r="AQ378" t="s">
        <v>74</v>
      </c>
      <c r="AR378" t="s">
        <v>7835</v>
      </c>
      <c r="AS378" t="s">
        <v>7836</v>
      </c>
      <c r="AT378" t="s">
        <v>5076</v>
      </c>
      <c r="AU378">
        <v>2022</v>
      </c>
      <c r="AV378">
        <v>503</v>
      </c>
      <c r="AW378">
        <v>1</v>
      </c>
      <c r="AX378" t="s">
        <v>74</v>
      </c>
      <c r="AY378" t="s">
        <v>74</v>
      </c>
      <c r="AZ378" t="s">
        <v>74</v>
      </c>
      <c r="BA378" t="s">
        <v>74</v>
      </c>
      <c r="BB378">
        <v>114</v>
      </c>
      <c r="BC378">
        <v>118</v>
      </c>
      <c r="BD378" t="s">
        <v>74</v>
      </c>
      <c r="BE378" t="s">
        <v>7837</v>
      </c>
      <c r="BF378" t="str">
        <f>HYPERLINK("http://dx.doi.org/10.1134/S1028334X22030084","http://dx.doi.org/10.1134/S1028334X22030084")</f>
        <v>http://dx.doi.org/10.1134/S1028334X22030084</v>
      </c>
      <c r="BG378" t="s">
        <v>74</v>
      </c>
      <c r="BH378" t="s">
        <v>74</v>
      </c>
      <c r="BI378">
        <v>5</v>
      </c>
      <c r="BJ378" t="s">
        <v>265</v>
      </c>
      <c r="BK378" t="s">
        <v>101</v>
      </c>
      <c r="BL378" t="s">
        <v>100</v>
      </c>
      <c r="BM378" t="s">
        <v>7838</v>
      </c>
      <c r="BN378" t="s">
        <v>74</v>
      </c>
      <c r="BO378" t="s">
        <v>74</v>
      </c>
      <c r="BP378" t="s">
        <v>74</v>
      </c>
      <c r="BQ378" t="s">
        <v>74</v>
      </c>
      <c r="BR378" t="s">
        <v>103</v>
      </c>
      <c r="BS378" t="s">
        <v>7839</v>
      </c>
      <c r="BT378" t="str">
        <f>HYPERLINK("https%3A%2F%2Fwww.webofscience.com%2Fwos%2Fwoscc%2Ffull-record%2FWOS:000787327300009","View Full Record in Web of Science")</f>
        <v>View Full Record in Web of Science</v>
      </c>
    </row>
    <row r="379" spans="1:72" x14ac:dyDescent="0.15">
      <c r="A379" t="s">
        <v>72</v>
      </c>
      <c r="B379" t="s">
        <v>7840</v>
      </c>
      <c r="C379" t="s">
        <v>74</v>
      </c>
      <c r="D379" t="s">
        <v>74</v>
      </c>
      <c r="E379" t="s">
        <v>74</v>
      </c>
      <c r="F379" t="s">
        <v>7841</v>
      </c>
      <c r="G379" t="s">
        <v>74</v>
      </c>
      <c r="H379" t="s">
        <v>74</v>
      </c>
      <c r="I379" t="s">
        <v>7842</v>
      </c>
      <c r="J379" t="s">
        <v>7843</v>
      </c>
      <c r="K379" t="s">
        <v>74</v>
      </c>
      <c r="L379" t="s">
        <v>74</v>
      </c>
      <c r="M379" t="s">
        <v>78</v>
      </c>
      <c r="N379" t="s">
        <v>79</v>
      </c>
      <c r="O379" t="s">
        <v>74</v>
      </c>
      <c r="P379" t="s">
        <v>74</v>
      </c>
      <c r="Q379" t="s">
        <v>74</v>
      </c>
      <c r="R379" t="s">
        <v>74</v>
      </c>
      <c r="S379" t="s">
        <v>74</v>
      </c>
      <c r="T379" t="s">
        <v>7844</v>
      </c>
      <c r="U379" t="s">
        <v>7845</v>
      </c>
      <c r="V379" t="s">
        <v>7846</v>
      </c>
      <c r="W379" t="s">
        <v>7847</v>
      </c>
      <c r="X379" t="s">
        <v>7848</v>
      </c>
      <c r="Y379" t="s">
        <v>7849</v>
      </c>
      <c r="Z379" t="s">
        <v>7850</v>
      </c>
      <c r="AA379" t="s">
        <v>7851</v>
      </c>
      <c r="AB379" t="s">
        <v>7852</v>
      </c>
      <c r="AC379" t="s">
        <v>7853</v>
      </c>
      <c r="AD379" t="s">
        <v>7854</v>
      </c>
      <c r="AE379" t="s">
        <v>7855</v>
      </c>
      <c r="AF379" t="s">
        <v>74</v>
      </c>
      <c r="AG379">
        <v>89</v>
      </c>
      <c r="AH379">
        <v>13</v>
      </c>
      <c r="AI379">
        <v>13</v>
      </c>
      <c r="AJ379">
        <v>4</v>
      </c>
      <c r="AK379">
        <v>8</v>
      </c>
      <c r="AL379" t="s">
        <v>633</v>
      </c>
      <c r="AM379" t="s">
        <v>200</v>
      </c>
      <c r="AN379" t="s">
        <v>634</v>
      </c>
      <c r="AO379" t="s">
        <v>74</v>
      </c>
      <c r="AP379" t="s">
        <v>7856</v>
      </c>
      <c r="AQ379" t="s">
        <v>74</v>
      </c>
      <c r="AR379" t="s">
        <v>7843</v>
      </c>
      <c r="AS379" t="s">
        <v>7857</v>
      </c>
      <c r="AT379" t="s">
        <v>5076</v>
      </c>
      <c r="AU379">
        <v>2022</v>
      </c>
      <c r="AV379">
        <v>1</v>
      </c>
      <c r="AW379">
        <v>2</v>
      </c>
      <c r="AX379" t="s">
        <v>74</v>
      </c>
      <c r="AY379" t="s">
        <v>74</v>
      </c>
      <c r="AZ379" t="s">
        <v>74</v>
      </c>
      <c r="BA379" t="s">
        <v>74</v>
      </c>
      <c r="BB379" t="s">
        <v>74</v>
      </c>
      <c r="BC379" t="s">
        <v>74</v>
      </c>
      <c r="BD379" t="s">
        <v>7858</v>
      </c>
      <c r="BE379" t="s">
        <v>7859</v>
      </c>
      <c r="BF379" t="str">
        <f>HYPERLINK("http://dx.doi.org/10.1093/pnasnexus/pgac048","http://dx.doi.org/10.1093/pnasnexus/pgac048")</f>
        <v>http://dx.doi.org/10.1093/pnasnexus/pgac048</v>
      </c>
      <c r="BG379" t="s">
        <v>74</v>
      </c>
      <c r="BH379" t="s">
        <v>74</v>
      </c>
      <c r="BI379">
        <v>12</v>
      </c>
      <c r="BJ379" t="s">
        <v>7860</v>
      </c>
      <c r="BK379" t="s">
        <v>839</v>
      </c>
      <c r="BL379" t="s">
        <v>7861</v>
      </c>
      <c r="BM379" t="s">
        <v>7862</v>
      </c>
      <c r="BN379">
        <v>36713327</v>
      </c>
      <c r="BO379" t="s">
        <v>7863</v>
      </c>
      <c r="BP379" t="s">
        <v>74</v>
      </c>
      <c r="BQ379" t="s">
        <v>74</v>
      </c>
      <c r="BR379" t="s">
        <v>103</v>
      </c>
      <c r="BS379" t="s">
        <v>7864</v>
      </c>
      <c r="BT379" t="str">
        <f>HYPERLINK("https%3A%2F%2Fwww.webofscience.com%2Fwos%2Fwoscc%2Ffull-record%2FWOS:001063384200022","View Full Record in Web of Science")</f>
        <v>View Full Record in Web of Science</v>
      </c>
    </row>
    <row r="380" spans="1:72" x14ac:dyDescent="0.15">
      <c r="A380" t="s">
        <v>72</v>
      </c>
      <c r="B380" t="s">
        <v>7865</v>
      </c>
      <c r="C380" t="s">
        <v>74</v>
      </c>
      <c r="D380" t="s">
        <v>74</v>
      </c>
      <c r="E380" t="s">
        <v>74</v>
      </c>
      <c r="F380" t="s">
        <v>7866</v>
      </c>
      <c r="G380" t="s">
        <v>74</v>
      </c>
      <c r="H380" t="s">
        <v>74</v>
      </c>
      <c r="I380" t="s">
        <v>7867</v>
      </c>
      <c r="J380" t="s">
        <v>7868</v>
      </c>
      <c r="K380" t="s">
        <v>74</v>
      </c>
      <c r="L380" t="s">
        <v>74</v>
      </c>
      <c r="M380" t="s">
        <v>78</v>
      </c>
      <c r="N380" t="s">
        <v>161</v>
      </c>
      <c r="O380" t="s">
        <v>74</v>
      </c>
      <c r="P380" t="s">
        <v>74</v>
      </c>
      <c r="Q380" t="s">
        <v>74</v>
      </c>
      <c r="R380" t="s">
        <v>74</v>
      </c>
      <c r="S380" t="s">
        <v>74</v>
      </c>
      <c r="T380" t="s">
        <v>7869</v>
      </c>
      <c r="U380" t="s">
        <v>7870</v>
      </c>
      <c r="V380" t="s">
        <v>7871</v>
      </c>
      <c r="W380" t="s">
        <v>7872</v>
      </c>
      <c r="X380" t="s">
        <v>7873</v>
      </c>
      <c r="Y380" t="s">
        <v>7874</v>
      </c>
      <c r="Z380" t="s">
        <v>7875</v>
      </c>
      <c r="AA380" t="s">
        <v>7876</v>
      </c>
      <c r="AB380" t="s">
        <v>7877</v>
      </c>
      <c r="AC380" t="s">
        <v>74</v>
      </c>
      <c r="AD380" t="s">
        <v>74</v>
      </c>
      <c r="AE380" t="s">
        <v>74</v>
      </c>
      <c r="AF380" t="s">
        <v>74</v>
      </c>
      <c r="AG380">
        <v>142</v>
      </c>
      <c r="AH380">
        <v>33</v>
      </c>
      <c r="AI380">
        <v>35</v>
      </c>
      <c r="AJ380">
        <v>3</v>
      </c>
      <c r="AK380">
        <v>3</v>
      </c>
      <c r="AL380" t="s">
        <v>2858</v>
      </c>
      <c r="AM380" t="s">
        <v>2859</v>
      </c>
      <c r="AN380" t="s">
        <v>2860</v>
      </c>
      <c r="AO380" t="s">
        <v>74</v>
      </c>
      <c r="AP380" t="s">
        <v>7878</v>
      </c>
      <c r="AQ380" t="s">
        <v>74</v>
      </c>
      <c r="AR380" t="s">
        <v>7879</v>
      </c>
      <c r="AS380" t="s">
        <v>7880</v>
      </c>
      <c r="AT380" t="s">
        <v>5076</v>
      </c>
      <c r="AU380">
        <v>2022</v>
      </c>
      <c r="AV380">
        <v>1</v>
      </c>
      <c r="AW380">
        <v>2</v>
      </c>
      <c r="AX380" t="s">
        <v>74</v>
      </c>
      <c r="AY380" t="s">
        <v>74</v>
      </c>
      <c r="AZ380" t="s">
        <v>74</v>
      </c>
      <c r="BA380" t="s">
        <v>74</v>
      </c>
      <c r="BB380" t="s">
        <v>74</v>
      </c>
      <c r="BC380" t="s">
        <v>74</v>
      </c>
      <c r="BD380">
        <v>100034</v>
      </c>
      <c r="BE380" t="s">
        <v>7881</v>
      </c>
      <c r="BF380" t="str">
        <f>HYPERLINK("http://dx.doi.org/10.1016/j.watbs.2022.100034","http://dx.doi.org/10.1016/j.watbs.2022.100034")</f>
        <v>http://dx.doi.org/10.1016/j.watbs.2022.100034</v>
      </c>
      <c r="BG380" t="s">
        <v>74</v>
      </c>
      <c r="BH380" t="s">
        <v>74</v>
      </c>
      <c r="BI380">
        <v>12</v>
      </c>
      <c r="BJ380" t="s">
        <v>7882</v>
      </c>
      <c r="BK380" t="s">
        <v>839</v>
      </c>
      <c r="BL380" t="s">
        <v>7883</v>
      </c>
      <c r="BM380" t="s">
        <v>7884</v>
      </c>
      <c r="BN380" t="s">
        <v>74</v>
      </c>
      <c r="BO380" t="s">
        <v>5588</v>
      </c>
      <c r="BP380" t="s">
        <v>74</v>
      </c>
      <c r="BQ380" t="s">
        <v>74</v>
      </c>
      <c r="BR380" t="s">
        <v>103</v>
      </c>
      <c r="BS380" t="s">
        <v>7885</v>
      </c>
      <c r="BT380" t="str">
        <f>HYPERLINK("https%3A%2F%2Fwww.webofscience.com%2Fwos%2Fwoscc%2Ffull-record%2FWOS:001129891400001","View Full Record in Web of Science")</f>
        <v>View Full Record in Web of Science</v>
      </c>
    </row>
    <row r="381" spans="1:72" x14ac:dyDescent="0.15">
      <c r="A381" t="s">
        <v>72</v>
      </c>
      <c r="B381" t="s">
        <v>7886</v>
      </c>
      <c r="C381" t="s">
        <v>74</v>
      </c>
      <c r="D381" t="s">
        <v>74</v>
      </c>
      <c r="E381" t="s">
        <v>74</v>
      </c>
      <c r="F381" t="s">
        <v>7887</v>
      </c>
      <c r="G381" t="s">
        <v>74</v>
      </c>
      <c r="H381" t="s">
        <v>74</v>
      </c>
      <c r="I381" t="s">
        <v>7888</v>
      </c>
      <c r="J381" t="s">
        <v>2870</v>
      </c>
      <c r="K381" t="s">
        <v>74</v>
      </c>
      <c r="L381" t="s">
        <v>74</v>
      </c>
      <c r="M381" t="s">
        <v>78</v>
      </c>
      <c r="N381" t="s">
        <v>79</v>
      </c>
      <c r="O381" t="s">
        <v>74</v>
      </c>
      <c r="P381" t="s">
        <v>74</v>
      </c>
      <c r="Q381" t="s">
        <v>74</v>
      </c>
      <c r="R381" t="s">
        <v>74</v>
      </c>
      <c r="S381" t="s">
        <v>74</v>
      </c>
      <c r="T381" t="s">
        <v>7889</v>
      </c>
      <c r="U381" t="s">
        <v>7890</v>
      </c>
      <c r="V381" t="s">
        <v>7891</v>
      </c>
      <c r="W381" t="s">
        <v>7892</v>
      </c>
      <c r="X381" t="s">
        <v>7893</v>
      </c>
      <c r="Y381" t="s">
        <v>7894</v>
      </c>
      <c r="Z381" t="s">
        <v>7895</v>
      </c>
      <c r="AA381" t="s">
        <v>74</v>
      </c>
      <c r="AB381" t="s">
        <v>74</v>
      </c>
      <c r="AC381" t="s">
        <v>7896</v>
      </c>
      <c r="AD381" t="s">
        <v>7897</v>
      </c>
      <c r="AE381" t="s">
        <v>7898</v>
      </c>
      <c r="AF381" t="s">
        <v>74</v>
      </c>
      <c r="AG381">
        <v>42</v>
      </c>
      <c r="AH381">
        <v>1</v>
      </c>
      <c r="AI381">
        <v>1</v>
      </c>
      <c r="AJ381">
        <v>3</v>
      </c>
      <c r="AK381">
        <v>15</v>
      </c>
      <c r="AL381" t="s">
        <v>2883</v>
      </c>
      <c r="AM381" t="s">
        <v>2884</v>
      </c>
      <c r="AN381" t="s">
        <v>2885</v>
      </c>
      <c r="AO381" t="s">
        <v>2886</v>
      </c>
      <c r="AP381" t="s">
        <v>2887</v>
      </c>
      <c r="AQ381" t="s">
        <v>74</v>
      </c>
      <c r="AR381" t="s">
        <v>2888</v>
      </c>
      <c r="AS381" t="s">
        <v>2889</v>
      </c>
      <c r="AT381" t="s">
        <v>5076</v>
      </c>
      <c r="AU381">
        <v>2022</v>
      </c>
      <c r="AV381">
        <v>169</v>
      </c>
      <c r="AW381">
        <v>5</v>
      </c>
      <c r="AX381" t="s">
        <v>74</v>
      </c>
      <c r="AY381" t="s">
        <v>74</v>
      </c>
      <c r="AZ381" t="s">
        <v>74</v>
      </c>
      <c r="BA381" t="s">
        <v>74</v>
      </c>
      <c r="BB381" t="s">
        <v>74</v>
      </c>
      <c r="BC381" t="s">
        <v>74</v>
      </c>
      <c r="BD381">
        <v>58</v>
      </c>
      <c r="BE381" t="s">
        <v>7899</v>
      </c>
      <c r="BF381" t="str">
        <f>HYPERLINK("http://dx.doi.org/10.1007/s00227-022-04043-w","http://dx.doi.org/10.1007/s00227-022-04043-w")</f>
        <v>http://dx.doi.org/10.1007/s00227-022-04043-w</v>
      </c>
      <c r="BG381" t="s">
        <v>74</v>
      </c>
      <c r="BH381" t="s">
        <v>74</v>
      </c>
      <c r="BI381">
        <v>11</v>
      </c>
      <c r="BJ381" t="s">
        <v>1696</v>
      </c>
      <c r="BK381" t="s">
        <v>101</v>
      </c>
      <c r="BL381" t="s">
        <v>1696</v>
      </c>
      <c r="BM381" t="s">
        <v>7900</v>
      </c>
      <c r="BN381" t="s">
        <v>74</v>
      </c>
      <c r="BO381" t="s">
        <v>74</v>
      </c>
      <c r="BP381" t="s">
        <v>74</v>
      </c>
      <c r="BQ381" t="s">
        <v>74</v>
      </c>
      <c r="BR381" t="s">
        <v>103</v>
      </c>
      <c r="BS381" t="s">
        <v>7901</v>
      </c>
      <c r="BT381" t="str">
        <f>HYPERLINK("https%3A%2F%2Fwww.webofscience.com%2Fwos%2Fwoscc%2Ffull-record%2FWOS:000780912700001","View Full Record in Web of Science")</f>
        <v>View Full Record in Web of Science</v>
      </c>
    </row>
    <row r="382" spans="1:72" x14ac:dyDescent="0.15">
      <c r="A382" t="s">
        <v>72</v>
      </c>
      <c r="B382" t="s">
        <v>7902</v>
      </c>
      <c r="C382" t="s">
        <v>74</v>
      </c>
      <c r="D382" t="s">
        <v>74</v>
      </c>
      <c r="E382" t="s">
        <v>74</v>
      </c>
      <c r="F382" t="s">
        <v>7903</v>
      </c>
      <c r="G382" t="s">
        <v>74</v>
      </c>
      <c r="H382" t="s">
        <v>74</v>
      </c>
      <c r="I382" t="s">
        <v>7904</v>
      </c>
      <c r="J382" t="s">
        <v>2870</v>
      </c>
      <c r="K382" t="s">
        <v>74</v>
      </c>
      <c r="L382" t="s">
        <v>74</v>
      </c>
      <c r="M382" t="s">
        <v>78</v>
      </c>
      <c r="N382" t="s">
        <v>79</v>
      </c>
      <c r="O382" t="s">
        <v>74</v>
      </c>
      <c r="P382" t="s">
        <v>74</v>
      </c>
      <c r="Q382" t="s">
        <v>74</v>
      </c>
      <c r="R382" t="s">
        <v>74</v>
      </c>
      <c r="S382" t="s">
        <v>74</v>
      </c>
      <c r="T382" t="s">
        <v>7905</v>
      </c>
      <c r="U382" t="s">
        <v>7906</v>
      </c>
      <c r="V382" t="s">
        <v>7907</v>
      </c>
      <c r="W382" t="s">
        <v>7908</v>
      </c>
      <c r="X382" t="s">
        <v>7909</v>
      </c>
      <c r="Y382" t="s">
        <v>7910</v>
      </c>
      <c r="Z382" t="s">
        <v>7911</v>
      </c>
      <c r="AA382" t="s">
        <v>7912</v>
      </c>
      <c r="AB382" t="s">
        <v>7913</v>
      </c>
      <c r="AC382" t="s">
        <v>7914</v>
      </c>
      <c r="AD382" t="s">
        <v>7914</v>
      </c>
      <c r="AE382" t="s">
        <v>7915</v>
      </c>
      <c r="AF382" t="s">
        <v>74</v>
      </c>
      <c r="AG382">
        <v>62</v>
      </c>
      <c r="AH382">
        <v>3</v>
      </c>
      <c r="AI382">
        <v>3</v>
      </c>
      <c r="AJ382">
        <v>2</v>
      </c>
      <c r="AK382">
        <v>5</v>
      </c>
      <c r="AL382" t="s">
        <v>2883</v>
      </c>
      <c r="AM382" t="s">
        <v>2884</v>
      </c>
      <c r="AN382" t="s">
        <v>2885</v>
      </c>
      <c r="AO382" t="s">
        <v>2886</v>
      </c>
      <c r="AP382" t="s">
        <v>2887</v>
      </c>
      <c r="AQ382" t="s">
        <v>74</v>
      </c>
      <c r="AR382" t="s">
        <v>2888</v>
      </c>
      <c r="AS382" t="s">
        <v>2889</v>
      </c>
      <c r="AT382" t="s">
        <v>5076</v>
      </c>
      <c r="AU382">
        <v>2022</v>
      </c>
      <c r="AV382">
        <v>169</v>
      </c>
      <c r="AW382">
        <v>5</v>
      </c>
      <c r="AX382" t="s">
        <v>74</v>
      </c>
      <c r="AY382" t="s">
        <v>74</v>
      </c>
      <c r="AZ382" t="s">
        <v>74</v>
      </c>
      <c r="BA382" t="s">
        <v>74</v>
      </c>
      <c r="BB382" t="s">
        <v>74</v>
      </c>
      <c r="BC382" t="s">
        <v>74</v>
      </c>
      <c r="BD382">
        <v>53</v>
      </c>
      <c r="BE382" t="s">
        <v>7916</v>
      </c>
      <c r="BF382" t="str">
        <f>HYPERLINK("http://dx.doi.org/10.1007/s00227-022-04034-x","http://dx.doi.org/10.1007/s00227-022-04034-x")</f>
        <v>http://dx.doi.org/10.1007/s00227-022-04034-x</v>
      </c>
      <c r="BG382" t="s">
        <v>74</v>
      </c>
      <c r="BH382" t="s">
        <v>74</v>
      </c>
      <c r="BI382">
        <v>14</v>
      </c>
      <c r="BJ382" t="s">
        <v>1696</v>
      </c>
      <c r="BK382" t="s">
        <v>101</v>
      </c>
      <c r="BL382" t="s">
        <v>1696</v>
      </c>
      <c r="BM382" t="s">
        <v>7917</v>
      </c>
      <c r="BN382" t="s">
        <v>74</v>
      </c>
      <c r="BO382" t="s">
        <v>986</v>
      </c>
      <c r="BP382" t="s">
        <v>74</v>
      </c>
      <c r="BQ382" t="s">
        <v>74</v>
      </c>
      <c r="BR382" t="s">
        <v>103</v>
      </c>
      <c r="BS382" t="s">
        <v>7918</v>
      </c>
      <c r="BT382" t="str">
        <f>HYPERLINK("https%3A%2F%2Fwww.webofscience.com%2Fwos%2Fwoscc%2Ffull-record%2FWOS:000776184200001","View Full Record in Web of Science")</f>
        <v>View Full Record in Web of Science</v>
      </c>
    </row>
    <row r="383" spans="1:72" x14ac:dyDescent="0.15">
      <c r="A383" t="s">
        <v>72</v>
      </c>
      <c r="B383" t="s">
        <v>7919</v>
      </c>
      <c r="C383" t="s">
        <v>74</v>
      </c>
      <c r="D383" t="s">
        <v>74</v>
      </c>
      <c r="E383" t="s">
        <v>74</v>
      </c>
      <c r="F383" t="s">
        <v>7920</v>
      </c>
      <c r="G383" t="s">
        <v>74</v>
      </c>
      <c r="H383" t="s">
        <v>74</v>
      </c>
      <c r="I383" t="s">
        <v>7921</v>
      </c>
      <c r="J383" t="s">
        <v>7922</v>
      </c>
      <c r="K383" t="s">
        <v>74</v>
      </c>
      <c r="L383" t="s">
        <v>74</v>
      </c>
      <c r="M383" t="s">
        <v>78</v>
      </c>
      <c r="N383" t="s">
        <v>79</v>
      </c>
      <c r="O383" t="s">
        <v>74</v>
      </c>
      <c r="P383" t="s">
        <v>74</v>
      </c>
      <c r="Q383" t="s">
        <v>74</v>
      </c>
      <c r="R383" t="s">
        <v>74</v>
      </c>
      <c r="S383" t="s">
        <v>74</v>
      </c>
      <c r="T383" t="s">
        <v>7923</v>
      </c>
      <c r="U383" t="s">
        <v>7924</v>
      </c>
      <c r="V383" t="s">
        <v>7925</v>
      </c>
      <c r="W383" t="s">
        <v>7926</v>
      </c>
      <c r="X383" t="s">
        <v>7927</v>
      </c>
      <c r="Y383" t="s">
        <v>7928</v>
      </c>
      <c r="Z383" t="s">
        <v>7929</v>
      </c>
      <c r="AA383" t="s">
        <v>7930</v>
      </c>
      <c r="AB383" t="s">
        <v>7931</v>
      </c>
      <c r="AC383" t="s">
        <v>7932</v>
      </c>
      <c r="AD383" t="s">
        <v>7933</v>
      </c>
      <c r="AE383" t="s">
        <v>7934</v>
      </c>
      <c r="AF383" t="s">
        <v>74</v>
      </c>
      <c r="AG383">
        <v>72</v>
      </c>
      <c r="AH383">
        <v>5</v>
      </c>
      <c r="AI383">
        <v>5</v>
      </c>
      <c r="AJ383">
        <v>0</v>
      </c>
      <c r="AK383">
        <v>17</v>
      </c>
      <c r="AL383" t="s">
        <v>2572</v>
      </c>
      <c r="AM383" t="s">
        <v>2573</v>
      </c>
      <c r="AN383" t="s">
        <v>2574</v>
      </c>
      <c r="AO383" t="s">
        <v>7935</v>
      </c>
      <c r="AP383" t="s">
        <v>7936</v>
      </c>
      <c r="AQ383" t="s">
        <v>74</v>
      </c>
      <c r="AR383" t="s">
        <v>7937</v>
      </c>
      <c r="AS383" t="s">
        <v>7938</v>
      </c>
      <c r="AT383" t="s">
        <v>7628</v>
      </c>
      <c r="AU383">
        <v>2022</v>
      </c>
      <c r="AV383">
        <v>17</v>
      </c>
      <c r="AW383">
        <v>3</v>
      </c>
      <c r="AX383" t="s">
        <v>74</v>
      </c>
      <c r="AY383" t="s">
        <v>74</v>
      </c>
      <c r="AZ383" t="s">
        <v>74</v>
      </c>
      <c r="BA383" t="s">
        <v>74</v>
      </c>
      <c r="BB383" t="s">
        <v>74</v>
      </c>
      <c r="BC383" t="s">
        <v>74</v>
      </c>
      <c r="BD383">
        <v>36006</v>
      </c>
      <c r="BE383" t="s">
        <v>7939</v>
      </c>
      <c r="BF383" t="str">
        <f>HYPERLINK("http://dx.doi.org/10.1088/1748-3190/ac57f0","http://dx.doi.org/10.1088/1748-3190/ac57f0")</f>
        <v>http://dx.doi.org/10.1088/1748-3190/ac57f0</v>
      </c>
      <c r="BG383" t="s">
        <v>74</v>
      </c>
      <c r="BH383" t="s">
        <v>74</v>
      </c>
      <c r="BI383">
        <v>16</v>
      </c>
      <c r="BJ383" t="s">
        <v>7940</v>
      </c>
      <c r="BK383" t="s">
        <v>101</v>
      </c>
      <c r="BL383" t="s">
        <v>7941</v>
      </c>
      <c r="BM383" t="s">
        <v>7942</v>
      </c>
      <c r="BN383">
        <v>35196266</v>
      </c>
      <c r="BO383" t="s">
        <v>7943</v>
      </c>
      <c r="BP383" t="s">
        <v>74</v>
      </c>
      <c r="BQ383" t="s">
        <v>74</v>
      </c>
      <c r="BR383" t="s">
        <v>103</v>
      </c>
      <c r="BS383" t="s">
        <v>7944</v>
      </c>
      <c r="BT383" t="str">
        <f>HYPERLINK("https%3A%2F%2Fwww.webofscience.com%2Fwos%2Fwoscc%2Ffull-record%2FWOS:000775833600001","View Full Record in Web of Science")</f>
        <v>View Full Record in Web of Science</v>
      </c>
    </row>
    <row r="384" spans="1:72" x14ac:dyDescent="0.15">
      <c r="A384" t="s">
        <v>72</v>
      </c>
      <c r="B384" t="s">
        <v>7945</v>
      </c>
      <c r="C384" t="s">
        <v>74</v>
      </c>
      <c r="D384" t="s">
        <v>74</v>
      </c>
      <c r="E384" t="s">
        <v>74</v>
      </c>
      <c r="F384" t="s">
        <v>7946</v>
      </c>
      <c r="G384" t="s">
        <v>74</v>
      </c>
      <c r="H384" t="s">
        <v>74</v>
      </c>
      <c r="I384" t="s">
        <v>7947</v>
      </c>
      <c r="J384" t="s">
        <v>7948</v>
      </c>
      <c r="K384" t="s">
        <v>74</v>
      </c>
      <c r="L384" t="s">
        <v>74</v>
      </c>
      <c r="M384" t="s">
        <v>78</v>
      </c>
      <c r="N384" t="s">
        <v>79</v>
      </c>
      <c r="O384" t="s">
        <v>74</v>
      </c>
      <c r="P384" t="s">
        <v>74</v>
      </c>
      <c r="Q384" t="s">
        <v>74</v>
      </c>
      <c r="R384" t="s">
        <v>74</v>
      </c>
      <c r="S384" t="s">
        <v>74</v>
      </c>
      <c r="T384" t="s">
        <v>74</v>
      </c>
      <c r="U384" t="s">
        <v>7949</v>
      </c>
      <c r="V384" t="s">
        <v>7950</v>
      </c>
      <c r="W384" t="s">
        <v>7951</v>
      </c>
      <c r="X384" t="s">
        <v>7952</v>
      </c>
      <c r="Y384" t="s">
        <v>7953</v>
      </c>
      <c r="Z384" t="s">
        <v>7954</v>
      </c>
      <c r="AA384" t="s">
        <v>7955</v>
      </c>
      <c r="AB384" t="s">
        <v>7956</v>
      </c>
      <c r="AC384" t="s">
        <v>7957</v>
      </c>
      <c r="AD384" t="s">
        <v>7958</v>
      </c>
      <c r="AE384" t="s">
        <v>7959</v>
      </c>
      <c r="AF384" t="s">
        <v>74</v>
      </c>
      <c r="AG384">
        <v>34</v>
      </c>
      <c r="AH384">
        <v>3</v>
      </c>
      <c r="AI384">
        <v>3</v>
      </c>
      <c r="AJ384">
        <v>0</v>
      </c>
      <c r="AK384">
        <v>2</v>
      </c>
      <c r="AL384" t="s">
        <v>7960</v>
      </c>
      <c r="AM384" t="s">
        <v>7961</v>
      </c>
      <c r="AN384" t="s">
        <v>7962</v>
      </c>
      <c r="AO384" t="s">
        <v>7963</v>
      </c>
      <c r="AP384" t="s">
        <v>74</v>
      </c>
      <c r="AQ384" t="s">
        <v>74</v>
      </c>
      <c r="AR384" t="s">
        <v>7964</v>
      </c>
      <c r="AS384" t="s">
        <v>7965</v>
      </c>
      <c r="AT384" t="s">
        <v>5746</v>
      </c>
      <c r="AU384">
        <v>2022</v>
      </c>
      <c r="AV384">
        <v>35</v>
      </c>
      <c r="AW384" t="s">
        <v>7966</v>
      </c>
      <c r="AX384" t="s">
        <v>74</v>
      </c>
      <c r="AY384" t="s">
        <v>74</v>
      </c>
      <c r="AZ384" t="s">
        <v>74</v>
      </c>
      <c r="BA384" t="s">
        <v>74</v>
      </c>
      <c r="BB384">
        <v>277</v>
      </c>
      <c r="BC384">
        <v>298</v>
      </c>
      <c r="BD384" t="s">
        <v>74</v>
      </c>
      <c r="BE384" t="s">
        <v>74</v>
      </c>
      <c r="BF384" t="s">
        <v>74</v>
      </c>
      <c r="BG384" t="s">
        <v>74</v>
      </c>
      <c r="BH384" t="s">
        <v>74</v>
      </c>
      <c r="BI384">
        <v>22</v>
      </c>
      <c r="BJ384" t="s">
        <v>7967</v>
      </c>
      <c r="BK384" t="s">
        <v>101</v>
      </c>
      <c r="BL384" t="s">
        <v>7968</v>
      </c>
      <c r="BM384" t="s">
        <v>7969</v>
      </c>
      <c r="BN384" t="s">
        <v>74</v>
      </c>
      <c r="BO384" t="s">
        <v>74</v>
      </c>
      <c r="BP384" t="s">
        <v>74</v>
      </c>
      <c r="BQ384" t="s">
        <v>74</v>
      </c>
      <c r="BR384" t="s">
        <v>103</v>
      </c>
      <c r="BS384" t="s">
        <v>7970</v>
      </c>
      <c r="BT384" t="str">
        <f>HYPERLINK("https%3A%2F%2Fwww.webofscience.com%2Fwos%2Fwoscc%2Ffull-record%2FWOS:000768036500001","View Full Record in Web of Science")</f>
        <v>View Full Record in Web of Science</v>
      </c>
    </row>
    <row r="385" spans="1:72" x14ac:dyDescent="0.15">
      <c r="A385" t="s">
        <v>72</v>
      </c>
      <c r="B385" t="s">
        <v>7971</v>
      </c>
      <c r="C385" t="s">
        <v>74</v>
      </c>
      <c r="D385" t="s">
        <v>74</v>
      </c>
      <c r="E385" t="s">
        <v>74</v>
      </c>
      <c r="F385" t="s">
        <v>7972</v>
      </c>
      <c r="G385" t="s">
        <v>74</v>
      </c>
      <c r="H385" t="s">
        <v>74</v>
      </c>
      <c r="I385" t="s">
        <v>7973</v>
      </c>
      <c r="J385" t="s">
        <v>1086</v>
      </c>
      <c r="K385" t="s">
        <v>74</v>
      </c>
      <c r="L385" t="s">
        <v>74</v>
      </c>
      <c r="M385" t="s">
        <v>78</v>
      </c>
      <c r="N385" t="s">
        <v>79</v>
      </c>
      <c r="O385" t="s">
        <v>74</v>
      </c>
      <c r="P385" t="s">
        <v>74</v>
      </c>
      <c r="Q385" t="s">
        <v>74</v>
      </c>
      <c r="R385" t="s">
        <v>74</v>
      </c>
      <c r="S385" t="s">
        <v>74</v>
      </c>
      <c r="T385" t="s">
        <v>7974</v>
      </c>
      <c r="U385" t="s">
        <v>7975</v>
      </c>
      <c r="V385" t="s">
        <v>7976</v>
      </c>
      <c r="W385" t="s">
        <v>7977</v>
      </c>
      <c r="X385" t="s">
        <v>7978</v>
      </c>
      <c r="Y385" t="s">
        <v>7979</v>
      </c>
      <c r="Z385" t="s">
        <v>7980</v>
      </c>
      <c r="AA385" t="s">
        <v>7981</v>
      </c>
      <c r="AB385" t="s">
        <v>7982</v>
      </c>
      <c r="AC385" t="s">
        <v>7983</v>
      </c>
      <c r="AD385" t="s">
        <v>7984</v>
      </c>
      <c r="AE385" t="s">
        <v>7985</v>
      </c>
      <c r="AF385" t="s">
        <v>74</v>
      </c>
      <c r="AG385">
        <v>96</v>
      </c>
      <c r="AH385">
        <v>7</v>
      </c>
      <c r="AI385">
        <v>8</v>
      </c>
      <c r="AJ385">
        <v>2</v>
      </c>
      <c r="AK385">
        <v>22</v>
      </c>
      <c r="AL385" t="s">
        <v>257</v>
      </c>
      <c r="AM385" t="s">
        <v>258</v>
      </c>
      <c r="AN385" t="s">
        <v>259</v>
      </c>
      <c r="AO385" t="s">
        <v>1098</v>
      </c>
      <c r="AP385" t="s">
        <v>1099</v>
      </c>
      <c r="AQ385" t="s">
        <v>74</v>
      </c>
      <c r="AR385" t="s">
        <v>1100</v>
      </c>
      <c r="AS385" t="s">
        <v>1101</v>
      </c>
      <c r="AT385" t="s">
        <v>5933</v>
      </c>
      <c r="AU385">
        <v>2022</v>
      </c>
      <c r="AV385">
        <v>835</v>
      </c>
      <c r="AW385" t="s">
        <v>74</v>
      </c>
      <c r="AX385" t="s">
        <v>74</v>
      </c>
      <c r="AY385" t="s">
        <v>74</v>
      </c>
      <c r="AZ385" t="s">
        <v>74</v>
      </c>
      <c r="BA385" t="s">
        <v>74</v>
      </c>
      <c r="BB385" t="s">
        <v>74</v>
      </c>
      <c r="BC385" t="s">
        <v>74</v>
      </c>
      <c r="BD385">
        <v>155495</v>
      </c>
      <c r="BE385" t="s">
        <v>7986</v>
      </c>
      <c r="BF385" t="str">
        <f>HYPERLINK("http://dx.doi.org/10.1016/j.scitotenv.2022.155495","http://dx.doi.org/10.1016/j.scitotenv.2022.155495")</f>
        <v>http://dx.doi.org/10.1016/j.scitotenv.2022.155495</v>
      </c>
      <c r="BG385" t="s">
        <v>74</v>
      </c>
      <c r="BH385" t="s">
        <v>7987</v>
      </c>
      <c r="BI385">
        <v>10</v>
      </c>
      <c r="BJ385" t="s">
        <v>1104</v>
      </c>
      <c r="BK385" t="s">
        <v>101</v>
      </c>
      <c r="BL385" t="s">
        <v>840</v>
      </c>
      <c r="BM385" t="s">
        <v>7988</v>
      </c>
      <c r="BN385">
        <v>35472357</v>
      </c>
      <c r="BO385" t="s">
        <v>7989</v>
      </c>
      <c r="BP385" t="s">
        <v>74</v>
      </c>
      <c r="BQ385" t="s">
        <v>74</v>
      </c>
      <c r="BR385" t="s">
        <v>103</v>
      </c>
      <c r="BS385" t="s">
        <v>7990</v>
      </c>
      <c r="BT385" t="str">
        <f>HYPERLINK("https%3A%2F%2Fwww.webofscience.com%2Fwos%2Fwoscc%2Ffull-record%2FWOS:000833000700012","View Full Record in Web of Science")</f>
        <v>View Full Record in Web of Science</v>
      </c>
    </row>
    <row r="386" spans="1:72" x14ac:dyDescent="0.15">
      <c r="A386" t="s">
        <v>72</v>
      </c>
      <c r="B386" t="s">
        <v>7991</v>
      </c>
      <c r="C386" t="s">
        <v>74</v>
      </c>
      <c r="D386" t="s">
        <v>74</v>
      </c>
      <c r="E386" t="s">
        <v>74</v>
      </c>
      <c r="F386" t="s">
        <v>7992</v>
      </c>
      <c r="G386" t="s">
        <v>74</v>
      </c>
      <c r="H386" t="s">
        <v>74</v>
      </c>
      <c r="I386" t="s">
        <v>7993</v>
      </c>
      <c r="J386" t="s">
        <v>7994</v>
      </c>
      <c r="K386" t="s">
        <v>74</v>
      </c>
      <c r="L386" t="s">
        <v>74</v>
      </c>
      <c r="M386" t="s">
        <v>78</v>
      </c>
      <c r="N386" t="s">
        <v>79</v>
      </c>
      <c r="O386" t="s">
        <v>74</v>
      </c>
      <c r="P386" t="s">
        <v>74</v>
      </c>
      <c r="Q386" t="s">
        <v>74</v>
      </c>
      <c r="R386" t="s">
        <v>74</v>
      </c>
      <c r="S386" t="s">
        <v>74</v>
      </c>
      <c r="T386" t="s">
        <v>74</v>
      </c>
      <c r="U386" t="s">
        <v>7995</v>
      </c>
      <c r="V386" t="s">
        <v>7996</v>
      </c>
      <c r="W386" t="s">
        <v>7997</v>
      </c>
      <c r="X386" t="s">
        <v>7998</v>
      </c>
      <c r="Y386" t="s">
        <v>7999</v>
      </c>
      <c r="Z386" t="s">
        <v>8000</v>
      </c>
      <c r="AA386" t="s">
        <v>8001</v>
      </c>
      <c r="AB386" t="s">
        <v>8002</v>
      </c>
      <c r="AC386" t="s">
        <v>8003</v>
      </c>
      <c r="AD386" t="s">
        <v>8004</v>
      </c>
      <c r="AE386" t="s">
        <v>8005</v>
      </c>
      <c r="AF386" t="s">
        <v>74</v>
      </c>
      <c r="AG386">
        <v>67</v>
      </c>
      <c r="AH386">
        <v>14</v>
      </c>
      <c r="AI386">
        <v>14</v>
      </c>
      <c r="AJ386">
        <v>3</v>
      </c>
      <c r="AK386">
        <v>3</v>
      </c>
      <c r="AL386" t="s">
        <v>8006</v>
      </c>
      <c r="AM386" t="s">
        <v>401</v>
      </c>
      <c r="AN386" t="s">
        <v>8007</v>
      </c>
      <c r="AO386" t="s">
        <v>8008</v>
      </c>
      <c r="AP386" t="s">
        <v>8009</v>
      </c>
      <c r="AQ386" t="s">
        <v>74</v>
      </c>
      <c r="AR386" t="s">
        <v>8010</v>
      </c>
      <c r="AS386" t="s">
        <v>8011</v>
      </c>
      <c r="AT386" t="s">
        <v>8012</v>
      </c>
      <c r="AU386">
        <v>2022</v>
      </c>
      <c r="AV386">
        <v>2022</v>
      </c>
      <c r="AW386" t="s">
        <v>74</v>
      </c>
      <c r="AX386" t="s">
        <v>74</v>
      </c>
      <c r="AY386" t="s">
        <v>74</v>
      </c>
      <c r="AZ386" t="s">
        <v>74</v>
      </c>
      <c r="BA386" t="s">
        <v>74</v>
      </c>
      <c r="BB386" t="s">
        <v>74</v>
      </c>
      <c r="BC386" t="s">
        <v>74</v>
      </c>
      <c r="BD386">
        <v>4430032</v>
      </c>
      <c r="BE386" t="s">
        <v>8013</v>
      </c>
      <c r="BF386" t="str">
        <f>HYPERLINK("http://dx.doi.org/10.1155/2022/4430032","http://dx.doi.org/10.1155/2022/4430032")</f>
        <v>http://dx.doi.org/10.1155/2022/4430032</v>
      </c>
      <c r="BG386" t="s">
        <v>74</v>
      </c>
      <c r="BH386" t="s">
        <v>74</v>
      </c>
      <c r="BI386">
        <v>14</v>
      </c>
      <c r="BJ386" t="s">
        <v>8014</v>
      </c>
      <c r="BK386" t="s">
        <v>101</v>
      </c>
      <c r="BL386" t="s">
        <v>8014</v>
      </c>
      <c r="BM386" t="s">
        <v>8015</v>
      </c>
      <c r="BN386">
        <v>35535360</v>
      </c>
      <c r="BO386" t="s">
        <v>1533</v>
      </c>
      <c r="BP386" t="s">
        <v>74</v>
      </c>
      <c r="BQ386" t="s">
        <v>74</v>
      </c>
      <c r="BR386" t="s">
        <v>103</v>
      </c>
      <c r="BS386" t="s">
        <v>8016</v>
      </c>
      <c r="BT386" t="str">
        <f>HYPERLINK("https%3A%2F%2Fwww.webofscience.com%2Fwos%2Fwoscc%2Ffull-record%2FWOS:000795950200005","View Full Record in Web of Science")</f>
        <v>View Full Record in Web of Science</v>
      </c>
    </row>
    <row r="387" spans="1:72" x14ac:dyDescent="0.15">
      <c r="A387" t="s">
        <v>72</v>
      </c>
      <c r="B387" t="s">
        <v>8017</v>
      </c>
      <c r="C387" t="s">
        <v>74</v>
      </c>
      <c r="D387" t="s">
        <v>74</v>
      </c>
      <c r="E387" t="s">
        <v>74</v>
      </c>
      <c r="F387" t="s">
        <v>8018</v>
      </c>
      <c r="G387" t="s">
        <v>74</v>
      </c>
      <c r="H387" t="s">
        <v>74</v>
      </c>
      <c r="I387" t="s">
        <v>8019</v>
      </c>
      <c r="J387" t="s">
        <v>8020</v>
      </c>
      <c r="K387" t="s">
        <v>74</v>
      </c>
      <c r="L387" t="s">
        <v>74</v>
      </c>
      <c r="M387" t="s">
        <v>78</v>
      </c>
      <c r="N387" t="s">
        <v>79</v>
      </c>
      <c r="O387" t="s">
        <v>74</v>
      </c>
      <c r="P387" t="s">
        <v>74</v>
      </c>
      <c r="Q387" t="s">
        <v>74</v>
      </c>
      <c r="R387" t="s">
        <v>74</v>
      </c>
      <c r="S387" t="s">
        <v>74</v>
      </c>
      <c r="T387" t="s">
        <v>8021</v>
      </c>
      <c r="U387" t="s">
        <v>8022</v>
      </c>
      <c r="V387" t="s">
        <v>8023</v>
      </c>
      <c r="W387" t="s">
        <v>8024</v>
      </c>
      <c r="X387" t="s">
        <v>8025</v>
      </c>
      <c r="Y387" t="s">
        <v>8026</v>
      </c>
      <c r="Z387" t="s">
        <v>8027</v>
      </c>
      <c r="AA387" t="s">
        <v>8028</v>
      </c>
      <c r="AB387" t="s">
        <v>8029</v>
      </c>
      <c r="AC387" t="s">
        <v>8030</v>
      </c>
      <c r="AD387" t="s">
        <v>8031</v>
      </c>
      <c r="AE387" t="s">
        <v>8032</v>
      </c>
      <c r="AF387" t="s">
        <v>74</v>
      </c>
      <c r="AG387">
        <v>83</v>
      </c>
      <c r="AH387">
        <v>5</v>
      </c>
      <c r="AI387">
        <v>5</v>
      </c>
      <c r="AJ387">
        <v>2</v>
      </c>
      <c r="AK387">
        <v>5</v>
      </c>
      <c r="AL387" t="s">
        <v>91</v>
      </c>
      <c r="AM387" t="s">
        <v>92</v>
      </c>
      <c r="AN387" t="s">
        <v>93</v>
      </c>
      <c r="AO387" t="s">
        <v>74</v>
      </c>
      <c r="AP387" t="s">
        <v>8033</v>
      </c>
      <c r="AQ387" t="s">
        <v>74</v>
      </c>
      <c r="AR387" t="s">
        <v>8034</v>
      </c>
      <c r="AS387" t="s">
        <v>8035</v>
      </c>
      <c r="AT387" t="s">
        <v>206</v>
      </c>
      <c r="AU387">
        <v>2022</v>
      </c>
      <c r="AV387">
        <v>4</v>
      </c>
      <c r="AW387">
        <v>7</v>
      </c>
      <c r="AX387" t="s">
        <v>74</v>
      </c>
      <c r="AY387" t="s">
        <v>74</v>
      </c>
      <c r="AZ387" t="s">
        <v>74</v>
      </c>
      <c r="BA387" t="s">
        <v>74</v>
      </c>
      <c r="BB387" t="s">
        <v>74</v>
      </c>
      <c r="BC387" t="s">
        <v>74</v>
      </c>
      <c r="BD387" t="s">
        <v>8036</v>
      </c>
      <c r="BE387" t="s">
        <v>8037</v>
      </c>
      <c r="BF387" t="str">
        <f>HYPERLINK("http://dx.doi.org/10.1111/csp2.12704","http://dx.doi.org/10.1111/csp2.12704")</f>
        <v>http://dx.doi.org/10.1111/csp2.12704</v>
      </c>
      <c r="BG387" t="s">
        <v>74</v>
      </c>
      <c r="BH387" t="s">
        <v>7987</v>
      </c>
      <c r="BI387">
        <v>20</v>
      </c>
      <c r="BJ387" t="s">
        <v>8038</v>
      </c>
      <c r="BK387" t="s">
        <v>101</v>
      </c>
      <c r="BL387" t="s">
        <v>8039</v>
      </c>
      <c r="BM387" t="s">
        <v>8040</v>
      </c>
      <c r="BN387" t="s">
        <v>74</v>
      </c>
      <c r="BO387" t="s">
        <v>2709</v>
      </c>
      <c r="BP387" t="s">
        <v>74</v>
      </c>
      <c r="BQ387" t="s">
        <v>74</v>
      </c>
      <c r="BR387" t="s">
        <v>103</v>
      </c>
      <c r="BS387" t="s">
        <v>8041</v>
      </c>
      <c r="BT387" t="str">
        <f>HYPERLINK("https%3A%2F%2Fwww.webofscience.com%2Fwos%2Fwoscc%2Ffull-record%2FWOS:000789581200001","View Full Record in Web of Science")</f>
        <v>View Full Record in Web of Science</v>
      </c>
    </row>
    <row r="388" spans="1:72" x14ac:dyDescent="0.15">
      <c r="A388" t="s">
        <v>72</v>
      </c>
      <c r="B388" t="s">
        <v>8042</v>
      </c>
      <c r="C388" t="s">
        <v>74</v>
      </c>
      <c r="D388" t="s">
        <v>74</v>
      </c>
      <c r="E388" t="s">
        <v>74</v>
      </c>
      <c r="F388" t="s">
        <v>8043</v>
      </c>
      <c r="G388" t="s">
        <v>74</v>
      </c>
      <c r="H388" t="s">
        <v>74</v>
      </c>
      <c r="I388" t="s">
        <v>8044</v>
      </c>
      <c r="J388" t="s">
        <v>1086</v>
      </c>
      <c r="K388" t="s">
        <v>74</v>
      </c>
      <c r="L388" t="s">
        <v>74</v>
      </c>
      <c r="M388" t="s">
        <v>78</v>
      </c>
      <c r="N388" t="s">
        <v>79</v>
      </c>
      <c r="O388" t="s">
        <v>74</v>
      </c>
      <c r="P388" t="s">
        <v>74</v>
      </c>
      <c r="Q388" t="s">
        <v>74</v>
      </c>
      <c r="R388" t="s">
        <v>74</v>
      </c>
      <c r="S388" t="s">
        <v>74</v>
      </c>
      <c r="T388" t="s">
        <v>8045</v>
      </c>
      <c r="U388" t="s">
        <v>8046</v>
      </c>
      <c r="V388" t="s">
        <v>8047</v>
      </c>
      <c r="W388" t="s">
        <v>8048</v>
      </c>
      <c r="X388" t="s">
        <v>8049</v>
      </c>
      <c r="Y388" t="s">
        <v>8050</v>
      </c>
      <c r="Z388" t="s">
        <v>8051</v>
      </c>
      <c r="AA388" t="s">
        <v>8052</v>
      </c>
      <c r="AB388" t="s">
        <v>8053</v>
      </c>
      <c r="AC388" t="s">
        <v>8054</v>
      </c>
      <c r="AD388" t="s">
        <v>8055</v>
      </c>
      <c r="AE388" t="s">
        <v>8056</v>
      </c>
      <c r="AF388" t="s">
        <v>74</v>
      </c>
      <c r="AG388">
        <v>58</v>
      </c>
      <c r="AH388">
        <v>1</v>
      </c>
      <c r="AI388">
        <v>1</v>
      </c>
      <c r="AJ388">
        <v>4</v>
      </c>
      <c r="AK388">
        <v>25</v>
      </c>
      <c r="AL388" t="s">
        <v>257</v>
      </c>
      <c r="AM388" t="s">
        <v>258</v>
      </c>
      <c r="AN388" t="s">
        <v>259</v>
      </c>
      <c r="AO388" t="s">
        <v>1098</v>
      </c>
      <c r="AP388" t="s">
        <v>1099</v>
      </c>
      <c r="AQ388" t="s">
        <v>74</v>
      </c>
      <c r="AR388" t="s">
        <v>1100</v>
      </c>
      <c r="AS388" t="s">
        <v>1101</v>
      </c>
      <c r="AT388" t="s">
        <v>5933</v>
      </c>
      <c r="AU388">
        <v>2022</v>
      </c>
      <c r="AV388">
        <v>835</v>
      </c>
      <c r="AW388" t="s">
        <v>74</v>
      </c>
      <c r="AX388" t="s">
        <v>74</v>
      </c>
      <c r="AY388" t="s">
        <v>74</v>
      </c>
      <c r="AZ388" t="s">
        <v>74</v>
      </c>
      <c r="BA388" t="s">
        <v>74</v>
      </c>
      <c r="BB388" t="s">
        <v>74</v>
      </c>
      <c r="BC388" t="s">
        <v>74</v>
      </c>
      <c r="BD388">
        <v>155449</v>
      </c>
      <c r="BE388" t="s">
        <v>8057</v>
      </c>
      <c r="BF388" t="str">
        <f>HYPERLINK("http://dx.doi.org/10.1016/j.scitotenv.2022.155449","http://dx.doi.org/10.1016/j.scitotenv.2022.155449")</f>
        <v>http://dx.doi.org/10.1016/j.scitotenv.2022.155449</v>
      </c>
      <c r="BG388" t="s">
        <v>74</v>
      </c>
      <c r="BH388" t="s">
        <v>7987</v>
      </c>
      <c r="BI388">
        <v>9</v>
      </c>
      <c r="BJ388" t="s">
        <v>1104</v>
      </c>
      <c r="BK388" t="s">
        <v>101</v>
      </c>
      <c r="BL388" t="s">
        <v>840</v>
      </c>
      <c r="BM388" t="s">
        <v>7988</v>
      </c>
      <c r="BN388">
        <v>35483473</v>
      </c>
      <c r="BO388" t="s">
        <v>74</v>
      </c>
      <c r="BP388" t="s">
        <v>74</v>
      </c>
      <c r="BQ388" t="s">
        <v>74</v>
      </c>
      <c r="BR388" t="s">
        <v>103</v>
      </c>
      <c r="BS388" t="s">
        <v>8058</v>
      </c>
      <c r="BT388" t="str">
        <f>HYPERLINK("https%3A%2F%2Fwww.webofscience.com%2Fwos%2Fwoscc%2Ffull-record%2FWOS:000833000700004","View Full Record in Web of Science")</f>
        <v>View Full Record in Web of Science</v>
      </c>
    </row>
    <row r="389" spans="1:72" x14ac:dyDescent="0.15">
      <c r="A389" t="s">
        <v>72</v>
      </c>
      <c r="B389" t="s">
        <v>8059</v>
      </c>
      <c r="C389" t="s">
        <v>74</v>
      </c>
      <c r="D389" t="s">
        <v>74</v>
      </c>
      <c r="E389" t="s">
        <v>74</v>
      </c>
      <c r="F389" t="s">
        <v>8060</v>
      </c>
      <c r="G389" t="s">
        <v>74</v>
      </c>
      <c r="H389" t="s">
        <v>74</v>
      </c>
      <c r="I389" t="s">
        <v>8061</v>
      </c>
      <c r="J389" t="s">
        <v>546</v>
      </c>
      <c r="K389" t="s">
        <v>74</v>
      </c>
      <c r="L389" t="s">
        <v>74</v>
      </c>
      <c r="M389" t="s">
        <v>78</v>
      </c>
      <c r="N389" t="s">
        <v>79</v>
      </c>
      <c r="O389" t="s">
        <v>74</v>
      </c>
      <c r="P389" t="s">
        <v>74</v>
      </c>
      <c r="Q389" t="s">
        <v>74</v>
      </c>
      <c r="R389" t="s">
        <v>74</v>
      </c>
      <c r="S389" t="s">
        <v>74</v>
      </c>
      <c r="T389" t="s">
        <v>8062</v>
      </c>
      <c r="U389" t="s">
        <v>8063</v>
      </c>
      <c r="V389" t="s">
        <v>8064</v>
      </c>
      <c r="W389" t="s">
        <v>8065</v>
      </c>
      <c r="X389" t="s">
        <v>893</v>
      </c>
      <c r="Y389" t="s">
        <v>8066</v>
      </c>
      <c r="Z389" t="s">
        <v>8067</v>
      </c>
      <c r="AA389" t="s">
        <v>8068</v>
      </c>
      <c r="AB389" t="s">
        <v>8069</v>
      </c>
      <c r="AC389" t="s">
        <v>8070</v>
      </c>
      <c r="AD389" t="s">
        <v>8071</v>
      </c>
      <c r="AE389" t="s">
        <v>8072</v>
      </c>
      <c r="AF389" t="s">
        <v>74</v>
      </c>
      <c r="AG389">
        <v>46</v>
      </c>
      <c r="AH389">
        <v>0</v>
      </c>
      <c r="AI389">
        <v>0</v>
      </c>
      <c r="AJ389">
        <v>7</v>
      </c>
      <c r="AK389">
        <v>13</v>
      </c>
      <c r="AL389" t="s">
        <v>285</v>
      </c>
      <c r="AM389" t="s">
        <v>286</v>
      </c>
      <c r="AN389" t="s">
        <v>287</v>
      </c>
      <c r="AO389" t="s">
        <v>74</v>
      </c>
      <c r="AP389" t="s">
        <v>558</v>
      </c>
      <c r="AQ389" t="s">
        <v>74</v>
      </c>
      <c r="AR389" t="s">
        <v>559</v>
      </c>
      <c r="AS389" t="s">
        <v>560</v>
      </c>
      <c r="AT389" t="s">
        <v>8073</v>
      </c>
      <c r="AU389">
        <v>2022</v>
      </c>
      <c r="AV389">
        <v>9</v>
      </c>
      <c r="AW389" t="s">
        <v>74</v>
      </c>
      <c r="AX389" t="s">
        <v>74</v>
      </c>
      <c r="AY389" t="s">
        <v>74</v>
      </c>
      <c r="AZ389" t="s">
        <v>74</v>
      </c>
      <c r="BA389" t="s">
        <v>74</v>
      </c>
      <c r="BB389" t="s">
        <v>74</v>
      </c>
      <c r="BC389" t="s">
        <v>74</v>
      </c>
      <c r="BD389">
        <v>869252</v>
      </c>
      <c r="BE389" t="s">
        <v>8074</v>
      </c>
      <c r="BF389" t="str">
        <f>HYPERLINK("http://dx.doi.org/10.3389/fmars.2022.869252","http://dx.doi.org/10.3389/fmars.2022.869252")</f>
        <v>http://dx.doi.org/10.3389/fmars.2022.869252</v>
      </c>
      <c r="BG389" t="s">
        <v>74</v>
      </c>
      <c r="BH389" t="s">
        <v>74</v>
      </c>
      <c r="BI389">
        <v>10</v>
      </c>
      <c r="BJ389" t="s">
        <v>563</v>
      </c>
      <c r="BK389" t="s">
        <v>101</v>
      </c>
      <c r="BL389" t="s">
        <v>564</v>
      </c>
      <c r="BM389" t="s">
        <v>8075</v>
      </c>
      <c r="BN389" t="s">
        <v>74</v>
      </c>
      <c r="BO389" t="s">
        <v>438</v>
      </c>
      <c r="BP389" t="s">
        <v>74</v>
      </c>
      <c r="BQ389" t="s">
        <v>74</v>
      </c>
      <c r="BR389" t="s">
        <v>103</v>
      </c>
      <c r="BS389" t="s">
        <v>8076</v>
      </c>
      <c r="BT389" t="str">
        <f>HYPERLINK("https%3A%2F%2Fwww.webofscience.com%2Fwos%2Fwoscc%2Ffull-record%2FWOS:000796459100001","View Full Record in Web of Science")</f>
        <v>View Full Record in Web of Science</v>
      </c>
    </row>
    <row r="390" spans="1:72" x14ac:dyDescent="0.15">
      <c r="A390" t="s">
        <v>72</v>
      </c>
      <c r="B390" t="s">
        <v>8077</v>
      </c>
      <c r="C390" t="s">
        <v>74</v>
      </c>
      <c r="D390" t="s">
        <v>74</v>
      </c>
      <c r="E390" t="s">
        <v>74</v>
      </c>
      <c r="F390" t="s">
        <v>8078</v>
      </c>
      <c r="G390" t="s">
        <v>74</v>
      </c>
      <c r="H390" t="s">
        <v>74</v>
      </c>
      <c r="I390" t="s">
        <v>8079</v>
      </c>
      <c r="J390" t="s">
        <v>8080</v>
      </c>
      <c r="K390" t="s">
        <v>74</v>
      </c>
      <c r="L390" t="s">
        <v>74</v>
      </c>
      <c r="M390" t="s">
        <v>78</v>
      </c>
      <c r="N390" t="s">
        <v>79</v>
      </c>
      <c r="O390" t="s">
        <v>74</v>
      </c>
      <c r="P390" t="s">
        <v>74</v>
      </c>
      <c r="Q390" t="s">
        <v>74</v>
      </c>
      <c r="R390" t="s">
        <v>74</v>
      </c>
      <c r="S390" t="s">
        <v>74</v>
      </c>
      <c r="T390" t="s">
        <v>8081</v>
      </c>
      <c r="U390" t="s">
        <v>8082</v>
      </c>
      <c r="V390" t="s">
        <v>8083</v>
      </c>
      <c r="W390" t="s">
        <v>8084</v>
      </c>
      <c r="X390" t="s">
        <v>8085</v>
      </c>
      <c r="Y390" t="s">
        <v>8086</v>
      </c>
      <c r="Z390" t="s">
        <v>8087</v>
      </c>
      <c r="AA390" t="s">
        <v>8088</v>
      </c>
      <c r="AB390" t="s">
        <v>74</v>
      </c>
      <c r="AC390" t="s">
        <v>74</v>
      </c>
      <c r="AD390" t="s">
        <v>74</v>
      </c>
      <c r="AE390" t="s">
        <v>74</v>
      </c>
      <c r="AF390" t="s">
        <v>74</v>
      </c>
      <c r="AG390">
        <v>55</v>
      </c>
      <c r="AH390">
        <v>1</v>
      </c>
      <c r="AI390">
        <v>1</v>
      </c>
      <c r="AJ390">
        <v>1</v>
      </c>
      <c r="AK390">
        <v>11</v>
      </c>
      <c r="AL390" t="s">
        <v>285</v>
      </c>
      <c r="AM390" t="s">
        <v>286</v>
      </c>
      <c r="AN390" t="s">
        <v>287</v>
      </c>
      <c r="AO390" t="s">
        <v>8089</v>
      </c>
      <c r="AP390" t="s">
        <v>74</v>
      </c>
      <c r="AQ390" t="s">
        <v>74</v>
      </c>
      <c r="AR390" t="s">
        <v>8090</v>
      </c>
      <c r="AS390" t="s">
        <v>8091</v>
      </c>
      <c r="AT390" t="s">
        <v>8073</v>
      </c>
      <c r="AU390">
        <v>2022</v>
      </c>
      <c r="AV390">
        <v>9</v>
      </c>
      <c r="AW390" t="s">
        <v>74</v>
      </c>
      <c r="AX390" t="s">
        <v>74</v>
      </c>
      <c r="AY390" t="s">
        <v>74</v>
      </c>
      <c r="AZ390" t="s">
        <v>74</v>
      </c>
      <c r="BA390" t="s">
        <v>74</v>
      </c>
      <c r="BB390" t="s">
        <v>74</v>
      </c>
      <c r="BC390" t="s">
        <v>74</v>
      </c>
      <c r="BD390">
        <v>866023</v>
      </c>
      <c r="BE390" t="s">
        <v>8092</v>
      </c>
      <c r="BF390" t="str">
        <f>HYPERLINK("http://dx.doi.org/10.3389/fspas.2022.866023","http://dx.doi.org/10.3389/fspas.2022.866023")</f>
        <v>http://dx.doi.org/10.3389/fspas.2022.866023</v>
      </c>
      <c r="BG390" t="s">
        <v>74</v>
      </c>
      <c r="BH390" t="s">
        <v>74</v>
      </c>
      <c r="BI390">
        <v>12</v>
      </c>
      <c r="BJ390" t="s">
        <v>2275</v>
      </c>
      <c r="BK390" t="s">
        <v>101</v>
      </c>
      <c r="BL390" t="s">
        <v>2275</v>
      </c>
      <c r="BM390" t="s">
        <v>8093</v>
      </c>
      <c r="BN390" t="s">
        <v>74</v>
      </c>
      <c r="BO390" t="s">
        <v>438</v>
      </c>
      <c r="BP390" t="s">
        <v>74</v>
      </c>
      <c r="BQ390" t="s">
        <v>74</v>
      </c>
      <c r="BR390" t="s">
        <v>103</v>
      </c>
      <c r="BS390" t="s">
        <v>8094</v>
      </c>
      <c r="BT390" t="str">
        <f>HYPERLINK("https%3A%2F%2Fwww.webofscience.com%2Fwos%2Fwoscc%2Ffull-record%2FWOS:000796325300001","View Full Record in Web of Science")</f>
        <v>View Full Record in Web of Science</v>
      </c>
    </row>
    <row r="391" spans="1:72" x14ac:dyDescent="0.15">
      <c r="A391" t="s">
        <v>72</v>
      </c>
      <c r="B391" t="s">
        <v>8095</v>
      </c>
      <c r="C391" t="s">
        <v>74</v>
      </c>
      <c r="D391" t="s">
        <v>74</v>
      </c>
      <c r="E391" t="s">
        <v>74</v>
      </c>
      <c r="F391" t="s">
        <v>8096</v>
      </c>
      <c r="G391" t="s">
        <v>74</v>
      </c>
      <c r="H391" t="s">
        <v>74</v>
      </c>
      <c r="I391" t="s">
        <v>8097</v>
      </c>
      <c r="J391" t="s">
        <v>546</v>
      </c>
      <c r="K391" t="s">
        <v>74</v>
      </c>
      <c r="L391" t="s">
        <v>74</v>
      </c>
      <c r="M391" t="s">
        <v>78</v>
      </c>
      <c r="N391" t="s">
        <v>161</v>
      </c>
      <c r="O391" t="s">
        <v>74</v>
      </c>
      <c r="P391" t="s">
        <v>74</v>
      </c>
      <c r="Q391" t="s">
        <v>74</v>
      </c>
      <c r="R391" t="s">
        <v>74</v>
      </c>
      <c r="S391" t="s">
        <v>74</v>
      </c>
      <c r="T391" t="s">
        <v>8098</v>
      </c>
      <c r="U391" t="s">
        <v>8099</v>
      </c>
      <c r="V391" t="s">
        <v>8100</v>
      </c>
      <c r="W391" t="s">
        <v>8101</v>
      </c>
      <c r="X391" t="s">
        <v>8102</v>
      </c>
      <c r="Y391" t="s">
        <v>8103</v>
      </c>
      <c r="Z391" t="s">
        <v>8104</v>
      </c>
      <c r="AA391" t="s">
        <v>74</v>
      </c>
      <c r="AB391" t="s">
        <v>8105</v>
      </c>
      <c r="AC391" t="s">
        <v>74</v>
      </c>
      <c r="AD391" t="s">
        <v>74</v>
      </c>
      <c r="AE391" t="s">
        <v>74</v>
      </c>
      <c r="AF391" t="s">
        <v>74</v>
      </c>
      <c r="AG391">
        <v>131</v>
      </c>
      <c r="AH391">
        <v>7</v>
      </c>
      <c r="AI391">
        <v>8</v>
      </c>
      <c r="AJ391">
        <v>19</v>
      </c>
      <c r="AK391">
        <v>103</v>
      </c>
      <c r="AL391" t="s">
        <v>285</v>
      </c>
      <c r="AM391" t="s">
        <v>286</v>
      </c>
      <c r="AN391" t="s">
        <v>287</v>
      </c>
      <c r="AO391" t="s">
        <v>74</v>
      </c>
      <c r="AP391" t="s">
        <v>558</v>
      </c>
      <c r="AQ391" t="s">
        <v>74</v>
      </c>
      <c r="AR391" t="s">
        <v>559</v>
      </c>
      <c r="AS391" t="s">
        <v>560</v>
      </c>
      <c r="AT391" t="s">
        <v>8073</v>
      </c>
      <c r="AU391">
        <v>2022</v>
      </c>
      <c r="AV391">
        <v>9</v>
      </c>
      <c r="AW391" t="s">
        <v>74</v>
      </c>
      <c r="AX391" t="s">
        <v>74</v>
      </c>
      <c r="AY391" t="s">
        <v>74</v>
      </c>
      <c r="AZ391" t="s">
        <v>74</v>
      </c>
      <c r="BA391" t="s">
        <v>74</v>
      </c>
      <c r="BB391" t="s">
        <v>74</v>
      </c>
      <c r="BC391" t="s">
        <v>74</v>
      </c>
      <c r="BD391">
        <v>851448</v>
      </c>
      <c r="BE391" t="s">
        <v>8106</v>
      </c>
      <c r="BF391" t="str">
        <f>HYPERLINK("http://dx.doi.org/10.3389/fmars.2022.851448","http://dx.doi.org/10.3389/fmars.2022.851448")</f>
        <v>http://dx.doi.org/10.3389/fmars.2022.851448</v>
      </c>
      <c r="BG391" t="s">
        <v>74</v>
      </c>
      <c r="BH391" t="s">
        <v>74</v>
      </c>
      <c r="BI391">
        <v>16</v>
      </c>
      <c r="BJ391" t="s">
        <v>563</v>
      </c>
      <c r="BK391" t="s">
        <v>101</v>
      </c>
      <c r="BL391" t="s">
        <v>564</v>
      </c>
      <c r="BM391" t="s">
        <v>8107</v>
      </c>
      <c r="BN391" t="s">
        <v>74</v>
      </c>
      <c r="BO391" t="s">
        <v>438</v>
      </c>
      <c r="BP391" t="s">
        <v>74</v>
      </c>
      <c r="BQ391" t="s">
        <v>74</v>
      </c>
      <c r="BR391" t="s">
        <v>103</v>
      </c>
      <c r="BS391" t="s">
        <v>8108</v>
      </c>
      <c r="BT391" t="str">
        <f>HYPERLINK("https%3A%2F%2Fwww.webofscience.com%2Fwos%2Fwoscc%2Ffull-record%2FWOS:000795635500001","View Full Record in Web of Science")</f>
        <v>View Full Record in Web of Science</v>
      </c>
    </row>
    <row r="392" spans="1:72" x14ac:dyDescent="0.15">
      <c r="A392" t="s">
        <v>72</v>
      </c>
      <c r="B392" t="s">
        <v>8109</v>
      </c>
      <c r="C392" t="s">
        <v>74</v>
      </c>
      <c r="D392" t="s">
        <v>74</v>
      </c>
      <c r="E392" t="s">
        <v>74</v>
      </c>
      <c r="F392" t="s">
        <v>8110</v>
      </c>
      <c r="G392" t="s">
        <v>74</v>
      </c>
      <c r="H392" t="s">
        <v>74</v>
      </c>
      <c r="I392" t="s">
        <v>8111</v>
      </c>
      <c r="J392" t="s">
        <v>692</v>
      </c>
      <c r="K392" t="s">
        <v>74</v>
      </c>
      <c r="L392" t="s">
        <v>74</v>
      </c>
      <c r="M392" t="s">
        <v>78</v>
      </c>
      <c r="N392" t="s">
        <v>79</v>
      </c>
      <c r="O392" t="s">
        <v>74</v>
      </c>
      <c r="P392" t="s">
        <v>74</v>
      </c>
      <c r="Q392" t="s">
        <v>74</v>
      </c>
      <c r="R392" t="s">
        <v>74</v>
      </c>
      <c r="S392" t="s">
        <v>74</v>
      </c>
      <c r="T392" t="s">
        <v>8112</v>
      </c>
      <c r="U392" t="s">
        <v>74</v>
      </c>
      <c r="V392" t="s">
        <v>8113</v>
      </c>
      <c r="W392" t="s">
        <v>74</v>
      </c>
      <c r="X392" t="s">
        <v>74</v>
      </c>
      <c r="Y392" t="s">
        <v>74</v>
      </c>
      <c r="Z392" t="s">
        <v>8114</v>
      </c>
      <c r="AA392" t="s">
        <v>74</v>
      </c>
      <c r="AB392" t="s">
        <v>8115</v>
      </c>
      <c r="AC392" t="s">
        <v>74</v>
      </c>
      <c r="AD392" t="s">
        <v>74</v>
      </c>
      <c r="AE392" t="s">
        <v>74</v>
      </c>
      <c r="AF392" t="s">
        <v>74</v>
      </c>
      <c r="AG392">
        <v>20</v>
      </c>
      <c r="AH392">
        <v>0</v>
      </c>
      <c r="AI392">
        <v>0</v>
      </c>
      <c r="AJ392">
        <v>1</v>
      </c>
      <c r="AK392">
        <v>6</v>
      </c>
      <c r="AL392" t="s">
        <v>428</v>
      </c>
      <c r="AM392" t="s">
        <v>531</v>
      </c>
      <c r="AN392" t="s">
        <v>748</v>
      </c>
      <c r="AO392" t="s">
        <v>703</v>
      </c>
      <c r="AP392" t="s">
        <v>704</v>
      </c>
      <c r="AQ392" t="s">
        <v>74</v>
      </c>
      <c r="AR392" t="s">
        <v>705</v>
      </c>
      <c r="AS392" t="s">
        <v>706</v>
      </c>
      <c r="AT392" t="s">
        <v>537</v>
      </c>
      <c r="AU392">
        <v>2022</v>
      </c>
      <c r="AV392">
        <v>34</v>
      </c>
      <c r="AW392">
        <v>3</v>
      </c>
      <c r="AX392" t="s">
        <v>74</v>
      </c>
      <c r="AY392" t="s">
        <v>74</v>
      </c>
      <c r="AZ392" t="s">
        <v>74</v>
      </c>
      <c r="BA392" t="s">
        <v>74</v>
      </c>
      <c r="BB392">
        <v>266</v>
      </c>
      <c r="BC392">
        <v>278</v>
      </c>
      <c r="BD392" t="s">
        <v>8116</v>
      </c>
      <c r="BE392" t="s">
        <v>8117</v>
      </c>
      <c r="BF392" t="str">
        <f>HYPERLINK("http://dx.doi.org/10.1017/S0954102022000141","http://dx.doi.org/10.1017/S0954102022000141")</f>
        <v>http://dx.doi.org/10.1017/S0954102022000141</v>
      </c>
      <c r="BG392" t="s">
        <v>74</v>
      </c>
      <c r="BH392" t="s">
        <v>7987</v>
      </c>
      <c r="BI392">
        <v>13</v>
      </c>
      <c r="BJ392" t="s">
        <v>708</v>
      </c>
      <c r="BK392" t="s">
        <v>101</v>
      </c>
      <c r="BL392" t="s">
        <v>709</v>
      </c>
      <c r="BM392" t="s">
        <v>1570</v>
      </c>
      <c r="BN392" t="s">
        <v>74</v>
      </c>
      <c r="BO392" t="s">
        <v>74</v>
      </c>
      <c r="BP392" t="s">
        <v>74</v>
      </c>
      <c r="BQ392" t="s">
        <v>74</v>
      </c>
      <c r="BR392" t="s">
        <v>103</v>
      </c>
      <c r="BS392" t="s">
        <v>8118</v>
      </c>
      <c r="BT392" t="str">
        <f>HYPERLINK("https%3A%2F%2Fwww.webofscience.com%2Fwos%2Fwoscc%2Ffull-record%2FWOS:000792170000001","View Full Record in Web of Science")</f>
        <v>View Full Record in Web of Science</v>
      </c>
    </row>
    <row r="393" spans="1:72" x14ac:dyDescent="0.15">
      <c r="A393" t="s">
        <v>72</v>
      </c>
      <c r="B393" t="s">
        <v>8119</v>
      </c>
      <c r="C393" t="s">
        <v>74</v>
      </c>
      <c r="D393" t="s">
        <v>74</v>
      </c>
      <c r="E393" t="s">
        <v>74</v>
      </c>
      <c r="F393" t="s">
        <v>8120</v>
      </c>
      <c r="G393" t="s">
        <v>74</v>
      </c>
      <c r="H393" t="s">
        <v>74</v>
      </c>
      <c r="I393" t="s">
        <v>8121</v>
      </c>
      <c r="J393" t="s">
        <v>8122</v>
      </c>
      <c r="K393" t="s">
        <v>74</v>
      </c>
      <c r="L393" t="s">
        <v>74</v>
      </c>
      <c r="M393" t="s">
        <v>78</v>
      </c>
      <c r="N393" t="s">
        <v>79</v>
      </c>
      <c r="O393" t="s">
        <v>74</v>
      </c>
      <c r="P393" t="s">
        <v>74</v>
      </c>
      <c r="Q393" t="s">
        <v>74</v>
      </c>
      <c r="R393" t="s">
        <v>74</v>
      </c>
      <c r="S393" t="s">
        <v>74</v>
      </c>
      <c r="T393" t="s">
        <v>8123</v>
      </c>
      <c r="U393" t="s">
        <v>8124</v>
      </c>
      <c r="V393" t="s">
        <v>8125</v>
      </c>
      <c r="W393" t="s">
        <v>8126</v>
      </c>
      <c r="X393" t="s">
        <v>8127</v>
      </c>
      <c r="Y393" t="s">
        <v>8128</v>
      </c>
      <c r="Z393" t="s">
        <v>8129</v>
      </c>
      <c r="AA393" t="s">
        <v>8130</v>
      </c>
      <c r="AB393" t="s">
        <v>74</v>
      </c>
      <c r="AC393" t="s">
        <v>8131</v>
      </c>
      <c r="AD393" t="s">
        <v>8132</v>
      </c>
      <c r="AE393" t="s">
        <v>8133</v>
      </c>
      <c r="AF393" t="s">
        <v>74</v>
      </c>
      <c r="AG393">
        <v>79</v>
      </c>
      <c r="AH393">
        <v>3</v>
      </c>
      <c r="AI393">
        <v>3</v>
      </c>
      <c r="AJ393">
        <v>7</v>
      </c>
      <c r="AK393">
        <v>27</v>
      </c>
      <c r="AL393" t="s">
        <v>530</v>
      </c>
      <c r="AM393" t="s">
        <v>531</v>
      </c>
      <c r="AN393" t="s">
        <v>532</v>
      </c>
      <c r="AO393" t="s">
        <v>8134</v>
      </c>
      <c r="AP393" t="s">
        <v>8135</v>
      </c>
      <c r="AQ393" t="s">
        <v>74</v>
      </c>
      <c r="AR393" t="s">
        <v>8136</v>
      </c>
      <c r="AS393" t="s">
        <v>8137</v>
      </c>
      <c r="AT393" t="s">
        <v>537</v>
      </c>
      <c r="AU393">
        <v>2022</v>
      </c>
      <c r="AV393">
        <v>44</v>
      </c>
      <c r="AW393">
        <v>6</v>
      </c>
      <c r="AX393" t="s">
        <v>74</v>
      </c>
      <c r="AY393" t="s">
        <v>74</v>
      </c>
      <c r="AZ393" t="s">
        <v>74</v>
      </c>
      <c r="BA393" t="s">
        <v>74</v>
      </c>
      <c r="BB393">
        <v>733</v>
      </c>
      <c r="BC393">
        <v>746</v>
      </c>
      <c r="BD393" t="s">
        <v>74</v>
      </c>
      <c r="BE393" t="s">
        <v>8138</v>
      </c>
      <c r="BF393" t="str">
        <f>HYPERLINK("http://dx.doi.org/10.1007/s13258-022-01254-9","http://dx.doi.org/10.1007/s13258-022-01254-9")</f>
        <v>http://dx.doi.org/10.1007/s13258-022-01254-9</v>
      </c>
      <c r="BG393" t="s">
        <v>74</v>
      </c>
      <c r="BH393" t="s">
        <v>7987</v>
      </c>
      <c r="BI393">
        <v>14</v>
      </c>
      <c r="BJ393" t="s">
        <v>8139</v>
      </c>
      <c r="BK393" t="s">
        <v>101</v>
      </c>
      <c r="BL393" t="s">
        <v>8139</v>
      </c>
      <c r="BM393" t="s">
        <v>8140</v>
      </c>
      <c r="BN393">
        <v>35486322</v>
      </c>
      <c r="BO393" t="s">
        <v>74</v>
      </c>
      <c r="BP393" t="s">
        <v>74</v>
      </c>
      <c r="BQ393" t="s">
        <v>74</v>
      </c>
      <c r="BR393" t="s">
        <v>103</v>
      </c>
      <c r="BS393" t="s">
        <v>8141</v>
      </c>
      <c r="BT393" t="str">
        <f>HYPERLINK("https%3A%2F%2Fwww.webofscience.com%2Fwos%2Fwoscc%2Ffull-record%2FWOS:000789006900001","View Full Record in Web of Science")</f>
        <v>View Full Record in Web of Science</v>
      </c>
    </row>
    <row r="394" spans="1:72" x14ac:dyDescent="0.15">
      <c r="A394" t="s">
        <v>72</v>
      </c>
      <c r="B394" t="s">
        <v>8142</v>
      </c>
      <c r="C394" t="s">
        <v>74</v>
      </c>
      <c r="D394" t="s">
        <v>74</v>
      </c>
      <c r="E394" t="s">
        <v>74</v>
      </c>
      <c r="F394" t="s">
        <v>8143</v>
      </c>
      <c r="G394" t="s">
        <v>74</v>
      </c>
      <c r="H394" t="s">
        <v>74</v>
      </c>
      <c r="I394" t="s">
        <v>8144</v>
      </c>
      <c r="J394" t="s">
        <v>3150</v>
      </c>
      <c r="K394" t="s">
        <v>74</v>
      </c>
      <c r="L394" t="s">
        <v>74</v>
      </c>
      <c r="M394" t="s">
        <v>78</v>
      </c>
      <c r="N394" t="s">
        <v>79</v>
      </c>
      <c r="O394" t="s">
        <v>74</v>
      </c>
      <c r="P394" t="s">
        <v>74</v>
      </c>
      <c r="Q394" t="s">
        <v>74</v>
      </c>
      <c r="R394" t="s">
        <v>74</v>
      </c>
      <c r="S394" t="s">
        <v>74</v>
      </c>
      <c r="T394" t="s">
        <v>8145</v>
      </c>
      <c r="U394" t="s">
        <v>8146</v>
      </c>
      <c r="V394" t="s">
        <v>8147</v>
      </c>
      <c r="W394" t="s">
        <v>8148</v>
      </c>
      <c r="X394" t="s">
        <v>8149</v>
      </c>
      <c r="Y394" t="s">
        <v>8150</v>
      </c>
      <c r="Z394" t="s">
        <v>8151</v>
      </c>
      <c r="AA394" t="s">
        <v>8152</v>
      </c>
      <c r="AB394" t="s">
        <v>8153</v>
      </c>
      <c r="AC394" t="s">
        <v>8154</v>
      </c>
      <c r="AD394" t="s">
        <v>8155</v>
      </c>
      <c r="AE394" t="s">
        <v>8156</v>
      </c>
      <c r="AF394" t="s">
        <v>74</v>
      </c>
      <c r="AG394">
        <v>63</v>
      </c>
      <c r="AH394">
        <v>20</v>
      </c>
      <c r="AI394">
        <v>20</v>
      </c>
      <c r="AJ394">
        <v>1</v>
      </c>
      <c r="AK394">
        <v>11</v>
      </c>
      <c r="AL394" t="s">
        <v>530</v>
      </c>
      <c r="AM394" t="s">
        <v>531</v>
      </c>
      <c r="AN394" t="s">
        <v>532</v>
      </c>
      <c r="AO394" t="s">
        <v>3162</v>
      </c>
      <c r="AP394" t="s">
        <v>3163</v>
      </c>
      <c r="AQ394" t="s">
        <v>74</v>
      </c>
      <c r="AR394" t="s">
        <v>3164</v>
      </c>
      <c r="AS394" t="s">
        <v>3165</v>
      </c>
      <c r="AT394" t="s">
        <v>97</v>
      </c>
      <c r="AU394">
        <v>2022</v>
      </c>
      <c r="AV394">
        <v>59</v>
      </c>
      <c r="AW394" t="s">
        <v>8157</v>
      </c>
      <c r="AX394" t="s">
        <v>74</v>
      </c>
      <c r="AY394" t="s">
        <v>74</v>
      </c>
      <c r="AZ394" t="s">
        <v>74</v>
      </c>
      <c r="BA394" t="s">
        <v>74</v>
      </c>
      <c r="BB394">
        <v>3717</v>
      </c>
      <c r="BC394">
        <v>3740</v>
      </c>
      <c r="BD394" t="s">
        <v>74</v>
      </c>
      <c r="BE394" t="s">
        <v>8158</v>
      </c>
      <c r="BF394" t="str">
        <f>HYPERLINK("http://dx.doi.org/10.1007/s00382-022-06292-3","http://dx.doi.org/10.1007/s00382-022-06292-3")</f>
        <v>http://dx.doi.org/10.1007/s00382-022-06292-3</v>
      </c>
      <c r="BG394" t="s">
        <v>74</v>
      </c>
      <c r="BH394" t="s">
        <v>7987</v>
      </c>
      <c r="BI394">
        <v>24</v>
      </c>
      <c r="BJ394" t="s">
        <v>510</v>
      </c>
      <c r="BK394" t="s">
        <v>101</v>
      </c>
      <c r="BL394" t="s">
        <v>510</v>
      </c>
      <c r="BM394" t="s">
        <v>8159</v>
      </c>
      <c r="BN394" t="s">
        <v>74</v>
      </c>
      <c r="BO394" t="s">
        <v>8160</v>
      </c>
      <c r="BP394" t="s">
        <v>74</v>
      </c>
      <c r="BQ394" t="s">
        <v>74</v>
      </c>
      <c r="BR394" t="s">
        <v>103</v>
      </c>
      <c r="BS394" t="s">
        <v>8161</v>
      </c>
      <c r="BT394" t="str">
        <f>HYPERLINK("https%3A%2F%2Fwww.webofscience.com%2Fwos%2Fwoscc%2Ffull-record%2FWOS:000788963300001","View Full Record in Web of Science")</f>
        <v>View Full Record in Web of Science</v>
      </c>
    </row>
    <row r="395" spans="1:72" x14ac:dyDescent="0.15">
      <c r="A395" t="s">
        <v>72</v>
      </c>
      <c r="B395" t="s">
        <v>8162</v>
      </c>
      <c r="C395" t="s">
        <v>74</v>
      </c>
      <c r="D395" t="s">
        <v>74</v>
      </c>
      <c r="E395" t="s">
        <v>74</v>
      </c>
      <c r="F395" t="s">
        <v>8163</v>
      </c>
      <c r="G395" t="s">
        <v>74</v>
      </c>
      <c r="H395" t="s">
        <v>74</v>
      </c>
      <c r="I395" t="s">
        <v>8164</v>
      </c>
      <c r="J395" t="s">
        <v>8165</v>
      </c>
      <c r="K395" t="s">
        <v>74</v>
      </c>
      <c r="L395" t="s">
        <v>74</v>
      </c>
      <c r="M395" t="s">
        <v>78</v>
      </c>
      <c r="N395" t="s">
        <v>79</v>
      </c>
      <c r="O395" t="s">
        <v>74</v>
      </c>
      <c r="P395" t="s">
        <v>74</v>
      </c>
      <c r="Q395" t="s">
        <v>74</v>
      </c>
      <c r="R395" t="s">
        <v>74</v>
      </c>
      <c r="S395" t="s">
        <v>74</v>
      </c>
      <c r="T395" t="s">
        <v>8166</v>
      </c>
      <c r="U395" t="s">
        <v>8167</v>
      </c>
      <c r="V395" t="s">
        <v>8168</v>
      </c>
      <c r="W395" t="s">
        <v>8169</v>
      </c>
      <c r="X395" t="s">
        <v>8170</v>
      </c>
      <c r="Y395" t="s">
        <v>8171</v>
      </c>
      <c r="Z395" t="s">
        <v>3717</v>
      </c>
      <c r="AA395" t="s">
        <v>8172</v>
      </c>
      <c r="AB395" t="s">
        <v>8173</v>
      </c>
      <c r="AC395" t="s">
        <v>8174</v>
      </c>
      <c r="AD395" t="s">
        <v>8175</v>
      </c>
      <c r="AE395" t="s">
        <v>8176</v>
      </c>
      <c r="AF395" t="s">
        <v>74</v>
      </c>
      <c r="AG395">
        <v>80</v>
      </c>
      <c r="AH395">
        <v>1</v>
      </c>
      <c r="AI395">
        <v>2</v>
      </c>
      <c r="AJ395">
        <v>2</v>
      </c>
      <c r="AK395">
        <v>16</v>
      </c>
      <c r="AL395" t="s">
        <v>7201</v>
      </c>
      <c r="AM395" t="s">
        <v>2859</v>
      </c>
      <c r="AN395" t="s">
        <v>8177</v>
      </c>
      <c r="AO395" t="s">
        <v>8178</v>
      </c>
      <c r="AP395" t="s">
        <v>8179</v>
      </c>
      <c r="AQ395" t="s">
        <v>74</v>
      </c>
      <c r="AR395" t="s">
        <v>8180</v>
      </c>
      <c r="AS395" t="s">
        <v>8181</v>
      </c>
      <c r="AT395" t="s">
        <v>206</v>
      </c>
      <c r="AU395">
        <v>2022</v>
      </c>
      <c r="AV395">
        <v>40</v>
      </c>
      <c r="AW395">
        <v>4</v>
      </c>
      <c r="AX395" t="s">
        <v>74</v>
      </c>
      <c r="AY395" t="s">
        <v>74</v>
      </c>
      <c r="AZ395" t="s">
        <v>74</v>
      </c>
      <c r="BA395" t="s">
        <v>74</v>
      </c>
      <c r="BB395">
        <v>1566</v>
      </c>
      <c r="BC395">
        <v>1577</v>
      </c>
      <c r="BD395" t="s">
        <v>74</v>
      </c>
      <c r="BE395" t="s">
        <v>8182</v>
      </c>
      <c r="BF395" t="str">
        <f>HYPERLINK("http://dx.doi.org/10.1007/s00343-021-1181-z","http://dx.doi.org/10.1007/s00343-021-1181-z")</f>
        <v>http://dx.doi.org/10.1007/s00343-021-1181-z</v>
      </c>
      <c r="BG395" t="s">
        <v>74</v>
      </c>
      <c r="BH395" t="s">
        <v>7987</v>
      </c>
      <c r="BI395">
        <v>12</v>
      </c>
      <c r="BJ395" t="s">
        <v>8183</v>
      </c>
      <c r="BK395" t="s">
        <v>101</v>
      </c>
      <c r="BL395" t="s">
        <v>641</v>
      </c>
      <c r="BM395" t="s">
        <v>8184</v>
      </c>
      <c r="BN395" t="s">
        <v>74</v>
      </c>
      <c r="BO395" t="s">
        <v>74</v>
      </c>
      <c r="BP395" t="s">
        <v>74</v>
      </c>
      <c r="BQ395" t="s">
        <v>74</v>
      </c>
      <c r="BR395" t="s">
        <v>103</v>
      </c>
      <c r="BS395" t="s">
        <v>8185</v>
      </c>
      <c r="BT395" t="str">
        <f>HYPERLINK("https%3A%2F%2Fwww.webofscience.com%2Fwos%2Fwoscc%2Ffull-record%2FWOS:000788455800003","View Full Record in Web of Science")</f>
        <v>View Full Record in Web of Science</v>
      </c>
    </row>
    <row r="396" spans="1:72" x14ac:dyDescent="0.15">
      <c r="A396" t="s">
        <v>72</v>
      </c>
      <c r="B396" t="s">
        <v>8186</v>
      </c>
      <c r="C396" t="s">
        <v>74</v>
      </c>
      <c r="D396" t="s">
        <v>74</v>
      </c>
      <c r="E396" t="s">
        <v>74</v>
      </c>
      <c r="F396" t="s">
        <v>8187</v>
      </c>
      <c r="G396" t="s">
        <v>74</v>
      </c>
      <c r="H396" t="s">
        <v>74</v>
      </c>
      <c r="I396" t="s">
        <v>8188</v>
      </c>
      <c r="J396" t="s">
        <v>8189</v>
      </c>
      <c r="K396" t="s">
        <v>74</v>
      </c>
      <c r="L396" t="s">
        <v>74</v>
      </c>
      <c r="M396" t="s">
        <v>78</v>
      </c>
      <c r="N396" t="s">
        <v>79</v>
      </c>
      <c r="O396" t="s">
        <v>74</v>
      </c>
      <c r="P396" t="s">
        <v>74</v>
      </c>
      <c r="Q396" t="s">
        <v>74</v>
      </c>
      <c r="R396" t="s">
        <v>74</v>
      </c>
      <c r="S396" t="s">
        <v>74</v>
      </c>
      <c r="T396" t="s">
        <v>8190</v>
      </c>
      <c r="U396" t="s">
        <v>8191</v>
      </c>
      <c r="V396" t="s">
        <v>8192</v>
      </c>
      <c r="W396" t="s">
        <v>8193</v>
      </c>
      <c r="X396" t="s">
        <v>8194</v>
      </c>
      <c r="Y396" t="s">
        <v>8195</v>
      </c>
      <c r="Z396" t="s">
        <v>8196</v>
      </c>
      <c r="AA396" t="s">
        <v>74</v>
      </c>
      <c r="AB396" t="s">
        <v>74</v>
      </c>
      <c r="AC396" t="s">
        <v>8197</v>
      </c>
      <c r="AD396" t="s">
        <v>8198</v>
      </c>
      <c r="AE396" t="s">
        <v>8199</v>
      </c>
      <c r="AF396" t="s">
        <v>74</v>
      </c>
      <c r="AG396">
        <v>81</v>
      </c>
      <c r="AH396">
        <v>5</v>
      </c>
      <c r="AI396">
        <v>5</v>
      </c>
      <c r="AJ396">
        <v>0</v>
      </c>
      <c r="AK396">
        <v>0</v>
      </c>
      <c r="AL396" t="s">
        <v>285</v>
      </c>
      <c r="AM396" t="s">
        <v>286</v>
      </c>
      <c r="AN396" t="s">
        <v>287</v>
      </c>
      <c r="AO396" t="s">
        <v>74</v>
      </c>
      <c r="AP396" t="s">
        <v>8200</v>
      </c>
      <c r="AQ396" t="s">
        <v>74</v>
      </c>
      <c r="AR396" t="s">
        <v>8201</v>
      </c>
      <c r="AS396" t="s">
        <v>8202</v>
      </c>
      <c r="AT396" t="s">
        <v>8073</v>
      </c>
      <c r="AU396">
        <v>2022</v>
      </c>
      <c r="AV396">
        <v>2</v>
      </c>
      <c r="AW396" t="s">
        <v>74</v>
      </c>
      <c r="AX396" t="s">
        <v>74</v>
      </c>
      <c r="AY396" t="s">
        <v>74</v>
      </c>
      <c r="AZ396" t="s">
        <v>74</v>
      </c>
      <c r="BA396" t="s">
        <v>74</v>
      </c>
      <c r="BB396" t="s">
        <v>74</v>
      </c>
      <c r="BC396" t="s">
        <v>74</v>
      </c>
      <c r="BD396">
        <v>868515</v>
      </c>
      <c r="BE396" t="s">
        <v>8203</v>
      </c>
      <c r="BF396" t="str">
        <f>HYPERLINK("http://dx.doi.org/10.3389/frans.2022.868515","http://dx.doi.org/10.3389/frans.2022.868515")</f>
        <v>http://dx.doi.org/10.3389/frans.2022.868515</v>
      </c>
      <c r="BG396" t="s">
        <v>74</v>
      </c>
      <c r="BH396" t="s">
        <v>74</v>
      </c>
      <c r="BI396">
        <v>14</v>
      </c>
      <c r="BJ396" t="s">
        <v>8204</v>
      </c>
      <c r="BK396" t="s">
        <v>839</v>
      </c>
      <c r="BL396" t="s">
        <v>5724</v>
      </c>
      <c r="BM396" t="s">
        <v>8205</v>
      </c>
      <c r="BN396" t="s">
        <v>74</v>
      </c>
      <c r="BO396" t="s">
        <v>3373</v>
      </c>
      <c r="BP396" t="s">
        <v>74</v>
      </c>
      <c r="BQ396" t="s">
        <v>74</v>
      </c>
      <c r="BR396" t="s">
        <v>103</v>
      </c>
      <c r="BS396" t="s">
        <v>8206</v>
      </c>
      <c r="BT396" t="str">
        <f>HYPERLINK("https%3A%2F%2Fwww.webofscience.com%2Fwos%2Fwoscc%2Ffull-record%2FWOS:001189469500001","View Full Record in Web of Science")</f>
        <v>View Full Record in Web of Science</v>
      </c>
    </row>
    <row r="397" spans="1:72" x14ac:dyDescent="0.15">
      <c r="A397" t="s">
        <v>72</v>
      </c>
      <c r="B397" t="s">
        <v>8207</v>
      </c>
      <c r="C397" t="s">
        <v>74</v>
      </c>
      <c r="D397" t="s">
        <v>74</v>
      </c>
      <c r="E397" t="s">
        <v>74</v>
      </c>
      <c r="F397" t="s">
        <v>8208</v>
      </c>
      <c r="G397" t="s">
        <v>74</v>
      </c>
      <c r="H397" t="s">
        <v>74</v>
      </c>
      <c r="I397" t="s">
        <v>8209</v>
      </c>
      <c r="J397" t="s">
        <v>8210</v>
      </c>
      <c r="K397" t="s">
        <v>74</v>
      </c>
      <c r="L397" t="s">
        <v>74</v>
      </c>
      <c r="M397" t="s">
        <v>78</v>
      </c>
      <c r="N397" t="s">
        <v>79</v>
      </c>
      <c r="O397" t="s">
        <v>74</v>
      </c>
      <c r="P397" t="s">
        <v>74</v>
      </c>
      <c r="Q397" t="s">
        <v>74</v>
      </c>
      <c r="R397" t="s">
        <v>74</v>
      </c>
      <c r="S397" t="s">
        <v>74</v>
      </c>
      <c r="T397" t="s">
        <v>8211</v>
      </c>
      <c r="U397" t="s">
        <v>8212</v>
      </c>
      <c r="V397" t="s">
        <v>8213</v>
      </c>
      <c r="W397" t="s">
        <v>8214</v>
      </c>
      <c r="X397" t="s">
        <v>8215</v>
      </c>
      <c r="Y397" t="s">
        <v>8216</v>
      </c>
      <c r="Z397" t="s">
        <v>8217</v>
      </c>
      <c r="AA397" t="s">
        <v>8218</v>
      </c>
      <c r="AB397" t="s">
        <v>8219</v>
      </c>
      <c r="AC397" t="s">
        <v>8220</v>
      </c>
      <c r="AD397" t="s">
        <v>8221</v>
      </c>
      <c r="AE397" t="s">
        <v>8222</v>
      </c>
      <c r="AF397" t="s">
        <v>74</v>
      </c>
      <c r="AG397">
        <v>82</v>
      </c>
      <c r="AH397">
        <v>2</v>
      </c>
      <c r="AI397">
        <v>2</v>
      </c>
      <c r="AJ397">
        <v>0</v>
      </c>
      <c r="AK397">
        <v>0</v>
      </c>
      <c r="AL397" t="s">
        <v>8223</v>
      </c>
      <c r="AM397" t="s">
        <v>8224</v>
      </c>
      <c r="AN397" t="s">
        <v>8225</v>
      </c>
      <c r="AO397" t="s">
        <v>8226</v>
      </c>
      <c r="AP397" t="s">
        <v>8227</v>
      </c>
      <c r="AQ397" t="s">
        <v>74</v>
      </c>
      <c r="AR397" t="s">
        <v>8228</v>
      </c>
      <c r="AS397" t="s">
        <v>8229</v>
      </c>
      <c r="AT397" t="s">
        <v>8073</v>
      </c>
      <c r="AU397">
        <v>2022</v>
      </c>
      <c r="AV397">
        <v>41</v>
      </c>
      <c r="AW397" t="s">
        <v>74</v>
      </c>
      <c r="AX397" t="s">
        <v>74</v>
      </c>
      <c r="AY397" t="s">
        <v>74</v>
      </c>
      <c r="AZ397" t="s">
        <v>74</v>
      </c>
      <c r="BA397" t="s">
        <v>74</v>
      </c>
      <c r="BB397" t="s">
        <v>74</v>
      </c>
      <c r="BC397" t="s">
        <v>74</v>
      </c>
      <c r="BD397" t="s">
        <v>74</v>
      </c>
      <c r="BE397" t="s">
        <v>8230</v>
      </c>
      <c r="BF397" t="str">
        <f>HYPERLINK("http://dx.doi.org/10.33265/polar.v41.8083","http://dx.doi.org/10.33265/polar.v41.8083")</f>
        <v>http://dx.doi.org/10.33265/polar.v41.8083</v>
      </c>
      <c r="BG397" t="s">
        <v>74</v>
      </c>
      <c r="BH397" t="s">
        <v>74</v>
      </c>
      <c r="BI397">
        <v>15</v>
      </c>
      <c r="BJ397" t="s">
        <v>8231</v>
      </c>
      <c r="BK397" t="s">
        <v>101</v>
      </c>
      <c r="BL397" t="s">
        <v>8232</v>
      </c>
      <c r="BM397" t="s">
        <v>8233</v>
      </c>
      <c r="BN397" t="s">
        <v>74</v>
      </c>
      <c r="BO397" t="s">
        <v>438</v>
      </c>
      <c r="BP397" t="s">
        <v>74</v>
      </c>
      <c r="BQ397" t="s">
        <v>74</v>
      </c>
      <c r="BR397" t="s">
        <v>103</v>
      </c>
      <c r="BS397" t="s">
        <v>8234</v>
      </c>
      <c r="BT397" t="str">
        <f>HYPERLINK("https%3A%2F%2Fwww.webofscience.com%2Fwos%2Fwoscc%2Ffull-record%2FWOS:001121263200001","View Full Record in Web of Science")</f>
        <v>View Full Record in Web of Science</v>
      </c>
    </row>
    <row r="398" spans="1:72" x14ac:dyDescent="0.15">
      <c r="A398" t="s">
        <v>72</v>
      </c>
      <c r="B398" t="s">
        <v>8235</v>
      </c>
      <c r="C398" t="s">
        <v>74</v>
      </c>
      <c r="D398" t="s">
        <v>74</v>
      </c>
      <c r="E398" t="s">
        <v>74</v>
      </c>
      <c r="F398" t="s">
        <v>8236</v>
      </c>
      <c r="G398" t="s">
        <v>74</v>
      </c>
      <c r="H398" t="s">
        <v>74</v>
      </c>
      <c r="I398" t="s">
        <v>8237</v>
      </c>
      <c r="J398" t="s">
        <v>8238</v>
      </c>
      <c r="K398" t="s">
        <v>74</v>
      </c>
      <c r="L398" t="s">
        <v>74</v>
      </c>
      <c r="M398" t="s">
        <v>78</v>
      </c>
      <c r="N398" t="s">
        <v>79</v>
      </c>
      <c r="O398" t="s">
        <v>74</v>
      </c>
      <c r="P398" t="s">
        <v>74</v>
      </c>
      <c r="Q398" t="s">
        <v>74</v>
      </c>
      <c r="R398" t="s">
        <v>74</v>
      </c>
      <c r="S398" t="s">
        <v>74</v>
      </c>
      <c r="T398" t="s">
        <v>8239</v>
      </c>
      <c r="U398" t="s">
        <v>8240</v>
      </c>
      <c r="V398" t="s">
        <v>8241</v>
      </c>
      <c r="W398" t="s">
        <v>8242</v>
      </c>
      <c r="X398" t="s">
        <v>8243</v>
      </c>
      <c r="Y398" t="s">
        <v>8244</v>
      </c>
      <c r="Z398" t="s">
        <v>8245</v>
      </c>
      <c r="AA398" t="s">
        <v>8246</v>
      </c>
      <c r="AB398" t="s">
        <v>8247</v>
      </c>
      <c r="AC398" t="s">
        <v>8248</v>
      </c>
      <c r="AD398" t="s">
        <v>8249</v>
      </c>
      <c r="AE398" t="s">
        <v>8250</v>
      </c>
      <c r="AF398" t="s">
        <v>74</v>
      </c>
      <c r="AG398">
        <v>13</v>
      </c>
      <c r="AH398">
        <v>2</v>
      </c>
      <c r="AI398">
        <v>2</v>
      </c>
      <c r="AJ398">
        <v>0</v>
      </c>
      <c r="AK398">
        <v>2</v>
      </c>
      <c r="AL398" t="s">
        <v>257</v>
      </c>
      <c r="AM398" t="s">
        <v>258</v>
      </c>
      <c r="AN398" t="s">
        <v>259</v>
      </c>
      <c r="AO398" t="s">
        <v>8251</v>
      </c>
      <c r="AP398" t="s">
        <v>8252</v>
      </c>
      <c r="AQ398" t="s">
        <v>74</v>
      </c>
      <c r="AR398" t="s">
        <v>8253</v>
      </c>
      <c r="AS398" t="s">
        <v>8254</v>
      </c>
      <c r="AT398" t="s">
        <v>320</v>
      </c>
      <c r="AU398">
        <v>2022</v>
      </c>
      <c r="AV398">
        <v>320</v>
      </c>
      <c r="AW398" t="s">
        <v>74</v>
      </c>
      <c r="AX398" t="s">
        <v>74</v>
      </c>
      <c r="AY398" t="s">
        <v>74</v>
      </c>
      <c r="AZ398" t="s">
        <v>74</v>
      </c>
      <c r="BA398" t="s">
        <v>74</v>
      </c>
      <c r="BB398" t="s">
        <v>74</v>
      </c>
      <c r="BC398" t="s">
        <v>74</v>
      </c>
      <c r="BD398">
        <v>132341</v>
      </c>
      <c r="BE398" t="s">
        <v>8255</v>
      </c>
      <c r="BF398" t="str">
        <f>HYPERLINK("http://dx.doi.org/10.1016/j.matlet.2022.132341","http://dx.doi.org/10.1016/j.matlet.2022.132341")</f>
        <v>http://dx.doi.org/10.1016/j.matlet.2022.132341</v>
      </c>
      <c r="BG398" t="s">
        <v>74</v>
      </c>
      <c r="BH398" t="s">
        <v>7987</v>
      </c>
      <c r="BI398">
        <v>3</v>
      </c>
      <c r="BJ398" t="s">
        <v>8256</v>
      </c>
      <c r="BK398" t="s">
        <v>101</v>
      </c>
      <c r="BL398" t="s">
        <v>8257</v>
      </c>
      <c r="BM398" t="s">
        <v>8258</v>
      </c>
      <c r="BN398" t="s">
        <v>74</v>
      </c>
      <c r="BO398" t="s">
        <v>74</v>
      </c>
      <c r="BP398" t="s">
        <v>74</v>
      </c>
      <c r="BQ398" t="s">
        <v>74</v>
      </c>
      <c r="BR398" t="s">
        <v>103</v>
      </c>
      <c r="BS398" t="s">
        <v>8259</v>
      </c>
      <c r="BT398" t="str">
        <f>HYPERLINK("https%3A%2F%2Fwww.webofscience.com%2Fwos%2Fwoscc%2Ffull-record%2FWOS:000830211000006","View Full Record in Web of Science")</f>
        <v>View Full Record in Web of Science</v>
      </c>
    </row>
    <row r="399" spans="1:72" x14ac:dyDescent="0.15">
      <c r="A399" t="s">
        <v>72</v>
      </c>
      <c r="B399" t="s">
        <v>8260</v>
      </c>
      <c r="C399" t="s">
        <v>74</v>
      </c>
      <c r="D399" t="s">
        <v>74</v>
      </c>
      <c r="E399" t="s">
        <v>74</v>
      </c>
      <c r="F399" t="s">
        <v>8261</v>
      </c>
      <c r="G399" t="s">
        <v>74</v>
      </c>
      <c r="H399" t="s">
        <v>74</v>
      </c>
      <c r="I399" t="s">
        <v>8262</v>
      </c>
      <c r="J399" t="s">
        <v>1086</v>
      </c>
      <c r="K399" t="s">
        <v>74</v>
      </c>
      <c r="L399" t="s">
        <v>74</v>
      </c>
      <c r="M399" t="s">
        <v>78</v>
      </c>
      <c r="N399" t="s">
        <v>79</v>
      </c>
      <c r="O399" t="s">
        <v>74</v>
      </c>
      <c r="P399" t="s">
        <v>74</v>
      </c>
      <c r="Q399" t="s">
        <v>74</v>
      </c>
      <c r="R399" t="s">
        <v>74</v>
      </c>
      <c r="S399" t="s">
        <v>74</v>
      </c>
      <c r="T399" t="s">
        <v>8263</v>
      </c>
      <c r="U399" t="s">
        <v>8264</v>
      </c>
      <c r="V399" t="s">
        <v>8265</v>
      </c>
      <c r="W399" t="s">
        <v>8266</v>
      </c>
      <c r="X399" t="s">
        <v>8267</v>
      </c>
      <c r="Y399" t="s">
        <v>8268</v>
      </c>
      <c r="Z399" t="s">
        <v>8269</v>
      </c>
      <c r="AA399" t="s">
        <v>74</v>
      </c>
      <c r="AB399" t="s">
        <v>8270</v>
      </c>
      <c r="AC399" t="s">
        <v>8271</v>
      </c>
      <c r="AD399" t="s">
        <v>8272</v>
      </c>
      <c r="AE399" t="s">
        <v>8273</v>
      </c>
      <c r="AF399" t="s">
        <v>74</v>
      </c>
      <c r="AG399">
        <v>261</v>
      </c>
      <c r="AH399">
        <v>24</v>
      </c>
      <c r="AI399">
        <v>25</v>
      </c>
      <c r="AJ399">
        <v>50</v>
      </c>
      <c r="AK399">
        <v>205</v>
      </c>
      <c r="AL399" t="s">
        <v>257</v>
      </c>
      <c r="AM399" t="s">
        <v>258</v>
      </c>
      <c r="AN399" t="s">
        <v>259</v>
      </c>
      <c r="AO399" t="s">
        <v>1098</v>
      </c>
      <c r="AP399" t="s">
        <v>1099</v>
      </c>
      <c r="AQ399" t="s">
        <v>74</v>
      </c>
      <c r="AR399" t="s">
        <v>1100</v>
      </c>
      <c r="AS399" t="s">
        <v>1101</v>
      </c>
      <c r="AT399" t="s">
        <v>5933</v>
      </c>
      <c r="AU399">
        <v>2022</v>
      </c>
      <c r="AV399">
        <v>835</v>
      </c>
      <c r="AW399" t="s">
        <v>74</v>
      </c>
      <c r="AX399" t="s">
        <v>74</v>
      </c>
      <c r="AY399" t="s">
        <v>74</v>
      </c>
      <c r="AZ399" t="s">
        <v>74</v>
      </c>
      <c r="BA399" t="s">
        <v>74</v>
      </c>
      <c r="BB399" t="s">
        <v>74</v>
      </c>
      <c r="BC399" t="s">
        <v>74</v>
      </c>
      <c r="BD399">
        <v>155376</v>
      </c>
      <c r="BE399" t="s">
        <v>8274</v>
      </c>
      <c r="BF399" t="str">
        <f>HYPERLINK("http://dx.doi.org/10.1016/j.scitotenv.2022.155376","http://dx.doi.org/10.1016/j.scitotenv.2022.155376")</f>
        <v>http://dx.doi.org/10.1016/j.scitotenv.2022.155376</v>
      </c>
      <c r="BG399" t="s">
        <v>74</v>
      </c>
      <c r="BH399" t="s">
        <v>7987</v>
      </c>
      <c r="BI399">
        <v>19</v>
      </c>
      <c r="BJ399" t="s">
        <v>1104</v>
      </c>
      <c r="BK399" t="s">
        <v>101</v>
      </c>
      <c r="BL399" t="s">
        <v>840</v>
      </c>
      <c r="BM399" t="s">
        <v>8275</v>
      </c>
      <c r="BN399">
        <v>35461927</v>
      </c>
      <c r="BO399" t="s">
        <v>267</v>
      </c>
      <c r="BP399" t="s">
        <v>74</v>
      </c>
      <c r="BQ399" t="s">
        <v>74</v>
      </c>
      <c r="BR399" t="s">
        <v>103</v>
      </c>
      <c r="BS399" t="s">
        <v>8276</v>
      </c>
      <c r="BT399" t="str">
        <f>HYPERLINK("https%3A%2F%2Fwww.webofscience.com%2Fwos%2Fwoscc%2Ffull-record%2FWOS:000797745600007","View Full Record in Web of Science")</f>
        <v>View Full Record in Web of Science</v>
      </c>
    </row>
    <row r="400" spans="1:72" x14ac:dyDescent="0.15">
      <c r="A400" t="s">
        <v>72</v>
      </c>
      <c r="B400" t="s">
        <v>8277</v>
      </c>
      <c r="C400" t="s">
        <v>74</v>
      </c>
      <c r="D400" t="s">
        <v>74</v>
      </c>
      <c r="E400" t="s">
        <v>74</v>
      </c>
      <c r="F400" t="s">
        <v>8278</v>
      </c>
      <c r="G400" t="s">
        <v>74</v>
      </c>
      <c r="H400" t="s">
        <v>74</v>
      </c>
      <c r="I400" t="s">
        <v>8279</v>
      </c>
      <c r="J400" t="s">
        <v>3027</v>
      </c>
      <c r="K400" t="s">
        <v>74</v>
      </c>
      <c r="L400" t="s">
        <v>74</v>
      </c>
      <c r="M400" t="s">
        <v>78</v>
      </c>
      <c r="N400" t="s">
        <v>79</v>
      </c>
      <c r="O400" t="s">
        <v>74</v>
      </c>
      <c r="P400" t="s">
        <v>74</v>
      </c>
      <c r="Q400" t="s">
        <v>74</v>
      </c>
      <c r="R400" t="s">
        <v>74</v>
      </c>
      <c r="S400" t="s">
        <v>74</v>
      </c>
      <c r="T400" t="s">
        <v>8280</v>
      </c>
      <c r="U400" t="s">
        <v>8281</v>
      </c>
      <c r="V400" t="s">
        <v>8282</v>
      </c>
      <c r="W400" t="s">
        <v>8283</v>
      </c>
      <c r="X400" t="s">
        <v>8284</v>
      </c>
      <c r="Y400" t="s">
        <v>8285</v>
      </c>
      <c r="Z400" t="s">
        <v>8286</v>
      </c>
      <c r="AA400" t="s">
        <v>8287</v>
      </c>
      <c r="AB400" t="s">
        <v>8288</v>
      </c>
      <c r="AC400" t="s">
        <v>74</v>
      </c>
      <c r="AD400" t="s">
        <v>74</v>
      </c>
      <c r="AE400" t="s">
        <v>74</v>
      </c>
      <c r="AF400" t="s">
        <v>74</v>
      </c>
      <c r="AG400">
        <v>57</v>
      </c>
      <c r="AH400">
        <v>3</v>
      </c>
      <c r="AI400">
        <v>4</v>
      </c>
      <c r="AJ400">
        <v>1</v>
      </c>
      <c r="AK400">
        <v>10</v>
      </c>
      <c r="AL400" t="s">
        <v>285</v>
      </c>
      <c r="AM400" t="s">
        <v>286</v>
      </c>
      <c r="AN400" t="s">
        <v>287</v>
      </c>
      <c r="AO400" t="s">
        <v>74</v>
      </c>
      <c r="AP400" t="s">
        <v>3039</v>
      </c>
      <c r="AQ400" t="s">
        <v>74</v>
      </c>
      <c r="AR400" t="s">
        <v>3040</v>
      </c>
      <c r="AS400" t="s">
        <v>3041</v>
      </c>
      <c r="AT400" t="s">
        <v>8289</v>
      </c>
      <c r="AU400">
        <v>2022</v>
      </c>
      <c r="AV400">
        <v>10</v>
      </c>
      <c r="AW400" t="s">
        <v>74</v>
      </c>
      <c r="AX400" t="s">
        <v>74</v>
      </c>
      <c r="AY400" t="s">
        <v>74</v>
      </c>
      <c r="AZ400" t="s">
        <v>74</v>
      </c>
      <c r="BA400" t="s">
        <v>74</v>
      </c>
      <c r="BB400" t="s">
        <v>74</v>
      </c>
      <c r="BC400" t="s">
        <v>74</v>
      </c>
      <c r="BD400">
        <v>863336</v>
      </c>
      <c r="BE400" t="s">
        <v>8290</v>
      </c>
      <c r="BF400" t="str">
        <f>HYPERLINK("http://dx.doi.org/10.3389/feart.2022.863336","http://dx.doi.org/10.3389/feart.2022.863336")</f>
        <v>http://dx.doi.org/10.3389/feart.2022.863336</v>
      </c>
      <c r="BG400" t="s">
        <v>74</v>
      </c>
      <c r="BH400" t="s">
        <v>74</v>
      </c>
      <c r="BI400">
        <v>10</v>
      </c>
      <c r="BJ400" t="s">
        <v>265</v>
      </c>
      <c r="BK400" t="s">
        <v>101</v>
      </c>
      <c r="BL400" t="s">
        <v>100</v>
      </c>
      <c r="BM400" t="s">
        <v>8291</v>
      </c>
      <c r="BN400" t="s">
        <v>74</v>
      </c>
      <c r="BO400" t="s">
        <v>438</v>
      </c>
      <c r="BP400" t="s">
        <v>74</v>
      </c>
      <c r="BQ400" t="s">
        <v>74</v>
      </c>
      <c r="BR400" t="s">
        <v>103</v>
      </c>
      <c r="BS400" t="s">
        <v>8292</v>
      </c>
      <c r="BT400" t="str">
        <f>HYPERLINK("https%3A%2F%2Fwww.webofscience.com%2Fwos%2Fwoscc%2Ffull-record%2FWOS:000794347900001","View Full Record in Web of Science")</f>
        <v>View Full Record in Web of Science</v>
      </c>
    </row>
    <row r="401" spans="1:72" x14ac:dyDescent="0.15">
      <c r="A401" t="s">
        <v>72</v>
      </c>
      <c r="B401" t="s">
        <v>1381</v>
      </c>
      <c r="C401" t="s">
        <v>74</v>
      </c>
      <c r="D401" t="s">
        <v>74</v>
      </c>
      <c r="E401" t="s">
        <v>74</v>
      </c>
      <c r="F401" t="s">
        <v>1381</v>
      </c>
      <c r="G401" t="s">
        <v>74</v>
      </c>
      <c r="H401" t="s">
        <v>74</v>
      </c>
      <c r="I401" t="s">
        <v>8293</v>
      </c>
      <c r="J401" t="s">
        <v>3730</v>
      </c>
      <c r="K401" t="s">
        <v>74</v>
      </c>
      <c r="L401" t="s">
        <v>74</v>
      </c>
      <c r="M401" t="s">
        <v>78</v>
      </c>
      <c r="N401" t="s">
        <v>190</v>
      </c>
      <c r="O401" t="s">
        <v>74</v>
      </c>
      <c r="P401" t="s">
        <v>74</v>
      </c>
      <c r="Q401" t="s">
        <v>74</v>
      </c>
      <c r="R401" t="s">
        <v>74</v>
      </c>
      <c r="S401" t="s">
        <v>74</v>
      </c>
      <c r="T401" t="s">
        <v>74</v>
      </c>
      <c r="U401" t="s">
        <v>74</v>
      </c>
      <c r="V401" t="s">
        <v>74</v>
      </c>
      <c r="W401" t="s">
        <v>74</v>
      </c>
      <c r="X401" t="s">
        <v>74</v>
      </c>
      <c r="Y401" t="s">
        <v>74</v>
      </c>
      <c r="Z401" t="s">
        <v>74</v>
      </c>
      <c r="AA401" t="s">
        <v>74</v>
      </c>
      <c r="AB401" t="s">
        <v>74</v>
      </c>
      <c r="AC401" t="s">
        <v>74</v>
      </c>
      <c r="AD401" t="s">
        <v>74</v>
      </c>
      <c r="AE401" t="s">
        <v>74</v>
      </c>
      <c r="AF401" t="s">
        <v>74</v>
      </c>
      <c r="AG401">
        <v>4</v>
      </c>
      <c r="AH401">
        <v>0</v>
      </c>
      <c r="AI401">
        <v>0</v>
      </c>
      <c r="AJ401">
        <v>0</v>
      </c>
      <c r="AK401">
        <v>2</v>
      </c>
      <c r="AL401" t="s">
        <v>455</v>
      </c>
      <c r="AM401" t="s">
        <v>456</v>
      </c>
      <c r="AN401" t="s">
        <v>457</v>
      </c>
      <c r="AO401" t="s">
        <v>3742</v>
      </c>
      <c r="AP401" t="s">
        <v>3743</v>
      </c>
      <c r="AQ401" t="s">
        <v>74</v>
      </c>
      <c r="AR401" t="s">
        <v>3730</v>
      </c>
      <c r="AS401" t="s">
        <v>3744</v>
      </c>
      <c r="AT401" t="s">
        <v>8289</v>
      </c>
      <c r="AU401">
        <v>2022</v>
      </c>
      <c r="AV401">
        <v>604</v>
      </c>
      <c r="AW401">
        <v>7907</v>
      </c>
      <c r="AX401" t="s">
        <v>74</v>
      </c>
      <c r="AY401" t="s">
        <v>74</v>
      </c>
      <c r="AZ401" t="s">
        <v>74</v>
      </c>
      <c r="BA401" t="s">
        <v>74</v>
      </c>
      <c r="BB401">
        <v>600</v>
      </c>
      <c r="BC401">
        <v>600</v>
      </c>
      <c r="BD401" t="s">
        <v>74</v>
      </c>
      <c r="BE401" t="s">
        <v>74</v>
      </c>
      <c r="BF401" t="s">
        <v>74</v>
      </c>
      <c r="BG401" t="s">
        <v>74</v>
      </c>
      <c r="BH401" t="s">
        <v>74</v>
      </c>
      <c r="BI401">
        <v>1</v>
      </c>
      <c r="BJ401" t="s">
        <v>657</v>
      </c>
      <c r="BK401" t="s">
        <v>956</v>
      </c>
      <c r="BL401" t="s">
        <v>658</v>
      </c>
      <c r="BM401" t="s">
        <v>8294</v>
      </c>
      <c r="BN401" t="s">
        <v>74</v>
      </c>
      <c r="BO401" t="s">
        <v>74</v>
      </c>
      <c r="BP401" t="s">
        <v>74</v>
      </c>
      <c r="BQ401" t="s">
        <v>74</v>
      </c>
      <c r="BR401" t="s">
        <v>103</v>
      </c>
      <c r="BS401" t="s">
        <v>8295</v>
      </c>
      <c r="BT401" t="str">
        <f>HYPERLINK("https%3A%2F%2Fwww.webofscience.com%2Fwos%2Fwoscc%2Ffull-record%2FWOS:000787313200002","View Full Record in Web of Science")</f>
        <v>View Full Record in Web of Science</v>
      </c>
    </row>
    <row r="402" spans="1:72" x14ac:dyDescent="0.15">
      <c r="A402" t="s">
        <v>72</v>
      </c>
      <c r="B402" t="s">
        <v>8296</v>
      </c>
      <c r="C402" t="s">
        <v>74</v>
      </c>
      <c r="D402" t="s">
        <v>74</v>
      </c>
      <c r="E402" t="s">
        <v>74</v>
      </c>
      <c r="F402" t="s">
        <v>8297</v>
      </c>
      <c r="G402" t="s">
        <v>74</v>
      </c>
      <c r="H402" t="s">
        <v>74</v>
      </c>
      <c r="I402" t="s">
        <v>8298</v>
      </c>
      <c r="J402" t="s">
        <v>8299</v>
      </c>
      <c r="K402" t="s">
        <v>74</v>
      </c>
      <c r="L402" t="s">
        <v>74</v>
      </c>
      <c r="M402" t="s">
        <v>78</v>
      </c>
      <c r="N402" t="s">
        <v>79</v>
      </c>
      <c r="O402" t="s">
        <v>74</v>
      </c>
      <c r="P402" t="s">
        <v>74</v>
      </c>
      <c r="Q402" t="s">
        <v>74</v>
      </c>
      <c r="R402" t="s">
        <v>74</v>
      </c>
      <c r="S402" t="s">
        <v>74</v>
      </c>
      <c r="T402" t="s">
        <v>8300</v>
      </c>
      <c r="U402" t="s">
        <v>8301</v>
      </c>
      <c r="V402" t="s">
        <v>8302</v>
      </c>
      <c r="W402" t="s">
        <v>8303</v>
      </c>
      <c r="X402" t="s">
        <v>8304</v>
      </c>
      <c r="Y402" t="s">
        <v>8305</v>
      </c>
      <c r="Z402" t="s">
        <v>8306</v>
      </c>
      <c r="AA402" t="s">
        <v>8307</v>
      </c>
      <c r="AB402" t="s">
        <v>8308</v>
      </c>
      <c r="AC402" t="s">
        <v>8309</v>
      </c>
      <c r="AD402" t="s">
        <v>8310</v>
      </c>
      <c r="AE402" t="s">
        <v>8311</v>
      </c>
      <c r="AF402" t="s">
        <v>74</v>
      </c>
      <c r="AG402">
        <v>109</v>
      </c>
      <c r="AH402">
        <v>4</v>
      </c>
      <c r="AI402">
        <v>4</v>
      </c>
      <c r="AJ402">
        <v>4</v>
      </c>
      <c r="AK402">
        <v>18</v>
      </c>
      <c r="AL402" t="s">
        <v>530</v>
      </c>
      <c r="AM402" t="s">
        <v>531</v>
      </c>
      <c r="AN402" t="s">
        <v>532</v>
      </c>
      <c r="AO402" t="s">
        <v>8312</v>
      </c>
      <c r="AP402" t="s">
        <v>8313</v>
      </c>
      <c r="AQ402" t="s">
        <v>74</v>
      </c>
      <c r="AR402" t="s">
        <v>8314</v>
      </c>
      <c r="AS402" t="s">
        <v>8315</v>
      </c>
      <c r="AT402" t="s">
        <v>8316</v>
      </c>
      <c r="AU402">
        <v>2023</v>
      </c>
      <c r="AV402">
        <v>85</v>
      </c>
      <c r="AW402">
        <v>3</v>
      </c>
      <c r="AX402" t="s">
        <v>74</v>
      </c>
      <c r="AY402" t="s">
        <v>74</v>
      </c>
      <c r="AZ402" t="s">
        <v>772</v>
      </c>
      <c r="BA402" t="s">
        <v>74</v>
      </c>
      <c r="BB402">
        <v>1056</v>
      </c>
      <c r="BC402">
        <v>1071</v>
      </c>
      <c r="BD402" t="s">
        <v>74</v>
      </c>
      <c r="BE402" t="s">
        <v>8317</v>
      </c>
      <c r="BF402" t="str">
        <f>HYPERLINK("http://dx.doi.org/10.1007/s00248-022-02018-4","http://dx.doi.org/10.1007/s00248-022-02018-4")</f>
        <v>http://dx.doi.org/10.1007/s00248-022-02018-4</v>
      </c>
      <c r="BG402" t="s">
        <v>74</v>
      </c>
      <c r="BH402" t="s">
        <v>7987</v>
      </c>
      <c r="BI402">
        <v>16</v>
      </c>
      <c r="BJ402" t="s">
        <v>8318</v>
      </c>
      <c r="BK402" t="s">
        <v>101</v>
      </c>
      <c r="BL402" t="s">
        <v>8319</v>
      </c>
      <c r="BM402" t="s">
        <v>8320</v>
      </c>
      <c r="BN402">
        <v>35484416</v>
      </c>
      <c r="BO402" t="s">
        <v>74</v>
      </c>
      <c r="BP402" t="s">
        <v>74</v>
      </c>
      <c r="BQ402" t="s">
        <v>74</v>
      </c>
      <c r="BR402" t="s">
        <v>103</v>
      </c>
      <c r="BS402" t="s">
        <v>8321</v>
      </c>
      <c r="BT402" t="str">
        <f>HYPERLINK("https%3A%2F%2Fwww.webofscience.com%2Fwos%2Fwoscc%2Ffull-record%2FWOS:000788509900001","View Full Record in Web of Science")</f>
        <v>View Full Record in Web of Science</v>
      </c>
    </row>
    <row r="403" spans="1:72" x14ac:dyDescent="0.15">
      <c r="A403" t="s">
        <v>72</v>
      </c>
      <c r="B403" t="s">
        <v>8322</v>
      </c>
      <c r="C403" t="s">
        <v>74</v>
      </c>
      <c r="D403" t="s">
        <v>74</v>
      </c>
      <c r="E403" t="s">
        <v>74</v>
      </c>
      <c r="F403" t="s">
        <v>8323</v>
      </c>
      <c r="G403" t="s">
        <v>74</v>
      </c>
      <c r="H403" t="s">
        <v>74</v>
      </c>
      <c r="I403" t="s">
        <v>8324</v>
      </c>
      <c r="J403" t="s">
        <v>3419</v>
      </c>
      <c r="K403" t="s">
        <v>74</v>
      </c>
      <c r="L403" t="s">
        <v>74</v>
      </c>
      <c r="M403" t="s">
        <v>78</v>
      </c>
      <c r="N403" t="s">
        <v>79</v>
      </c>
      <c r="O403" t="s">
        <v>74</v>
      </c>
      <c r="P403" t="s">
        <v>74</v>
      </c>
      <c r="Q403" t="s">
        <v>74</v>
      </c>
      <c r="R403" t="s">
        <v>74</v>
      </c>
      <c r="S403" t="s">
        <v>74</v>
      </c>
      <c r="T403" t="s">
        <v>8325</v>
      </c>
      <c r="U403" t="s">
        <v>8326</v>
      </c>
      <c r="V403" t="s">
        <v>8327</v>
      </c>
      <c r="W403" t="s">
        <v>8328</v>
      </c>
      <c r="X403" t="s">
        <v>8329</v>
      </c>
      <c r="Y403" t="s">
        <v>8330</v>
      </c>
      <c r="Z403" t="s">
        <v>8331</v>
      </c>
      <c r="AA403" t="s">
        <v>8332</v>
      </c>
      <c r="AB403" t="s">
        <v>8333</v>
      </c>
      <c r="AC403" t="s">
        <v>8334</v>
      </c>
      <c r="AD403" t="s">
        <v>8335</v>
      </c>
      <c r="AE403" t="s">
        <v>8336</v>
      </c>
      <c r="AF403" t="s">
        <v>74</v>
      </c>
      <c r="AG403">
        <v>38</v>
      </c>
      <c r="AH403">
        <v>10</v>
      </c>
      <c r="AI403">
        <v>10</v>
      </c>
      <c r="AJ403">
        <v>6</v>
      </c>
      <c r="AK403">
        <v>18</v>
      </c>
      <c r="AL403" t="s">
        <v>2042</v>
      </c>
      <c r="AM403" t="s">
        <v>2043</v>
      </c>
      <c r="AN403" t="s">
        <v>2044</v>
      </c>
      <c r="AO403" t="s">
        <v>3432</v>
      </c>
      <c r="AP403" t="s">
        <v>3433</v>
      </c>
      <c r="AQ403" t="s">
        <v>74</v>
      </c>
      <c r="AR403" t="s">
        <v>3434</v>
      </c>
      <c r="AS403" t="s">
        <v>3435</v>
      </c>
      <c r="AT403" t="s">
        <v>8289</v>
      </c>
      <c r="AU403">
        <v>2022</v>
      </c>
      <c r="AV403">
        <v>49</v>
      </c>
      <c r="AW403">
        <v>8</v>
      </c>
      <c r="AX403" t="s">
        <v>74</v>
      </c>
      <c r="AY403" t="s">
        <v>74</v>
      </c>
      <c r="AZ403" t="s">
        <v>74</v>
      </c>
      <c r="BA403" t="s">
        <v>74</v>
      </c>
      <c r="BB403" t="s">
        <v>74</v>
      </c>
      <c r="BC403" t="s">
        <v>74</v>
      </c>
      <c r="BD403" t="s">
        <v>8337</v>
      </c>
      <c r="BE403" t="s">
        <v>8338</v>
      </c>
      <c r="BF403" t="str">
        <f>HYPERLINK("http://dx.doi.org/10.1029/2021GL097047","http://dx.doi.org/10.1029/2021GL097047")</f>
        <v>http://dx.doi.org/10.1029/2021GL097047</v>
      </c>
      <c r="BG403" t="s">
        <v>74</v>
      </c>
      <c r="BH403" t="s">
        <v>74</v>
      </c>
      <c r="BI403">
        <v>10</v>
      </c>
      <c r="BJ403" t="s">
        <v>265</v>
      </c>
      <c r="BK403" t="s">
        <v>101</v>
      </c>
      <c r="BL403" t="s">
        <v>100</v>
      </c>
      <c r="BM403" t="s">
        <v>8339</v>
      </c>
      <c r="BN403" t="s">
        <v>74</v>
      </c>
      <c r="BO403" t="s">
        <v>643</v>
      </c>
      <c r="BP403" t="s">
        <v>74</v>
      </c>
      <c r="BQ403" t="s">
        <v>74</v>
      </c>
      <c r="BR403" t="s">
        <v>103</v>
      </c>
      <c r="BS403" t="s">
        <v>8340</v>
      </c>
      <c r="BT403" t="str">
        <f>HYPERLINK("https%3A%2F%2Fwww.webofscience.com%2Fwos%2Fwoscc%2Ffull-record%2FWOS:000787672200001","View Full Record in Web of Science")</f>
        <v>View Full Record in Web of Science</v>
      </c>
    </row>
    <row r="404" spans="1:72" x14ac:dyDescent="0.15">
      <c r="A404" t="s">
        <v>72</v>
      </c>
      <c r="B404" t="s">
        <v>8341</v>
      </c>
      <c r="C404" t="s">
        <v>74</v>
      </c>
      <c r="D404" t="s">
        <v>74</v>
      </c>
      <c r="E404" t="s">
        <v>74</v>
      </c>
      <c r="F404" t="s">
        <v>8342</v>
      </c>
      <c r="G404" t="s">
        <v>74</v>
      </c>
      <c r="H404" t="s">
        <v>74</v>
      </c>
      <c r="I404" t="s">
        <v>8343</v>
      </c>
      <c r="J404" t="s">
        <v>3419</v>
      </c>
      <c r="K404" t="s">
        <v>74</v>
      </c>
      <c r="L404" t="s">
        <v>74</v>
      </c>
      <c r="M404" t="s">
        <v>78</v>
      </c>
      <c r="N404" t="s">
        <v>79</v>
      </c>
      <c r="O404" t="s">
        <v>74</v>
      </c>
      <c r="P404" t="s">
        <v>74</v>
      </c>
      <c r="Q404" t="s">
        <v>74</v>
      </c>
      <c r="R404" t="s">
        <v>74</v>
      </c>
      <c r="S404" t="s">
        <v>74</v>
      </c>
      <c r="T404" t="s">
        <v>8344</v>
      </c>
      <c r="U404" t="s">
        <v>8345</v>
      </c>
      <c r="V404" t="s">
        <v>8346</v>
      </c>
      <c r="W404" t="s">
        <v>8347</v>
      </c>
      <c r="X404" t="s">
        <v>8348</v>
      </c>
      <c r="Y404" t="s">
        <v>8349</v>
      </c>
      <c r="Z404" t="s">
        <v>8350</v>
      </c>
      <c r="AA404" t="s">
        <v>8351</v>
      </c>
      <c r="AB404" t="s">
        <v>8352</v>
      </c>
      <c r="AC404" t="s">
        <v>8353</v>
      </c>
      <c r="AD404" t="s">
        <v>8354</v>
      </c>
      <c r="AE404" t="s">
        <v>8355</v>
      </c>
      <c r="AF404" t="s">
        <v>74</v>
      </c>
      <c r="AG404">
        <v>101</v>
      </c>
      <c r="AH404">
        <v>5</v>
      </c>
      <c r="AI404">
        <v>6</v>
      </c>
      <c r="AJ404">
        <v>8</v>
      </c>
      <c r="AK404">
        <v>40</v>
      </c>
      <c r="AL404" t="s">
        <v>2042</v>
      </c>
      <c r="AM404" t="s">
        <v>2043</v>
      </c>
      <c r="AN404" t="s">
        <v>2044</v>
      </c>
      <c r="AO404" t="s">
        <v>3432</v>
      </c>
      <c r="AP404" t="s">
        <v>3433</v>
      </c>
      <c r="AQ404" t="s">
        <v>74</v>
      </c>
      <c r="AR404" t="s">
        <v>3434</v>
      </c>
      <c r="AS404" t="s">
        <v>3435</v>
      </c>
      <c r="AT404" t="s">
        <v>8289</v>
      </c>
      <c r="AU404">
        <v>2022</v>
      </c>
      <c r="AV404">
        <v>49</v>
      </c>
      <c r="AW404">
        <v>8</v>
      </c>
      <c r="AX404" t="s">
        <v>74</v>
      </c>
      <c r="AY404" t="s">
        <v>74</v>
      </c>
      <c r="AZ404" t="s">
        <v>74</v>
      </c>
      <c r="BA404" t="s">
        <v>74</v>
      </c>
      <c r="BB404" t="s">
        <v>74</v>
      </c>
      <c r="BC404" t="s">
        <v>74</v>
      </c>
      <c r="BD404" t="s">
        <v>8356</v>
      </c>
      <c r="BE404" t="s">
        <v>8357</v>
      </c>
      <c r="BF404" t="str">
        <f>HYPERLINK("http://dx.doi.org/10.1029/2022GL098428","http://dx.doi.org/10.1029/2022GL098428")</f>
        <v>http://dx.doi.org/10.1029/2022GL098428</v>
      </c>
      <c r="BG404" t="s">
        <v>74</v>
      </c>
      <c r="BH404" t="s">
        <v>74</v>
      </c>
      <c r="BI404">
        <v>13</v>
      </c>
      <c r="BJ404" t="s">
        <v>265</v>
      </c>
      <c r="BK404" t="s">
        <v>101</v>
      </c>
      <c r="BL404" t="s">
        <v>100</v>
      </c>
      <c r="BM404" t="s">
        <v>8358</v>
      </c>
      <c r="BN404" t="s">
        <v>74</v>
      </c>
      <c r="BO404" t="s">
        <v>74</v>
      </c>
      <c r="BP404" t="s">
        <v>74</v>
      </c>
      <c r="BQ404" t="s">
        <v>74</v>
      </c>
      <c r="BR404" t="s">
        <v>103</v>
      </c>
      <c r="BS404" t="s">
        <v>8359</v>
      </c>
      <c r="BT404" t="str">
        <f>HYPERLINK("https%3A%2F%2Fwww.webofscience.com%2Fwos%2Fwoscc%2Ffull-record%2FWOS:000787676100001","View Full Record in Web of Science")</f>
        <v>View Full Record in Web of Science</v>
      </c>
    </row>
    <row r="405" spans="1:72" x14ac:dyDescent="0.15">
      <c r="A405" t="s">
        <v>72</v>
      </c>
      <c r="B405" t="s">
        <v>8360</v>
      </c>
      <c r="C405" t="s">
        <v>74</v>
      </c>
      <c r="D405" t="s">
        <v>74</v>
      </c>
      <c r="E405" t="s">
        <v>74</v>
      </c>
      <c r="F405" t="s">
        <v>8361</v>
      </c>
      <c r="G405" t="s">
        <v>74</v>
      </c>
      <c r="H405" t="s">
        <v>74</v>
      </c>
      <c r="I405" t="s">
        <v>8362</v>
      </c>
      <c r="J405" t="s">
        <v>3419</v>
      </c>
      <c r="K405" t="s">
        <v>74</v>
      </c>
      <c r="L405" t="s">
        <v>74</v>
      </c>
      <c r="M405" t="s">
        <v>78</v>
      </c>
      <c r="N405" t="s">
        <v>79</v>
      </c>
      <c r="O405" t="s">
        <v>74</v>
      </c>
      <c r="P405" t="s">
        <v>74</v>
      </c>
      <c r="Q405" t="s">
        <v>74</v>
      </c>
      <c r="R405" t="s">
        <v>74</v>
      </c>
      <c r="S405" t="s">
        <v>74</v>
      </c>
      <c r="T405" t="s">
        <v>8363</v>
      </c>
      <c r="U405" t="s">
        <v>8364</v>
      </c>
      <c r="V405" t="s">
        <v>8365</v>
      </c>
      <c r="W405" t="s">
        <v>8366</v>
      </c>
      <c r="X405" t="s">
        <v>8367</v>
      </c>
      <c r="Y405" t="s">
        <v>8368</v>
      </c>
      <c r="Z405" t="s">
        <v>8369</v>
      </c>
      <c r="AA405" t="s">
        <v>8370</v>
      </c>
      <c r="AB405" t="s">
        <v>8371</v>
      </c>
      <c r="AC405" t="s">
        <v>8372</v>
      </c>
      <c r="AD405" t="s">
        <v>8373</v>
      </c>
      <c r="AE405" t="s">
        <v>8374</v>
      </c>
      <c r="AF405" t="s">
        <v>74</v>
      </c>
      <c r="AG405">
        <v>68</v>
      </c>
      <c r="AH405">
        <v>4</v>
      </c>
      <c r="AI405">
        <v>4</v>
      </c>
      <c r="AJ405">
        <v>4</v>
      </c>
      <c r="AK405">
        <v>23</v>
      </c>
      <c r="AL405" t="s">
        <v>2042</v>
      </c>
      <c r="AM405" t="s">
        <v>2043</v>
      </c>
      <c r="AN405" t="s">
        <v>2044</v>
      </c>
      <c r="AO405" t="s">
        <v>3432</v>
      </c>
      <c r="AP405" t="s">
        <v>3433</v>
      </c>
      <c r="AQ405" t="s">
        <v>74</v>
      </c>
      <c r="AR405" t="s">
        <v>3434</v>
      </c>
      <c r="AS405" t="s">
        <v>3435</v>
      </c>
      <c r="AT405" t="s">
        <v>8289</v>
      </c>
      <c r="AU405">
        <v>2022</v>
      </c>
      <c r="AV405">
        <v>49</v>
      </c>
      <c r="AW405">
        <v>8</v>
      </c>
      <c r="AX405" t="s">
        <v>74</v>
      </c>
      <c r="AY405" t="s">
        <v>74</v>
      </c>
      <c r="AZ405" t="s">
        <v>74</v>
      </c>
      <c r="BA405" t="s">
        <v>74</v>
      </c>
      <c r="BB405" t="s">
        <v>74</v>
      </c>
      <c r="BC405" t="s">
        <v>74</v>
      </c>
      <c r="BD405" t="s">
        <v>8375</v>
      </c>
      <c r="BE405" t="s">
        <v>8376</v>
      </c>
      <c r="BF405" t="str">
        <f>HYPERLINK("http://dx.doi.org/10.1029/2021GL097098","http://dx.doi.org/10.1029/2021GL097098")</f>
        <v>http://dx.doi.org/10.1029/2021GL097098</v>
      </c>
      <c r="BG405" t="s">
        <v>74</v>
      </c>
      <c r="BH405" t="s">
        <v>74</v>
      </c>
      <c r="BI405">
        <v>10</v>
      </c>
      <c r="BJ405" t="s">
        <v>265</v>
      </c>
      <c r="BK405" t="s">
        <v>101</v>
      </c>
      <c r="BL405" t="s">
        <v>100</v>
      </c>
      <c r="BM405" t="s">
        <v>8377</v>
      </c>
      <c r="BN405" t="s">
        <v>74</v>
      </c>
      <c r="BO405" t="s">
        <v>8378</v>
      </c>
      <c r="BP405" t="s">
        <v>74</v>
      </c>
      <c r="BQ405" t="s">
        <v>74</v>
      </c>
      <c r="BR405" t="s">
        <v>103</v>
      </c>
      <c r="BS405" t="s">
        <v>8379</v>
      </c>
      <c r="BT405" t="str">
        <f>HYPERLINK("https%3A%2F%2Fwww.webofscience.com%2Fwos%2Fwoscc%2Ffull-record%2FWOS:000786336300001","View Full Record in Web of Science")</f>
        <v>View Full Record in Web of Science</v>
      </c>
    </row>
    <row r="406" spans="1:72" x14ac:dyDescent="0.15">
      <c r="A406" t="s">
        <v>72</v>
      </c>
      <c r="B406" t="s">
        <v>8380</v>
      </c>
      <c r="C406" t="s">
        <v>74</v>
      </c>
      <c r="D406" t="s">
        <v>74</v>
      </c>
      <c r="E406" t="s">
        <v>74</v>
      </c>
      <c r="F406" t="s">
        <v>8381</v>
      </c>
      <c r="G406" t="s">
        <v>74</v>
      </c>
      <c r="H406" t="s">
        <v>74</v>
      </c>
      <c r="I406" t="s">
        <v>8382</v>
      </c>
      <c r="J406" t="s">
        <v>3419</v>
      </c>
      <c r="K406" t="s">
        <v>74</v>
      </c>
      <c r="L406" t="s">
        <v>74</v>
      </c>
      <c r="M406" t="s">
        <v>78</v>
      </c>
      <c r="N406" t="s">
        <v>79</v>
      </c>
      <c r="O406" t="s">
        <v>74</v>
      </c>
      <c r="P406" t="s">
        <v>74</v>
      </c>
      <c r="Q406" t="s">
        <v>74</v>
      </c>
      <c r="R406" t="s">
        <v>74</v>
      </c>
      <c r="S406" t="s">
        <v>74</v>
      </c>
      <c r="T406" t="s">
        <v>8383</v>
      </c>
      <c r="U406" t="s">
        <v>8384</v>
      </c>
      <c r="V406" t="s">
        <v>8385</v>
      </c>
      <c r="W406" t="s">
        <v>8386</v>
      </c>
      <c r="X406" t="s">
        <v>8387</v>
      </c>
      <c r="Y406" t="s">
        <v>8388</v>
      </c>
      <c r="Z406" t="s">
        <v>8389</v>
      </c>
      <c r="AA406" t="s">
        <v>8390</v>
      </c>
      <c r="AB406" t="s">
        <v>8391</v>
      </c>
      <c r="AC406" t="s">
        <v>8392</v>
      </c>
      <c r="AD406" t="s">
        <v>8393</v>
      </c>
      <c r="AE406" t="s">
        <v>8394</v>
      </c>
      <c r="AF406" t="s">
        <v>74</v>
      </c>
      <c r="AG406">
        <v>29</v>
      </c>
      <c r="AH406">
        <v>5</v>
      </c>
      <c r="AI406">
        <v>5</v>
      </c>
      <c r="AJ406">
        <v>1</v>
      </c>
      <c r="AK406">
        <v>2</v>
      </c>
      <c r="AL406" t="s">
        <v>2042</v>
      </c>
      <c r="AM406" t="s">
        <v>2043</v>
      </c>
      <c r="AN406" t="s">
        <v>2044</v>
      </c>
      <c r="AO406" t="s">
        <v>3432</v>
      </c>
      <c r="AP406" t="s">
        <v>3433</v>
      </c>
      <c r="AQ406" t="s">
        <v>74</v>
      </c>
      <c r="AR406" t="s">
        <v>3434</v>
      </c>
      <c r="AS406" t="s">
        <v>3435</v>
      </c>
      <c r="AT406" t="s">
        <v>8289</v>
      </c>
      <c r="AU406">
        <v>2022</v>
      </c>
      <c r="AV406">
        <v>49</v>
      </c>
      <c r="AW406">
        <v>8</v>
      </c>
      <c r="AX406" t="s">
        <v>74</v>
      </c>
      <c r="AY406" t="s">
        <v>74</v>
      </c>
      <c r="AZ406" t="s">
        <v>74</v>
      </c>
      <c r="BA406" t="s">
        <v>74</v>
      </c>
      <c r="BB406" t="s">
        <v>74</v>
      </c>
      <c r="BC406" t="s">
        <v>74</v>
      </c>
      <c r="BD406" t="s">
        <v>8395</v>
      </c>
      <c r="BE406" t="s">
        <v>8396</v>
      </c>
      <c r="BF406" t="str">
        <f>HYPERLINK("http://dx.doi.org/10.1029/2022GL098036","http://dx.doi.org/10.1029/2022GL098036")</f>
        <v>http://dx.doi.org/10.1029/2022GL098036</v>
      </c>
      <c r="BG406" t="s">
        <v>74</v>
      </c>
      <c r="BH406" t="s">
        <v>74</v>
      </c>
      <c r="BI406">
        <v>11</v>
      </c>
      <c r="BJ406" t="s">
        <v>265</v>
      </c>
      <c r="BK406" t="s">
        <v>101</v>
      </c>
      <c r="BL406" t="s">
        <v>100</v>
      </c>
      <c r="BM406" t="s">
        <v>8397</v>
      </c>
      <c r="BN406" t="s">
        <v>74</v>
      </c>
      <c r="BO406" t="s">
        <v>267</v>
      </c>
      <c r="BP406" t="s">
        <v>74</v>
      </c>
      <c r="BQ406" t="s">
        <v>74</v>
      </c>
      <c r="BR406" t="s">
        <v>103</v>
      </c>
      <c r="BS406" t="s">
        <v>8398</v>
      </c>
      <c r="BT406" t="str">
        <f>HYPERLINK("https%3A%2F%2Fwww.webofscience.com%2Fwos%2Fwoscc%2Ffull-record%2FWOS:000783199000001","View Full Record in Web of Science")</f>
        <v>View Full Record in Web of Science</v>
      </c>
    </row>
    <row r="407" spans="1:72" x14ac:dyDescent="0.15">
      <c r="A407" t="s">
        <v>72</v>
      </c>
      <c r="B407" t="s">
        <v>8399</v>
      </c>
      <c r="C407" t="s">
        <v>74</v>
      </c>
      <c r="D407" t="s">
        <v>74</v>
      </c>
      <c r="E407" t="s">
        <v>74</v>
      </c>
      <c r="F407" t="s">
        <v>8400</v>
      </c>
      <c r="G407" t="s">
        <v>74</v>
      </c>
      <c r="H407" t="s">
        <v>74</v>
      </c>
      <c r="I407" t="s">
        <v>8401</v>
      </c>
      <c r="J407" t="s">
        <v>3419</v>
      </c>
      <c r="K407" t="s">
        <v>74</v>
      </c>
      <c r="L407" t="s">
        <v>74</v>
      </c>
      <c r="M407" t="s">
        <v>78</v>
      </c>
      <c r="N407" t="s">
        <v>79</v>
      </c>
      <c r="O407" t="s">
        <v>74</v>
      </c>
      <c r="P407" t="s">
        <v>74</v>
      </c>
      <c r="Q407" t="s">
        <v>74</v>
      </c>
      <c r="R407" t="s">
        <v>74</v>
      </c>
      <c r="S407" t="s">
        <v>74</v>
      </c>
      <c r="T407" t="s">
        <v>8402</v>
      </c>
      <c r="U407" t="s">
        <v>8403</v>
      </c>
      <c r="V407" t="s">
        <v>8404</v>
      </c>
      <c r="W407" t="s">
        <v>8405</v>
      </c>
      <c r="X407" t="s">
        <v>8406</v>
      </c>
      <c r="Y407" t="s">
        <v>8407</v>
      </c>
      <c r="Z407" t="s">
        <v>8408</v>
      </c>
      <c r="AA407" t="s">
        <v>74</v>
      </c>
      <c r="AB407" t="s">
        <v>8409</v>
      </c>
      <c r="AC407" t="s">
        <v>8410</v>
      </c>
      <c r="AD407" t="s">
        <v>8411</v>
      </c>
      <c r="AE407" t="s">
        <v>8412</v>
      </c>
      <c r="AF407" t="s">
        <v>74</v>
      </c>
      <c r="AG407">
        <v>24</v>
      </c>
      <c r="AH407">
        <v>2</v>
      </c>
      <c r="AI407">
        <v>2</v>
      </c>
      <c r="AJ407">
        <v>1</v>
      </c>
      <c r="AK407">
        <v>3</v>
      </c>
      <c r="AL407" t="s">
        <v>2042</v>
      </c>
      <c r="AM407" t="s">
        <v>2043</v>
      </c>
      <c r="AN407" t="s">
        <v>2044</v>
      </c>
      <c r="AO407" t="s">
        <v>3432</v>
      </c>
      <c r="AP407" t="s">
        <v>3433</v>
      </c>
      <c r="AQ407" t="s">
        <v>74</v>
      </c>
      <c r="AR407" t="s">
        <v>3434</v>
      </c>
      <c r="AS407" t="s">
        <v>3435</v>
      </c>
      <c r="AT407" t="s">
        <v>8289</v>
      </c>
      <c r="AU407">
        <v>2022</v>
      </c>
      <c r="AV407">
        <v>49</v>
      </c>
      <c r="AW407">
        <v>8</v>
      </c>
      <c r="AX407" t="s">
        <v>74</v>
      </c>
      <c r="AY407" t="s">
        <v>74</v>
      </c>
      <c r="AZ407" t="s">
        <v>74</v>
      </c>
      <c r="BA407" t="s">
        <v>74</v>
      </c>
      <c r="BB407" t="s">
        <v>74</v>
      </c>
      <c r="BC407" t="s">
        <v>74</v>
      </c>
      <c r="BD407" t="s">
        <v>8413</v>
      </c>
      <c r="BE407" t="s">
        <v>8414</v>
      </c>
      <c r="BF407" t="str">
        <f>HYPERLINK("http://dx.doi.org/10.1029/2022GL098260","http://dx.doi.org/10.1029/2022GL098260")</f>
        <v>http://dx.doi.org/10.1029/2022GL098260</v>
      </c>
      <c r="BG407" t="s">
        <v>74</v>
      </c>
      <c r="BH407" t="s">
        <v>74</v>
      </c>
      <c r="BI407">
        <v>9</v>
      </c>
      <c r="BJ407" t="s">
        <v>265</v>
      </c>
      <c r="BK407" t="s">
        <v>101</v>
      </c>
      <c r="BL407" t="s">
        <v>100</v>
      </c>
      <c r="BM407" t="s">
        <v>8415</v>
      </c>
      <c r="BN407" t="s">
        <v>74</v>
      </c>
      <c r="BO407" t="s">
        <v>643</v>
      </c>
      <c r="BP407" t="s">
        <v>74</v>
      </c>
      <c r="BQ407" t="s">
        <v>74</v>
      </c>
      <c r="BR407" t="s">
        <v>103</v>
      </c>
      <c r="BS407" t="s">
        <v>8416</v>
      </c>
      <c r="BT407" t="str">
        <f>HYPERLINK("https%3A%2F%2Fwww.webofscience.com%2Fwos%2Fwoscc%2Ffull-record%2FWOS:000783759600001","View Full Record in Web of Science")</f>
        <v>View Full Record in Web of Science</v>
      </c>
    </row>
    <row r="408" spans="1:72" x14ac:dyDescent="0.15">
      <c r="A408" t="s">
        <v>72</v>
      </c>
      <c r="B408" t="s">
        <v>8417</v>
      </c>
      <c r="C408" t="s">
        <v>74</v>
      </c>
      <c r="D408" t="s">
        <v>74</v>
      </c>
      <c r="E408" t="s">
        <v>74</v>
      </c>
      <c r="F408" t="s">
        <v>8418</v>
      </c>
      <c r="G408" t="s">
        <v>74</v>
      </c>
      <c r="H408" t="s">
        <v>74</v>
      </c>
      <c r="I408" t="s">
        <v>8419</v>
      </c>
      <c r="J408" t="s">
        <v>3419</v>
      </c>
      <c r="K408" t="s">
        <v>74</v>
      </c>
      <c r="L408" t="s">
        <v>74</v>
      </c>
      <c r="M408" t="s">
        <v>78</v>
      </c>
      <c r="N408" t="s">
        <v>79</v>
      </c>
      <c r="O408" t="s">
        <v>74</v>
      </c>
      <c r="P408" t="s">
        <v>74</v>
      </c>
      <c r="Q408" t="s">
        <v>74</v>
      </c>
      <c r="R408" t="s">
        <v>74</v>
      </c>
      <c r="S408" t="s">
        <v>74</v>
      </c>
      <c r="T408" t="s">
        <v>8420</v>
      </c>
      <c r="U408" t="s">
        <v>8421</v>
      </c>
      <c r="V408" t="s">
        <v>8422</v>
      </c>
      <c r="W408" t="s">
        <v>8423</v>
      </c>
      <c r="X408" t="s">
        <v>8424</v>
      </c>
      <c r="Y408" t="s">
        <v>8425</v>
      </c>
      <c r="Z408" t="s">
        <v>8426</v>
      </c>
      <c r="AA408" t="s">
        <v>8427</v>
      </c>
      <c r="AB408" t="s">
        <v>8428</v>
      </c>
      <c r="AC408" t="s">
        <v>8429</v>
      </c>
      <c r="AD408" t="s">
        <v>8430</v>
      </c>
      <c r="AE408" t="s">
        <v>8431</v>
      </c>
      <c r="AF408" t="s">
        <v>74</v>
      </c>
      <c r="AG408">
        <v>83</v>
      </c>
      <c r="AH408">
        <v>12</v>
      </c>
      <c r="AI408">
        <v>12</v>
      </c>
      <c r="AJ408">
        <v>0</v>
      </c>
      <c r="AK408">
        <v>12</v>
      </c>
      <c r="AL408" t="s">
        <v>2042</v>
      </c>
      <c r="AM408" t="s">
        <v>2043</v>
      </c>
      <c r="AN408" t="s">
        <v>2044</v>
      </c>
      <c r="AO408" t="s">
        <v>3432</v>
      </c>
      <c r="AP408" t="s">
        <v>3433</v>
      </c>
      <c r="AQ408" t="s">
        <v>74</v>
      </c>
      <c r="AR408" t="s">
        <v>3434</v>
      </c>
      <c r="AS408" t="s">
        <v>3435</v>
      </c>
      <c r="AT408" t="s">
        <v>8289</v>
      </c>
      <c r="AU408">
        <v>2022</v>
      </c>
      <c r="AV408">
        <v>49</v>
      </c>
      <c r="AW408">
        <v>8</v>
      </c>
      <c r="AX408" t="s">
        <v>74</v>
      </c>
      <c r="AY408" t="s">
        <v>74</v>
      </c>
      <c r="AZ408" t="s">
        <v>74</v>
      </c>
      <c r="BA408" t="s">
        <v>74</v>
      </c>
      <c r="BB408" t="s">
        <v>74</v>
      </c>
      <c r="BC408" t="s">
        <v>74</v>
      </c>
      <c r="BD408" t="s">
        <v>8432</v>
      </c>
      <c r="BE408" t="s">
        <v>8433</v>
      </c>
      <c r="BF408" t="str">
        <f>HYPERLINK("http://dx.doi.org/10.1029/2021GL097259","http://dx.doi.org/10.1029/2021GL097259")</f>
        <v>http://dx.doi.org/10.1029/2021GL097259</v>
      </c>
      <c r="BG408" t="s">
        <v>74</v>
      </c>
      <c r="BH408" t="s">
        <v>74</v>
      </c>
      <c r="BI408">
        <v>10</v>
      </c>
      <c r="BJ408" t="s">
        <v>265</v>
      </c>
      <c r="BK408" t="s">
        <v>101</v>
      </c>
      <c r="BL408" t="s">
        <v>100</v>
      </c>
      <c r="BM408" t="s">
        <v>8434</v>
      </c>
      <c r="BN408" t="s">
        <v>74</v>
      </c>
      <c r="BO408" t="s">
        <v>8435</v>
      </c>
      <c r="BP408" t="s">
        <v>74</v>
      </c>
      <c r="BQ408" t="s">
        <v>74</v>
      </c>
      <c r="BR408" t="s">
        <v>103</v>
      </c>
      <c r="BS408" t="s">
        <v>8436</v>
      </c>
      <c r="BT408" t="str">
        <f>HYPERLINK("https%3A%2F%2Fwww.webofscience.com%2Fwos%2Fwoscc%2Ffull-record%2FWOS:000782431200001","View Full Record in Web of Science")</f>
        <v>View Full Record in Web of Science</v>
      </c>
    </row>
    <row r="409" spans="1:72" x14ac:dyDescent="0.15">
      <c r="A409" t="s">
        <v>72</v>
      </c>
      <c r="B409" t="s">
        <v>8437</v>
      </c>
      <c r="C409" t="s">
        <v>74</v>
      </c>
      <c r="D409" t="s">
        <v>74</v>
      </c>
      <c r="E409" t="s">
        <v>74</v>
      </c>
      <c r="F409" t="s">
        <v>8438</v>
      </c>
      <c r="G409" t="s">
        <v>74</v>
      </c>
      <c r="H409" t="s">
        <v>74</v>
      </c>
      <c r="I409" t="s">
        <v>8439</v>
      </c>
      <c r="J409" t="s">
        <v>3419</v>
      </c>
      <c r="K409" t="s">
        <v>74</v>
      </c>
      <c r="L409" t="s">
        <v>74</v>
      </c>
      <c r="M409" t="s">
        <v>78</v>
      </c>
      <c r="N409" t="s">
        <v>79</v>
      </c>
      <c r="O409" t="s">
        <v>74</v>
      </c>
      <c r="P409" t="s">
        <v>74</v>
      </c>
      <c r="Q409" t="s">
        <v>74</v>
      </c>
      <c r="R409" t="s">
        <v>74</v>
      </c>
      <c r="S409" t="s">
        <v>74</v>
      </c>
      <c r="T409" t="s">
        <v>8440</v>
      </c>
      <c r="U409" t="s">
        <v>8441</v>
      </c>
      <c r="V409" t="s">
        <v>8442</v>
      </c>
      <c r="W409" t="s">
        <v>8443</v>
      </c>
      <c r="X409" t="s">
        <v>8444</v>
      </c>
      <c r="Y409" t="s">
        <v>8445</v>
      </c>
      <c r="Z409" t="s">
        <v>8446</v>
      </c>
      <c r="AA409" t="s">
        <v>8447</v>
      </c>
      <c r="AB409" t="s">
        <v>8448</v>
      </c>
      <c r="AC409" t="s">
        <v>8449</v>
      </c>
      <c r="AD409" t="s">
        <v>8450</v>
      </c>
      <c r="AE409" t="s">
        <v>8451</v>
      </c>
      <c r="AF409" t="s">
        <v>74</v>
      </c>
      <c r="AG409">
        <v>59</v>
      </c>
      <c r="AH409">
        <v>0</v>
      </c>
      <c r="AI409">
        <v>0</v>
      </c>
      <c r="AJ409">
        <v>0</v>
      </c>
      <c r="AK409">
        <v>2</v>
      </c>
      <c r="AL409" t="s">
        <v>2042</v>
      </c>
      <c r="AM409" t="s">
        <v>2043</v>
      </c>
      <c r="AN409" t="s">
        <v>2044</v>
      </c>
      <c r="AO409" t="s">
        <v>3432</v>
      </c>
      <c r="AP409" t="s">
        <v>3433</v>
      </c>
      <c r="AQ409" t="s">
        <v>74</v>
      </c>
      <c r="AR409" t="s">
        <v>3434</v>
      </c>
      <c r="AS409" t="s">
        <v>3435</v>
      </c>
      <c r="AT409" t="s">
        <v>8289</v>
      </c>
      <c r="AU409">
        <v>2022</v>
      </c>
      <c r="AV409">
        <v>49</v>
      </c>
      <c r="AW409">
        <v>8</v>
      </c>
      <c r="AX409" t="s">
        <v>74</v>
      </c>
      <c r="AY409" t="s">
        <v>74</v>
      </c>
      <c r="AZ409" t="s">
        <v>74</v>
      </c>
      <c r="BA409" t="s">
        <v>74</v>
      </c>
      <c r="BB409" t="s">
        <v>74</v>
      </c>
      <c r="BC409" t="s">
        <v>74</v>
      </c>
      <c r="BD409" t="s">
        <v>8452</v>
      </c>
      <c r="BE409" t="s">
        <v>8453</v>
      </c>
      <c r="BF409" t="str">
        <f>HYPERLINK("http://dx.doi.org/10.1029/2022GL098294","http://dx.doi.org/10.1029/2022GL098294")</f>
        <v>http://dx.doi.org/10.1029/2022GL098294</v>
      </c>
      <c r="BG409" t="s">
        <v>74</v>
      </c>
      <c r="BH409" t="s">
        <v>74</v>
      </c>
      <c r="BI409">
        <v>11</v>
      </c>
      <c r="BJ409" t="s">
        <v>265</v>
      </c>
      <c r="BK409" t="s">
        <v>101</v>
      </c>
      <c r="BL409" t="s">
        <v>100</v>
      </c>
      <c r="BM409" t="s">
        <v>8454</v>
      </c>
      <c r="BN409" t="s">
        <v>74</v>
      </c>
      <c r="BO409" t="s">
        <v>883</v>
      </c>
      <c r="BP409" t="s">
        <v>74</v>
      </c>
      <c r="BQ409" t="s">
        <v>74</v>
      </c>
      <c r="BR409" t="s">
        <v>103</v>
      </c>
      <c r="BS409" t="s">
        <v>8455</v>
      </c>
      <c r="BT409" t="str">
        <f>HYPERLINK("https%3A%2F%2Fwww.webofscience.com%2Fwos%2Fwoscc%2Ffull-record%2FWOS:000781875100001","View Full Record in Web of Science")</f>
        <v>View Full Record in Web of Science</v>
      </c>
    </row>
    <row r="410" spans="1:72" x14ac:dyDescent="0.15">
      <c r="A410" t="s">
        <v>72</v>
      </c>
      <c r="B410" t="s">
        <v>8456</v>
      </c>
      <c r="C410" t="s">
        <v>74</v>
      </c>
      <c r="D410" t="s">
        <v>74</v>
      </c>
      <c r="E410" t="s">
        <v>74</v>
      </c>
      <c r="F410" t="s">
        <v>8457</v>
      </c>
      <c r="G410" t="s">
        <v>74</v>
      </c>
      <c r="H410" t="s">
        <v>74</v>
      </c>
      <c r="I410" t="s">
        <v>8458</v>
      </c>
      <c r="J410" t="s">
        <v>3217</v>
      </c>
      <c r="K410" t="s">
        <v>74</v>
      </c>
      <c r="L410" t="s">
        <v>74</v>
      </c>
      <c r="M410" t="s">
        <v>78</v>
      </c>
      <c r="N410" t="s">
        <v>79</v>
      </c>
      <c r="O410" t="s">
        <v>74</v>
      </c>
      <c r="P410" t="s">
        <v>74</v>
      </c>
      <c r="Q410" t="s">
        <v>74</v>
      </c>
      <c r="R410" t="s">
        <v>74</v>
      </c>
      <c r="S410" t="s">
        <v>74</v>
      </c>
      <c r="T410" t="s">
        <v>8459</v>
      </c>
      <c r="U410" t="s">
        <v>8460</v>
      </c>
      <c r="V410" t="s">
        <v>8461</v>
      </c>
      <c r="W410" t="s">
        <v>8462</v>
      </c>
      <c r="X410" t="s">
        <v>8463</v>
      </c>
      <c r="Y410" t="s">
        <v>8464</v>
      </c>
      <c r="Z410" t="s">
        <v>8465</v>
      </c>
      <c r="AA410" t="s">
        <v>74</v>
      </c>
      <c r="AB410" t="s">
        <v>74</v>
      </c>
      <c r="AC410" t="s">
        <v>8466</v>
      </c>
      <c r="AD410" t="s">
        <v>8466</v>
      </c>
      <c r="AE410" t="s">
        <v>8467</v>
      </c>
      <c r="AF410" t="s">
        <v>74</v>
      </c>
      <c r="AG410">
        <v>44</v>
      </c>
      <c r="AH410">
        <v>0</v>
      </c>
      <c r="AI410">
        <v>0</v>
      </c>
      <c r="AJ410">
        <v>1</v>
      </c>
      <c r="AK410">
        <v>7</v>
      </c>
      <c r="AL410" t="s">
        <v>3228</v>
      </c>
      <c r="AM410" t="s">
        <v>200</v>
      </c>
      <c r="AN410" t="s">
        <v>3229</v>
      </c>
      <c r="AO410" t="s">
        <v>3230</v>
      </c>
      <c r="AP410" t="s">
        <v>3231</v>
      </c>
      <c r="AQ410" t="s">
        <v>74</v>
      </c>
      <c r="AR410" t="s">
        <v>3232</v>
      </c>
      <c r="AS410" t="s">
        <v>3233</v>
      </c>
      <c r="AT410" t="s">
        <v>2579</v>
      </c>
      <c r="AU410">
        <v>2022</v>
      </c>
      <c r="AV410">
        <v>69</v>
      </c>
      <c r="AW410">
        <v>11</v>
      </c>
      <c r="AX410" t="s">
        <v>74</v>
      </c>
      <c r="AY410" t="s">
        <v>74</v>
      </c>
      <c r="AZ410" t="s">
        <v>74</v>
      </c>
      <c r="BA410" t="s">
        <v>74</v>
      </c>
      <c r="BB410">
        <v>4129</v>
      </c>
      <c r="BC410">
        <v>4139</v>
      </c>
      <c r="BD410" t="s">
        <v>74</v>
      </c>
      <c r="BE410" t="s">
        <v>8468</v>
      </c>
      <c r="BF410" t="str">
        <f>HYPERLINK("http://dx.doi.org/10.1016/j.asr.2022.03.015","http://dx.doi.org/10.1016/j.asr.2022.03.015")</f>
        <v>http://dx.doi.org/10.1016/j.asr.2022.03.015</v>
      </c>
      <c r="BG410" t="s">
        <v>74</v>
      </c>
      <c r="BH410" t="s">
        <v>7987</v>
      </c>
      <c r="BI410">
        <v>11</v>
      </c>
      <c r="BJ410" t="s">
        <v>3236</v>
      </c>
      <c r="BK410" t="s">
        <v>101</v>
      </c>
      <c r="BL410" t="s">
        <v>3237</v>
      </c>
      <c r="BM410" t="s">
        <v>8469</v>
      </c>
      <c r="BN410" t="s">
        <v>74</v>
      </c>
      <c r="BO410" t="s">
        <v>74</v>
      </c>
      <c r="BP410" t="s">
        <v>74</v>
      </c>
      <c r="BQ410" t="s">
        <v>74</v>
      </c>
      <c r="BR410" t="s">
        <v>103</v>
      </c>
      <c r="BS410" t="s">
        <v>8470</v>
      </c>
      <c r="BT410" t="str">
        <f>HYPERLINK("https%3A%2F%2Fwww.webofscience.com%2Fwos%2Fwoscc%2Ffull-record%2FWOS:000796732500004","View Full Record in Web of Science")</f>
        <v>View Full Record in Web of Science</v>
      </c>
    </row>
    <row r="411" spans="1:72" x14ac:dyDescent="0.15">
      <c r="A411" t="s">
        <v>72</v>
      </c>
      <c r="B411" t="s">
        <v>8471</v>
      </c>
      <c r="C411" t="s">
        <v>74</v>
      </c>
      <c r="D411" t="s">
        <v>74</v>
      </c>
      <c r="E411" t="s">
        <v>74</v>
      </c>
      <c r="F411" t="s">
        <v>8472</v>
      </c>
      <c r="G411" t="s">
        <v>74</v>
      </c>
      <c r="H411" t="s">
        <v>74</v>
      </c>
      <c r="I411" t="s">
        <v>8473</v>
      </c>
      <c r="J411" t="s">
        <v>570</v>
      </c>
      <c r="K411" t="s">
        <v>74</v>
      </c>
      <c r="L411" t="s">
        <v>74</v>
      </c>
      <c r="M411" t="s">
        <v>78</v>
      </c>
      <c r="N411" t="s">
        <v>79</v>
      </c>
      <c r="O411" t="s">
        <v>74</v>
      </c>
      <c r="P411" t="s">
        <v>74</v>
      </c>
      <c r="Q411" t="s">
        <v>74</v>
      </c>
      <c r="R411" t="s">
        <v>74</v>
      </c>
      <c r="S411" t="s">
        <v>74</v>
      </c>
      <c r="T411" t="s">
        <v>8474</v>
      </c>
      <c r="U411" t="s">
        <v>8475</v>
      </c>
      <c r="V411" t="s">
        <v>8476</v>
      </c>
      <c r="W411" t="s">
        <v>8477</v>
      </c>
      <c r="X411" t="s">
        <v>8478</v>
      </c>
      <c r="Y411" t="s">
        <v>8479</v>
      </c>
      <c r="Z411" t="s">
        <v>8480</v>
      </c>
      <c r="AA411" t="s">
        <v>8481</v>
      </c>
      <c r="AB411" t="s">
        <v>8482</v>
      </c>
      <c r="AC411" t="s">
        <v>74</v>
      </c>
      <c r="AD411" t="s">
        <v>74</v>
      </c>
      <c r="AE411" t="s">
        <v>74</v>
      </c>
      <c r="AF411" t="s">
        <v>74</v>
      </c>
      <c r="AG411">
        <v>65</v>
      </c>
      <c r="AH411">
        <v>14</v>
      </c>
      <c r="AI411">
        <v>15</v>
      </c>
      <c r="AJ411">
        <v>25</v>
      </c>
      <c r="AK411">
        <v>121</v>
      </c>
      <c r="AL411" t="s">
        <v>580</v>
      </c>
      <c r="AM411" t="s">
        <v>401</v>
      </c>
      <c r="AN411" t="s">
        <v>581</v>
      </c>
      <c r="AO411" t="s">
        <v>582</v>
      </c>
      <c r="AP411" t="s">
        <v>583</v>
      </c>
      <c r="AQ411" t="s">
        <v>74</v>
      </c>
      <c r="AR411" t="s">
        <v>584</v>
      </c>
      <c r="AS411" t="s">
        <v>585</v>
      </c>
      <c r="AT411" t="s">
        <v>8483</v>
      </c>
      <c r="AU411">
        <v>2022</v>
      </c>
      <c r="AV411">
        <v>289</v>
      </c>
      <c r="AW411">
        <v>1973</v>
      </c>
      <c r="AX411" t="s">
        <v>74</v>
      </c>
      <c r="AY411" t="s">
        <v>74</v>
      </c>
      <c r="AZ411" t="s">
        <v>74</v>
      </c>
      <c r="BA411" t="s">
        <v>74</v>
      </c>
      <c r="BB411" t="s">
        <v>74</v>
      </c>
      <c r="BC411" t="s">
        <v>74</v>
      </c>
      <c r="BD411">
        <v>20220162</v>
      </c>
      <c r="BE411" t="s">
        <v>8484</v>
      </c>
      <c r="BF411" t="str">
        <f>HYPERLINK("http://dx.doi.org/10.1098/rspb.2022.0162","http://dx.doi.org/10.1098/rspb.2022.0162")</f>
        <v>http://dx.doi.org/10.1098/rspb.2022.0162</v>
      </c>
      <c r="BG411" t="s">
        <v>74</v>
      </c>
      <c r="BH411" t="s">
        <v>74</v>
      </c>
      <c r="BI411">
        <v>10</v>
      </c>
      <c r="BJ411" t="s">
        <v>587</v>
      </c>
      <c r="BK411" t="s">
        <v>101</v>
      </c>
      <c r="BL411" t="s">
        <v>588</v>
      </c>
      <c r="BM411" t="s">
        <v>8485</v>
      </c>
      <c r="BN411">
        <v>35440210</v>
      </c>
      <c r="BO411" t="s">
        <v>8486</v>
      </c>
      <c r="BP411" t="s">
        <v>74</v>
      </c>
      <c r="BQ411" t="s">
        <v>74</v>
      </c>
      <c r="BR411" t="s">
        <v>103</v>
      </c>
      <c r="BS411" t="s">
        <v>8487</v>
      </c>
      <c r="BT411" t="str">
        <f>HYPERLINK("https%3A%2F%2Fwww.webofscience.com%2Fwos%2Fwoscc%2Ffull-record%2FWOS:000791285600004","View Full Record in Web of Science")</f>
        <v>View Full Record in Web of Science</v>
      </c>
    </row>
    <row r="412" spans="1:72" x14ac:dyDescent="0.15">
      <c r="A412" t="s">
        <v>72</v>
      </c>
      <c r="B412" t="s">
        <v>8488</v>
      </c>
      <c r="C412" t="s">
        <v>74</v>
      </c>
      <c r="D412" t="s">
        <v>74</v>
      </c>
      <c r="E412" t="s">
        <v>74</v>
      </c>
      <c r="F412" t="s">
        <v>8489</v>
      </c>
      <c r="G412" t="s">
        <v>74</v>
      </c>
      <c r="H412" t="s">
        <v>74</v>
      </c>
      <c r="I412" t="s">
        <v>8490</v>
      </c>
      <c r="J412" t="s">
        <v>8491</v>
      </c>
      <c r="K412" t="s">
        <v>74</v>
      </c>
      <c r="L412" t="s">
        <v>74</v>
      </c>
      <c r="M412" t="s">
        <v>78</v>
      </c>
      <c r="N412" t="s">
        <v>79</v>
      </c>
      <c r="O412" t="s">
        <v>74</v>
      </c>
      <c r="P412" t="s">
        <v>74</v>
      </c>
      <c r="Q412" t="s">
        <v>74</v>
      </c>
      <c r="R412" t="s">
        <v>74</v>
      </c>
      <c r="S412" t="s">
        <v>74</v>
      </c>
      <c r="T412" t="s">
        <v>8492</v>
      </c>
      <c r="U412" t="s">
        <v>8493</v>
      </c>
      <c r="V412" t="s">
        <v>8494</v>
      </c>
      <c r="W412" t="s">
        <v>8495</v>
      </c>
      <c r="X412" t="s">
        <v>8496</v>
      </c>
      <c r="Y412" t="s">
        <v>8497</v>
      </c>
      <c r="Z412" t="s">
        <v>8498</v>
      </c>
      <c r="AA412" t="s">
        <v>8499</v>
      </c>
      <c r="AB412" t="s">
        <v>8500</v>
      </c>
      <c r="AC412" t="s">
        <v>8501</v>
      </c>
      <c r="AD412" t="s">
        <v>8502</v>
      </c>
      <c r="AE412" t="s">
        <v>8503</v>
      </c>
      <c r="AF412" t="s">
        <v>74</v>
      </c>
      <c r="AG412">
        <v>50</v>
      </c>
      <c r="AH412">
        <v>2</v>
      </c>
      <c r="AI412">
        <v>2</v>
      </c>
      <c r="AJ412">
        <v>3</v>
      </c>
      <c r="AK412">
        <v>6</v>
      </c>
      <c r="AL412" t="s">
        <v>91</v>
      </c>
      <c r="AM412" t="s">
        <v>92</v>
      </c>
      <c r="AN412" t="s">
        <v>93</v>
      </c>
      <c r="AO412" t="s">
        <v>8504</v>
      </c>
      <c r="AP412" t="s">
        <v>8505</v>
      </c>
      <c r="AQ412" t="s">
        <v>74</v>
      </c>
      <c r="AR412" t="s">
        <v>8506</v>
      </c>
      <c r="AS412" t="s">
        <v>8507</v>
      </c>
      <c r="AT412" t="s">
        <v>8508</v>
      </c>
      <c r="AU412">
        <v>2022</v>
      </c>
      <c r="AV412">
        <v>47</v>
      </c>
      <c r="AW412">
        <v>8</v>
      </c>
      <c r="AX412" t="s">
        <v>74</v>
      </c>
      <c r="AY412" t="s">
        <v>74</v>
      </c>
      <c r="AZ412" t="s">
        <v>74</v>
      </c>
      <c r="BA412" t="s">
        <v>74</v>
      </c>
      <c r="BB412">
        <v>2130</v>
      </c>
      <c r="BC412">
        <v>2150</v>
      </c>
      <c r="BD412" t="s">
        <v>74</v>
      </c>
      <c r="BE412" t="s">
        <v>8509</v>
      </c>
      <c r="BF412" t="str">
        <f>HYPERLINK("http://dx.doi.org/10.1002/esp.5367","http://dx.doi.org/10.1002/esp.5367")</f>
        <v>http://dx.doi.org/10.1002/esp.5367</v>
      </c>
      <c r="BG412" t="s">
        <v>74</v>
      </c>
      <c r="BH412" t="s">
        <v>7987</v>
      </c>
      <c r="BI412">
        <v>21</v>
      </c>
      <c r="BJ412" t="s">
        <v>125</v>
      </c>
      <c r="BK412" t="s">
        <v>101</v>
      </c>
      <c r="BL412" t="s">
        <v>126</v>
      </c>
      <c r="BM412" t="s">
        <v>8510</v>
      </c>
      <c r="BN412" t="s">
        <v>74</v>
      </c>
      <c r="BO412" t="s">
        <v>986</v>
      </c>
      <c r="BP412" t="s">
        <v>74</v>
      </c>
      <c r="BQ412" t="s">
        <v>74</v>
      </c>
      <c r="BR412" t="s">
        <v>103</v>
      </c>
      <c r="BS412" t="s">
        <v>8511</v>
      </c>
      <c r="BT412" t="str">
        <f>HYPERLINK("https%3A%2F%2Fwww.webofscience.com%2Fwos%2Fwoscc%2Ffull-record%2FWOS:000788371200001","View Full Record in Web of Science")</f>
        <v>View Full Record in Web of Science</v>
      </c>
    </row>
    <row r="413" spans="1:72" x14ac:dyDescent="0.15">
      <c r="A413" t="s">
        <v>72</v>
      </c>
      <c r="B413" t="s">
        <v>8512</v>
      </c>
      <c r="C413" t="s">
        <v>74</v>
      </c>
      <c r="D413" t="s">
        <v>74</v>
      </c>
      <c r="E413" t="s">
        <v>74</v>
      </c>
      <c r="F413" t="s">
        <v>8513</v>
      </c>
      <c r="G413" t="s">
        <v>74</v>
      </c>
      <c r="H413" t="s">
        <v>74</v>
      </c>
      <c r="I413" t="s">
        <v>8514</v>
      </c>
      <c r="J413" t="s">
        <v>648</v>
      </c>
      <c r="K413" t="s">
        <v>74</v>
      </c>
      <c r="L413" t="s">
        <v>74</v>
      </c>
      <c r="M413" t="s">
        <v>78</v>
      </c>
      <c r="N413" t="s">
        <v>79</v>
      </c>
      <c r="O413" t="s">
        <v>74</v>
      </c>
      <c r="P413" t="s">
        <v>74</v>
      </c>
      <c r="Q413" t="s">
        <v>74</v>
      </c>
      <c r="R413" t="s">
        <v>74</v>
      </c>
      <c r="S413" t="s">
        <v>74</v>
      </c>
      <c r="T413" t="s">
        <v>74</v>
      </c>
      <c r="U413" t="s">
        <v>8515</v>
      </c>
      <c r="V413" t="s">
        <v>8516</v>
      </c>
      <c r="W413" t="s">
        <v>8517</v>
      </c>
      <c r="X413" t="s">
        <v>8518</v>
      </c>
      <c r="Y413" t="s">
        <v>8519</v>
      </c>
      <c r="Z413" t="s">
        <v>8520</v>
      </c>
      <c r="AA413" t="s">
        <v>8521</v>
      </c>
      <c r="AB413" t="s">
        <v>8522</v>
      </c>
      <c r="AC413" t="s">
        <v>8523</v>
      </c>
      <c r="AD413" t="s">
        <v>8524</v>
      </c>
      <c r="AE413" t="s">
        <v>8525</v>
      </c>
      <c r="AF413" t="s">
        <v>74</v>
      </c>
      <c r="AG413">
        <v>30</v>
      </c>
      <c r="AH413">
        <v>7</v>
      </c>
      <c r="AI413">
        <v>7</v>
      </c>
      <c r="AJ413">
        <v>1</v>
      </c>
      <c r="AK413">
        <v>7</v>
      </c>
      <c r="AL413" t="s">
        <v>455</v>
      </c>
      <c r="AM413" t="s">
        <v>456</v>
      </c>
      <c r="AN413" t="s">
        <v>457</v>
      </c>
      <c r="AO413" t="s">
        <v>74</v>
      </c>
      <c r="AP413" t="s">
        <v>652</v>
      </c>
      <c r="AQ413" t="s">
        <v>74</v>
      </c>
      <c r="AR413" t="s">
        <v>653</v>
      </c>
      <c r="AS413" t="s">
        <v>654</v>
      </c>
      <c r="AT413" t="s">
        <v>8483</v>
      </c>
      <c r="AU413">
        <v>2022</v>
      </c>
      <c r="AV413">
        <v>13</v>
      </c>
      <c r="AW413">
        <v>1</v>
      </c>
      <c r="AX413" t="s">
        <v>74</v>
      </c>
      <c r="AY413" t="s">
        <v>74</v>
      </c>
      <c r="AZ413" t="s">
        <v>74</v>
      </c>
      <c r="BA413" t="s">
        <v>74</v>
      </c>
      <c r="BB413" t="s">
        <v>74</v>
      </c>
      <c r="BC413" t="s">
        <v>74</v>
      </c>
      <c r="BD413">
        <v>2265</v>
      </c>
      <c r="BE413" t="s">
        <v>8526</v>
      </c>
      <c r="BF413" t="str">
        <f>HYPERLINK("http://dx.doi.org/10.1038/s41467-022-29892-3","http://dx.doi.org/10.1038/s41467-022-29892-3")</f>
        <v>http://dx.doi.org/10.1038/s41467-022-29892-3</v>
      </c>
      <c r="BG413" t="s">
        <v>74</v>
      </c>
      <c r="BH413" t="s">
        <v>74</v>
      </c>
      <c r="BI413">
        <v>6</v>
      </c>
      <c r="BJ413" t="s">
        <v>657</v>
      </c>
      <c r="BK413" t="s">
        <v>101</v>
      </c>
      <c r="BL413" t="s">
        <v>658</v>
      </c>
      <c r="BM413" t="s">
        <v>8527</v>
      </c>
      <c r="BN413">
        <v>35477962</v>
      </c>
      <c r="BO413" t="s">
        <v>1533</v>
      </c>
      <c r="BP413" t="s">
        <v>74</v>
      </c>
      <c r="BQ413" t="s">
        <v>74</v>
      </c>
      <c r="BR413" t="s">
        <v>103</v>
      </c>
      <c r="BS413" t="s">
        <v>8528</v>
      </c>
      <c r="BT413" t="str">
        <f>HYPERLINK("https%3A%2F%2Fwww.webofscience.com%2Fwos%2Fwoscc%2Ffull-record%2FWOS:000788592600001","View Full Record in Web of Science")</f>
        <v>View Full Record in Web of Science</v>
      </c>
    </row>
    <row r="414" spans="1:72" x14ac:dyDescent="0.15">
      <c r="A414" t="s">
        <v>72</v>
      </c>
      <c r="B414" t="s">
        <v>8529</v>
      </c>
      <c r="C414" t="s">
        <v>74</v>
      </c>
      <c r="D414" t="s">
        <v>74</v>
      </c>
      <c r="E414" t="s">
        <v>74</v>
      </c>
      <c r="F414" t="s">
        <v>8530</v>
      </c>
      <c r="G414" t="s">
        <v>74</v>
      </c>
      <c r="H414" t="s">
        <v>74</v>
      </c>
      <c r="I414" t="s">
        <v>8531</v>
      </c>
      <c r="J414" t="s">
        <v>8532</v>
      </c>
      <c r="K414" t="s">
        <v>74</v>
      </c>
      <c r="L414" t="s">
        <v>74</v>
      </c>
      <c r="M414" t="s">
        <v>78</v>
      </c>
      <c r="N414" t="s">
        <v>79</v>
      </c>
      <c r="O414" t="s">
        <v>74</v>
      </c>
      <c r="P414" t="s">
        <v>74</v>
      </c>
      <c r="Q414" t="s">
        <v>74</v>
      </c>
      <c r="R414" t="s">
        <v>74</v>
      </c>
      <c r="S414" t="s">
        <v>74</v>
      </c>
      <c r="T414" t="s">
        <v>8533</v>
      </c>
      <c r="U414" t="s">
        <v>8534</v>
      </c>
      <c r="V414" t="s">
        <v>8535</v>
      </c>
      <c r="W414" t="s">
        <v>8536</v>
      </c>
      <c r="X414" t="s">
        <v>8537</v>
      </c>
      <c r="Y414" t="s">
        <v>8538</v>
      </c>
      <c r="Z414" t="s">
        <v>8539</v>
      </c>
      <c r="AA414" t="s">
        <v>8540</v>
      </c>
      <c r="AB414" t="s">
        <v>8541</v>
      </c>
      <c r="AC414" t="s">
        <v>8542</v>
      </c>
      <c r="AD414" t="s">
        <v>8543</v>
      </c>
      <c r="AE414" t="s">
        <v>8544</v>
      </c>
      <c r="AF414" t="s">
        <v>74</v>
      </c>
      <c r="AG414">
        <v>99</v>
      </c>
      <c r="AH414">
        <v>0</v>
      </c>
      <c r="AI414">
        <v>0</v>
      </c>
      <c r="AJ414">
        <v>4</v>
      </c>
      <c r="AK414">
        <v>19</v>
      </c>
      <c r="AL414" t="s">
        <v>530</v>
      </c>
      <c r="AM414" t="s">
        <v>531</v>
      </c>
      <c r="AN414" t="s">
        <v>532</v>
      </c>
      <c r="AO414" t="s">
        <v>8545</v>
      </c>
      <c r="AP414" t="s">
        <v>74</v>
      </c>
      <c r="AQ414" t="s">
        <v>74</v>
      </c>
      <c r="AR414" t="s">
        <v>8546</v>
      </c>
      <c r="AS414" t="s">
        <v>8547</v>
      </c>
      <c r="AT414" t="s">
        <v>8483</v>
      </c>
      <c r="AU414">
        <v>2022</v>
      </c>
      <c r="AV414">
        <v>9</v>
      </c>
      <c r="AW414">
        <v>1</v>
      </c>
      <c r="AX414" t="s">
        <v>74</v>
      </c>
      <c r="AY414" t="s">
        <v>74</v>
      </c>
      <c r="AZ414" t="s">
        <v>74</v>
      </c>
      <c r="BA414" t="s">
        <v>74</v>
      </c>
      <c r="BB414" t="s">
        <v>74</v>
      </c>
      <c r="BC414" t="s">
        <v>74</v>
      </c>
      <c r="BD414">
        <v>16</v>
      </c>
      <c r="BE414" t="s">
        <v>8548</v>
      </c>
      <c r="BF414" t="str">
        <f>HYPERLINK("http://dx.doi.org/10.1186/s40562-022-00226-x","http://dx.doi.org/10.1186/s40562-022-00226-x")</f>
        <v>http://dx.doi.org/10.1186/s40562-022-00226-x</v>
      </c>
      <c r="BG414" t="s">
        <v>74</v>
      </c>
      <c r="BH414" t="s">
        <v>74</v>
      </c>
      <c r="BI414">
        <v>12</v>
      </c>
      <c r="BJ414" t="s">
        <v>613</v>
      </c>
      <c r="BK414" t="s">
        <v>101</v>
      </c>
      <c r="BL414" t="s">
        <v>614</v>
      </c>
      <c r="BM414" t="s">
        <v>8549</v>
      </c>
      <c r="BN414" t="s">
        <v>74</v>
      </c>
      <c r="BO414" t="s">
        <v>438</v>
      </c>
      <c r="BP414" t="s">
        <v>74</v>
      </c>
      <c r="BQ414" t="s">
        <v>74</v>
      </c>
      <c r="BR414" t="s">
        <v>103</v>
      </c>
      <c r="BS414" t="s">
        <v>8550</v>
      </c>
      <c r="BT414" t="str">
        <f>HYPERLINK("https%3A%2F%2Fwww.webofscience.com%2Fwos%2Fwoscc%2Ffull-record%2FWOS:000788325300001","View Full Record in Web of Science")</f>
        <v>View Full Record in Web of Science</v>
      </c>
    </row>
    <row r="415" spans="1:72" x14ac:dyDescent="0.15">
      <c r="A415" t="s">
        <v>72</v>
      </c>
      <c r="B415" t="s">
        <v>8551</v>
      </c>
      <c r="C415" t="s">
        <v>74</v>
      </c>
      <c r="D415" t="s">
        <v>74</v>
      </c>
      <c r="E415" t="s">
        <v>74</v>
      </c>
      <c r="F415" t="s">
        <v>8552</v>
      </c>
      <c r="G415" t="s">
        <v>74</v>
      </c>
      <c r="H415" t="s">
        <v>74</v>
      </c>
      <c r="I415" t="s">
        <v>8553</v>
      </c>
      <c r="J415" t="s">
        <v>3636</v>
      </c>
      <c r="K415" t="s">
        <v>74</v>
      </c>
      <c r="L415" t="s">
        <v>74</v>
      </c>
      <c r="M415" t="s">
        <v>78</v>
      </c>
      <c r="N415" t="s">
        <v>79</v>
      </c>
      <c r="O415" t="s">
        <v>74</v>
      </c>
      <c r="P415" t="s">
        <v>74</v>
      </c>
      <c r="Q415" t="s">
        <v>74</v>
      </c>
      <c r="R415" t="s">
        <v>74</v>
      </c>
      <c r="S415" t="s">
        <v>74</v>
      </c>
      <c r="T415" t="s">
        <v>8554</v>
      </c>
      <c r="U415" t="s">
        <v>8555</v>
      </c>
      <c r="V415" t="s">
        <v>8556</v>
      </c>
      <c r="W415" t="s">
        <v>8557</v>
      </c>
      <c r="X415" t="s">
        <v>8558</v>
      </c>
      <c r="Y415" t="s">
        <v>8559</v>
      </c>
      <c r="Z415" t="s">
        <v>8560</v>
      </c>
      <c r="AA415" t="s">
        <v>8561</v>
      </c>
      <c r="AB415" t="s">
        <v>8562</v>
      </c>
      <c r="AC415" t="s">
        <v>8563</v>
      </c>
      <c r="AD415" t="s">
        <v>8564</v>
      </c>
      <c r="AE415" t="s">
        <v>8565</v>
      </c>
      <c r="AF415" t="s">
        <v>74</v>
      </c>
      <c r="AG415">
        <v>64</v>
      </c>
      <c r="AH415">
        <v>2</v>
      </c>
      <c r="AI415">
        <v>2</v>
      </c>
      <c r="AJ415">
        <v>2</v>
      </c>
      <c r="AK415">
        <v>3</v>
      </c>
      <c r="AL415" t="s">
        <v>2042</v>
      </c>
      <c r="AM415" t="s">
        <v>2043</v>
      </c>
      <c r="AN415" t="s">
        <v>2044</v>
      </c>
      <c r="AO415" t="s">
        <v>3648</v>
      </c>
      <c r="AP415" t="s">
        <v>3649</v>
      </c>
      <c r="AQ415" t="s">
        <v>74</v>
      </c>
      <c r="AR415" t="s">
        <v>3650</v>
      </c>
      <c r="AS415" t="s">
        <v>3651</v>
      </c>
      <c r="AT415" t="s">
        <v>8483</v>
      </c>
      <c r="AU415">
        <v>2022</v>
      </c>
      <c r="AV415">
        <v>127</v>
      </c>
      <c r="AW415">
        <v>8</v>
      </c>
      <c r="AX415" t="s">
        <v>74</v>
      </c>
      <c r="AY415" t="s">
        <v>74</v>
      </c>
      <c r="AZ415" t="s">
        <v>74</v>
      </c>
      <c r="BA415" t="s">
        <v>74</v>
      </c>
      <c r="BB415" t="s">
        <v>74</v>
      </c>
      <c r="BC415" t="s">
        <v>74</v>
      </c>
      <c r="BD415" t="s">
        <v>8566</v>
      </c>
      <c r="BE415" t="s">
        <v>8567</v>
      </c>
      <c r="BF415" t="str">
        <f>HYPERLINK("http://dx.doi.org/10.1029/2021JD034766","http://dx.doi.org/10.1029/2021JD034766")</f>
        <v>http://dx.doi.org/10.1029/2021JD034766</v>
      </c>
      <c r="BG415" t="s">
        <v>74</v>
      </c>
      <c r="BH415" t="s">
        <v>74</v>
      </c>
      <c r="BI415">
        <v>17</v>
      </c>
      <c r="BJ415" t="s">
        <v>510</v>
      </c>
      <c r="BK415" t="s">
        <v>101</v>
      </c>
      <c r="BL415" t="s">
        <v>510</v>
      </c>
      <c r="BM415" t="s">
        <v>8568</v>
      </c>
      <c r="BN415" t="s">
        <v>74</v>
      </c>
      <c r="BO415" t="s">
        <v>1149</v>
      </c>
      <c r="BP415" t="s">
        <v>74</v>
      </c>
      <c r="BQ415" t="s">
        <v>74</v>
      </c>
      <c r="BR415" t="s">
        <v>103</v>
      </c>
      <c r="BS415" t="s">
        <v>8569</v>
      </c>
      <c r="BT415" t="str">
        <f>HYPERLINK("https%3A%2F%2Fwww.webofscience.com%2Fwos%2Fwoscc%2Ffull-record%2FWOS:000787646100001","View Full Record in Web of Science")</f>
        <v>View Full Record in Web of Science</v>
      </c>
    </row>
    <row r="416" spans="1:72" x14ac:dyDescent="0.15">
      <c r="A416" t="s">
        <v>72</v>
      </c>
      <c r="B416" t="s">
        <v>8570</v>
      </c>
      <c r="C416" t="s">
        <v>74</v>
      </c>
      <c r="D416" t="s">
        <v>74</v>
      </c>
      <c r="E416" t="s">
        <v>74</v>
      </c>
      <c r="F416" t="s">
        <v>8571</v>
      </c>
      <c r="G416" t="s">
        <v>74</v>
      </c>
      <c r="H416" t="s">
        <v>74</v>
      </c>
      <c r="I416" t="s">
        <v>8572</v>
      </c>
      <c r="J416" t="s">
        <v>108</v>
      </c>
      <c r="K416" t="s">
        <v>74</v>
      </c>
      <c r="L416" t="s">
        <v>74</v>
      </c>
      <c r="M416" t="s">
        <v>78</v>
      </c>
      <c r="N416" t="s">
        <v>79</v>
      </c>
      <c r="O416" t="s">
        <v>74</v>
      </c>
      <c r="P416" t="s">
        <v>74</v>
      </c>
      <c r="Q416" t="s">
        <v>74</v>
      </c>
      <c r="R416" t="s">
        <v>74</v>
      </c>
      <c r="S416" t="s">
        <v>74</v>
      </c>
      <c r="T416" t="s">
        <v>74</v>
      </c>
      <c r="U416" t="s">
        <v>8573</v>
      </c>
      <c r="V416" t="s">
        <v>8574</v>
      </c>
      <c r="W416" t="s">
        <v>8575</v>
      </c>
      <c r="X416" t="s">
        <v>74</v>
      </c>
      <c r="Y416" t="s">
        <v>8576</v>
      </c>
      <c r="Z416" t="s">
        <v>8577</v>
      </c>
      <c r="AA416" t="s">
        <v>74</v>
      </c>
      <c r="AB416" t="s">
        <v>8578</v>
      </c>
      <c r="AC416" t="s">
        <v>8579</v>
      </c>
      <c r="AD416" t="s">
        <v>8580</v>
      </c>
      <c r="AE416" t="s">
        <v>8581</v>
      </c>
      <c r="AF416" t="s">
        <v>74</v>
      </c>
      <c r="AG416">
        <v>49</v>
      </c>
      <c r="AH416">
        <v>4</v>
      </c>
      <c r="AI416">
        <v>4</v>
      </c>
      <c r="AJ416">
        <v>0</v>
      </c>
      <c r="AK416">
        <v>8</v>
      </c>
      <c r="AL416" t="s">
        <v>117</v>
      </c>
      <c r="AM416" t="s">
        <v>118</v>
      </c>
      <c r="AN416" t="s">
        <v>119</v>
      </c>
      <c r="AO416" t="s">
        <v>120</v>
      </c>
      <c r="AP416" t="s">
        <v>121</v>
      </c>
      <c r="AQ416" t="s">
        <v>74</v>
      </c>
      <c r="AR416" t="s">
        <v>108</v>
      </c>
      <c r="AS416" t="s">
        <v>122</v>
      </c>
      <c r="AT416" t="s">
        <v>8483</v>
      </c>
      <c r="AU416">
        <v>2022</v>
      </c>
      <c r="AV416">
        <v>16</v>
      </c>
      <c r="AW416">
        <v>4</v>
      </c>
      <c r="AX416" t="s">
        <v>74</v>
      </c>
      <c r="AY416" t="s">
        <v>74</v>
      </c>
      <c r="AZ416" t="s">
        <v>74</v>
      </c>
      <c r="BA416" t="s">
        <v>74</v>
      </c>
      <c r="BB416">
        <v>1523</v>
      </c>
      <c r="BC416">
        <v>1542</v>
      </c>
      <c r="BD416" t="s">
        <v>74</v>
      </c>
      <c r="BE416" t="s">
        <v>8582</v>
      </c>
      <c r="BF416" t="str">
        <f>HYPERLINK("http://dx.doi.org/10.5194/tc-16-1523-2022","http://dx.doi.org/10.5194/tc-16-1523-2022")</f>
        <v>http://dx.doi.org/10.5194/tc-16-1523-2022</v>
      </c>
      <c r="BG416" t="s">
        <v>74</v>
      </c>
      <c r="BH416" t="s">
        <v>74</v>
      </c>
      <c r="BI416">
        <v>20</v>
      </c>
      <c r="BJ416" t="s">
        <v>125</v>
      </c>
      <c r="BK416" t="s">
        <v>101</v>
      </c>
      <c r="BL416" t="s">
        <v>126</v>
      </c>
      <c r="BM416" t="s">
        <v>8583</v>
      </c>
      <c r="BN416" t="s">
        <v>74</v>
      </c>
      <c r="BO416" t="s">
        <v>2560</v>
      </c>
      <c r="BP416" t="s">
        <v>74</v>
      </c>
      <c r="BQ416" t="s">
        <v>74</v>
      </c>
      <c r="BR416" t="s">
        <v>103</v>
      </c>
      <c r="BS416" t="s">
        <v>8584</v>
      </c>
      <c r="BT416" t="str">
        <f>HYPERLINK("https%3A%2F%2Fwww.webofscience.com%2Fwos%2Fwoscc%2Ffull-record%2FWOS:000787802700001","View Full Record in Web of Science")</f>
        <v>View Full Record in Web of Science</v>
      </c>
    </row>
    <row r="417" spans="1:72" x14ac:dyDescent="0.15">
      <c r="A417" t="s">
        <v>72</v>
      </c>
      <c r="B417" t="s">
        <v>8585</v>
      </c>
      <c r="C417" t="s">
        <v>74</v>
      </c>
      <c r="D417" t="s">
        <v>74</v>
      </c>
      <c r="E417" t="s">
        <v>74</v>
      </c>
      <c r="F417" t="s">
        <v>8586</v>
      </c>
      <c r="G417" t="s">
        <v>74</v>
      </c>
      <c r="H417" t="s">
        <v>74</v>
      </c>
      <c r="I417" t="s">
        <v>8587</v>
      </c>
      <c r="J417" t="s">
        <v>8588</v>
      </c>
      <c r="K417" t="s">
        <v>74</v>
      </c>
      <c r="L417" t="s">
        <v>74</v>
      </c>
      <c r="M417" t="s">
        <v>78</v>
      </c>
      <c r="N417" t="s">
        <v>79</v>
      </c>
      <c r="O417" t="s">
        <v>74</v>
      </c>
      <c r="P417" t="s">
        <v>74</v>
      </c>
      <c r="Q417" t="s">
        <v>74</v>
      </c>
      <c r="R417" t="s">
        <v>74</v>
      </c>
      <c r="S417" t="s">
        <v>74</v>
      </c>
      <c r="T417" t="s">
        <v>8589</v>
      </c>
      <c r="U417" t="s">
        <v>8590</v>
      </c>
      <c r="V417" t="s">
        <v>8591</v>
      </c>
      <c r="W417" t="s">
        <v>8592</v>
      </c>
      <c r="X417" t="s">
        <v>8593</v>
      </c>
      <c r="Y417" t="s">
        <v>8594</v>
      </c>
      <c r="Z417" t="s">
        <v>8595</v>
      </c>
      <c r="AA417" t="s">
        <v>8596</v>
      </c>
      <c r="AB417" t="s">
        <v>8597</v>
      </c>
      <c r="AC417" t="s">
        <v>8598</v>
      </c>
      <c r="AD417" t="s">
        <v>8599</v>
      </c>
      <c r="AE417" t="s">
        <v>8600</v>
      </c>
      <c r="AF417" t="s">
        <v>74</v>
      </c>
      <c r="AG417">
        <v>130</v>
      </c>
      <c r="AH417">
        <v>2</v>
      </c>
      <c r="AI417">
        <v>2</v>
      </c>
      <c r="AJ417">
        <v>4</v>
      </c>
      <c r="AK417">
        <v>12</v>
      </c>
      <c r="AL417" t="s">
        <v>633</v>
      </c>
      <c r="AM417" t="s">
        <v>200</v>
      </c>
      <c r="AN417" t="s">
        <v>634</v>
      </c>
      <c r="AO417" t="s">
        <v>8601</v>
      </c>
      <c r="AP417" t="s">
        <v>8602</v>
      </c>
      <c r="AQ417" t="s">
        <v>74</v>
      </c>
      <c r="AR417" t="s">
        <v>8603</v>
      </c>
      <c r="AS417" t="s">
        <v>8604</v>
      </c>
      <c r="AT417" t="s">
        <v>8483</v>
      </c>
      <c r="AU417">
        <v>2022</v>
      </c>
      <c r="AV417">
        <v>98</v>
      </c>
      <c r="AW417">
        <v>4</v>
      </c>
      <c r="AX417" t="s">
        <v>74</v>
      </c>
      <c r="AY417" t="s">
        <v>74</v>
      </c>
      <c r="AZ417" t="s">
        <v>74</v>
      </c>
      <c r="BA417" t="s">
        <v>74</v>
      </c>
      <c r="BB417" t="s">
        <v>74</v>
      </c>
      <c r="BC417" t="s">
        <v>74</v>
      </c>
      <c r="BD417" t="s">
        <v>8605</v>
      </c>
      <c r="BE417" t="s">
        <v>8606</v>
      </c>
      <c r="BF417" t="str">
        <f>HYPERLINK("http://dx.doi.org/10.1093/femsec/fiac029","http://dx.doi.org/10.1093/femsec/fiac029")</f>
        <v>http://dx.doi.org/10.1093/femsec/fiac029</v>
      </c>
      <c r="BG417" t="s">
        <v>74</v>
      </c>
      <c r="BH417" t="s">
        <v>74</v>
      </c>
      <c r="BI417">
        <v>12</v>
      </c>
      <c r="BJ417" t="s">
        <v>293</v>
      </c>
      <c r="BK417" t="s">
        <v>101</v>
      </c>
      <c r="BL417" t="s">
        <v>293</v>
      </c>
      <c r="BM417" t="s">
        <v>8607</v>
      </c>
      <c r="BN417">
        <v>35323914</v>
      </c>
      <c r="BO417" t="s">
        <v>74</v>
      </c>
      <c r="BP417" t="s">
        <v>74</v>
      </c>
      <c r="BQ417" t="s">
        <v>74</v>
      </c>
      <c r="BR417" t="s">
        <v>103</v>
      </c>
      <c r="BS417" t="s">
        <v>8608</v>
      </c>
      <c r="BT417" t="str">
        <f>HYPERLINK("https%3A%2F%2Fwww.webofscience.com%2Fwos%2Fwoscc%2Ffull-record%2FWOS:000788260600003","View Full Record in Web of Science")</f>
        <v>View Full Record in Web of Science</v>
      </c>
    </row>
    <row r="418" spans="1:72" x14ac:dyDescent="0.15">
      <c r="A418" t="s">
        <v>72</v>
      </c>
      <c r="B418" t="s">
        <v>8609</v>
      </c>
      <c r="C418" t="s">
        <v>74</v>
      </c>
      <c r="D418" t="s">
        <v>74</v>
      </c>
      <c r="E418" t="s">
        <v>74</v>
      </c>
      <c r="F418" t="s">
        <v>8610</v>
      </c>
      <c r="G418" t="s">
        <v>74</v>
      </c>
      <c r="H418" t="s">
        <v>74</v>
      </c>
      <c r="I418" t="s">
        <v>8611</v>
      </c>
      <c r="J418" t="s">
        <v>108</v>
      </c>
      <c r="K418" t="s">
        <v>74</v>
      </c>
      <c r="L418" t="s">
        <v>74</v>
      </c>
      <c r="M418" t="s">
        <v>78</v>
      </c>
      <c r="N418" t="s">
        <v>79</v>
      </c>
      <c r="O418" t="s">
        <v>74</v>
      </c>
      <c r="P418" t="s">
        <v>74</v>
      </c>
      <c r="Q418" t="s">
        <v>74</v>
      </c>
      <c r="R418" t="s">
        <v>74</v>
      </c>
      <c r="S418" t="s">
        <v>74</v>
      </c>
      <c r="T418" t="s">
        <v>74</v>
      </c>
      <c r="U418" t="s">
        <v>8612</v>
      </c>
      <c r="V418" t="s">
        <v>8613</v>
      </c>
      <c r="W418" t="s">
        <v>8614</v>
      </c>
      <c r="X418" t="s">
        <v>8615</v>
      </c>
      <c r="Y418" t="s">
        <v>8616</v>
      </c>
      <c r="Z418" t="s">
        <v>8617</v>
      </c>
      <c r="AA418" t="s">
        <v>8618</v>
      </c>
      <c r="AB418" t="s">
        <v>8619</v>
      </c>
      <c r="AC418" t="s">
        <v>8620</v>
      </c>
      <c r="AD418" t="s">
        <v>8621</v>
      </c>
      <c r="AE418" t="s">
        <v>8622</v>
      </c>
      <c r="AF418" t="s">
        <v>74</v>
      </c>
      <c r="AG418">
        <v>40</v>
      </c>
      <c r="AH418">
        <v>7</v>
      </c>
      <c r="AI418">
        <v>7</v>
      </c>
      <c r="AJ418">
        <v>2</v>
      </c>
      <c r="AK418">
        <v>7</v>
      </c>
      <c r="AL418" t="s">
        <v>117</v>
      </c>
      <c r="AM418" t="s">
        <v>118</v>
      </c>
      <c r="AN418" t="s">
        <v>119</v>
      </c>
      <c r="AO418" t="s">
        <v>120</v>
      </c>
      <c r="AP418" t="s">
        <v>121</v>
      </c>
      <c r="AQ418" t="s">
        <v>74</v>
      </c>
      <c r="AR418" t="s">
        <v>108</v>
      </c>
      <c r="AS418" t="s">
        <v>122</v>
      </c>
      <c r="AT418" t="s">
        <v>8483</v>
      </c>
      <c r="AU418">
        <v>2022</v>
      </c>
      <c r="AV418">
        <v>16</v>
      </c>
      <c r="AW418">
        <v>4</v>
      </c>
      <c r="AX418" t="s">
        <v>74</v>
      </c>
      <c r="AY418" t="s">
        <v>74</v>
      </c>
      <c r="AZ418" t="s">
        <v>74</v>
      </c>
      <c r="BA418" t="s">
        <v>74</v>
      </c>
      <c r="BB418">
        <v>1469</v>
      </c>
      <c r="BC418">
        <v>1482</v>
      </c>
      <c r="BD418" t="s">
        <v>74</v>
      </c>
      <c r="BE418" t="s">
        <v>8623</v>
      </c>
      <c r="BF418" t="str">
        <f>HYPERLINK("http://dx.doi.org/10.5194/tc-16-1469-2022","http://dx.doi.org/10.5194/tc-16-1469-2022")</f>
        <v>http://dx.doi.org/10.5194/tc-16-1469-2022</v>
      </c>
      <c r="BG418" t="s">
        <v>74</v>
      </c>
      <c r="BH418" t="s">
        <v>74</v>
      </c>
      <c r="BI418">
        <v>14</v>
      </c>
      <c r="BJ418" t="s">
        <v>125</v>
      </c>
      <c r="BK418" t="s">
        <v>101</v>
      </c>
      <c r="BL418" t="s">
        <v>126</v>
      </c>
      <c r="BM418" t="s">
        <v>8624</v>
      </c>
      <c r="BN418" t="s">
        <v>74</v>
      </c>
      <c r="BO418" t="s">
        <v>8625</v>
      </c>
      <c r="BP418" t="s">
        <v>74</v>
      </c>
      <c r="BQ418" t="s">
        <v>74</v>
      </c>
      <c r="BR418" t="s">
        <v>103</v>
      </c>
      <c r="BS418" t="s">
        <v>8626</v>
      </c>
      <c r="BT418" t="str">
        <f>HYPERLINK("https%3A%2F%2Fwww.webofscience.com%2Fwos%2Fwoscc%2Ffull-record%2FWOS:000787785400001","View Full Record in Web of Science")</f>
        <v>View Full Record in Web of Science</v>
      </c>
    </row>
    <row r="419" spans="1:72" x14ac:dyDescent="0.15">
      <c r="A419" t="s">
        <v>72</v>
      </c>
      <c r="B419" t="s">
        <v>8627</v>
      </c>
      <c r="C419" t="s">
        <v>74</v>
      </c>
      <c r="D419" t="s">
        <v>74</v>
      </c>
      <c r="E419" t="s">
        <v>74</v>
      </c>
      <c r="F419" t="s">
        <v>8628</v>
      </c>
      <c r="G419" t="s">
        <v>74</v>
      </c>
      <c r="H419" t="s">
        <v>74</v>
      </c>
      <c r="I419" t="s">
        <v>8629</v>
      </c>
      <c r="J419" t="s">
        <v>3636</v>
      </c>
      <c r="K419" t="s">
        <v>74</v>
      </c>
      <c r="L419" t="s">
        <v>74</v>
      </c>
      <c r="M419" t="s">
        <v>78</v>
      </c>
      <c r="N419" t="s">
        <v>79</v>
      </c>
      <c r="O419" t="s">
        <v>74</v>
      </c>
      <c r="P419" t="s">
        <v>74</v>
      </c>
      <c r="Q419" t="s">
        <v>74</v>
      </c>
      <c r="R419" t="s">
        <v>74</v>
      </c>
      <c r="S419" t="s">
        <v>74</v>
      </c>
      <c r="T419" t="s">
        <v>8630</v>
      </c>
      <c r="U419" t="s">
        <v>8631</v>
      </c>
      <c r="V419" t="s">
        <v>8632</v>
      </c>
      <c r="W419" t="s">
        <v>8633</v>
      </c>
      <c r="X419" t="s">
        <v>8558</v>
      </c>
      <c r="Y419" t="s">
        <v>8559</v>
      </c>
      <c r="Z419" t="s">
        <v>8560</v>
      </c>
      <c r="AA419" t="s">
        <v>8561</v>
      </c>
      <c r="AB419" t="s">
        <v>8634</v>
      </c>
      <c r="AC419" t="s">
        <v>8635</v>
      </c>
      <c r="AD419" t="s">
        <v>8502</v>
      </c>
      <c r="AE419" t="s">
        <v>8636</v>
      </c>
      <c r="AF419" t="s">
        <v>74</v>
      </c>
      <c r="AG419">
        <v>59</v>
      </c>
      <c r="AH419">
        <v>3</v>
      </c>
      <c r="AI419">
        <v>3</v>
      </c>
      <c r="AJ419">
        <v>1</v>
      </c>
      <c r="AK419">
        <v>4</v>
      </c>
      <c r="AL419" t="s">
        <v>2042</v>
      </c>
      <c r="AM419" t="s">
        <v>2043</v>
      </c>
      <c r="AN419" t="s">
        <v>2044</v>
      </c>
      <c r="AO419" t="s">
        <v>3648</v>
      </c>
      <c r="AP419" t="s">
        <v>3649</v>
      </c>
      <c r="AQ419" t="s">
        <v>74</v>
      </c>
      <c r="AR419" t="s">
        <v>3650</v>
      </c>
      <c r="AS419" t="s">
        <v>3651</v>
      </c>
      <c r="AT419" t="s">
        <v>8483</v>
      </c>
      <c r="AU419">
        <v>2022</v>
      </c>
      <c r="AV419">
        <v>127</v>
      </c>
      <c r="AW419">
        <v>8</v>
      </c>
      <c r="AX419" t="s">
        <v>74</v>
      </c>
      <c r="AY419" t="s">
        <v>74</v>
      </c>
      <c r="AZ419" t="s">
        <v>74</v>
      </c>
      <c r="BA419" t="s">
        <v>74</v>
      </c>
      <c r="BB419" t="s">
        <v>74</v>
      </c>
      <c r="BC419" t="s">
        <v>74</v>
      </c>
      <c r="BD419" t="s">
        <v>8637</v>
      </c>
      <c r="BE419" t="s">
        <v>8638</v>
      </c>
      <c r="BF419" t="str">
        <f>HYPERLINK("http://dx.doi.org/10.1029/2021JD036012","http://dx.doi.org/10.1029/2021JD036012")</f>
        <v>http://dx.doi.org/10.1029/2021JD036012</v>
      </c>
      <c r="BG419" t="s">
        <v>74</v>
      </c>
      <c r="BH419" t="s">
        <v>74</v>
      </c>
      <c r="BI419">
        <v>19</v>
      </c>
      <c r="BJ419" t="s">
        <v>510</v>
      </c>
      <c r="BK419" t="s">
        <v>101</v>
      </c>
      <c r="BL419" t="s">
        <v>510</v>
      </c>
      <c r="BM419" t="s">
        <v>8639</v>
      </c>
      <c r="BN419" t="s">
        <v>74</v>
      </c>
      <c r="BO419" t="s">
        <v>1149</v>
      </c>
      <c r="BP419" t="s">
        <v>74</v>
      </c>
      <c r="BQ419" t="s">
        <v>74</v>
      </c>
      <c r="BR419" t="s">
        <v>103</v>
      </c>
      <c r="BS419" t="s">
        <v>8640</v>
      </c>
      <c r="BT419" t="str">
        <f>HYPERLINK("https%3A%2F%2Fwww.webofscience.com%2Fwos%2Fwoscc%2Ffull-record%2FWOS:000787643500001","View Full Record in Web of Science")</f>
        <v>View Full Record in Web of Science</v>
      </c>
    </row>
    <row r="420" spans="1:72" x14ac:dyDescent="0.15">
      <c r="A420" t="s">
        <v>72</v>
      </c>
      <c r="B420" t="s">
        <v>8641</v>
      </c>
      <c r="C420" t="s">
        <v>74</v>
      </c>
      <c r="D420" t="s">
        <v>74</v>
      </c>
      <c r="E420" t="s">
        <v>74</v>
      </c>
      <c r="F420" t="s">
        <v>8642</v>
      </c>
      <c r="G420" t="s">
        <v>74</v>
      </c>
      <c r="H420" t="s">
        <v>74</v>
      </c>
      <c r="I420" t="s">
        <v>8643</v>
      </c>
      <c r="J420" t="s">
        <v>6150</v>
      </c>
      <c r="K420" t="s">
        <v>74</v>
      </c>
      <c r="L420" t="s">
        <v>74</v>
      </c>
      <c r="M420" t="s">
        <v>78</v>
      </c>
      <c r="N420" t="s">
        <v>79</v>
      </c>
      <c r="O420" t="s">
        <v>74</v>
      </c>
      <c r="P420" t="s">
        <v>74</v>
      </c>
      <c r="Q420" t="s">
        <v>74</v>
      </c>
      <c r="R420" t="s">
        <v>74</v>
      </c>
      <c r="S420" t="s">
        <v>74</v>
      </c>
      <c r="T420" t="s">
        <v>8644</v>
      </c>
      <c r="U420" t="s">
        <v>8645</v>
      </c>
      <c r="V420" t="s">
        <v>8646</v>
      </c>
      <c r="W420" t="s">
        <v>8647</v>
      </c>
      <c r="X420" t="s">
        <v>8648</v>
      </c>
      <c r="Y420" t="s">
        <v>8649</v>
      </c>
      <c r="Z420" t="s">
        <v>8650</v>
      </c>
      <c r="AA420" t="s">
        <v>8651</v>
      </c>
      <c r="AB420" t="s">
        <v>8652</v>
      </c>
      <c r="AC420" t="s">
        <v>8653</v>
      </c>
      <c r="AD420" t="s">
        <v>8654</v>
      </c>
      <c r="AE420" t="s">
        <v>8655</v>
      </c>
      <c r="AF420" t="s">
        <v>74</v>
      </c>
      <c r="AG420">
        <v>156</v>
      </c>
      <c r="AH420">
        <v>3</v>
      </c>
      <c r="AI420">
        <v>3</v>
      </c>
      <c r="AJ420">
        <v>0</v>
      </c>
      <c r="AK420">
        <v>3</v>
      </c>
      <c r="AL420" t="s">
        <v>199</v>
      </c>
      <c r="AM420" t="s">
        <v>200</v>
      </c>
      <c r="AN420" t="s">
        <v>201</v>
      </c>
      <c r="AO420" t="s">
        <v>6163</v>
      </c>
      <c r="AP420" t="s">
        <v>6164</v>
      </c>
      <c r="AQ420" t="s">
        <v>74</v>
      </c>
      <c r="AR420" t="s">
        <v>6165</v>
      </c>
      <c r="AS420" t="s">
        <v>6166</v>
      </c>
      <c r="AT420" t="s">
        <v>537</v>
      </c>
      <c r="AU420">
        <v>2022</v>
      </c>
      <c r="AV420">
        <v>116</v>
      </c>
      <c r="AW420" t="s">
        <v>74</v>
      </c>
      <c r="AX420" t="s">
        <v>74</v>
      </c>
      <c r="AY420" t="s">
        <v>74</v>
      </c>
      <c r="AZ420" t="s">
        <v>74</v>
      </c>
      <c r="BA420" t="s">
        <v>74</v>
      </c>
      <c r="BB420" t="s">
        <v>74</v>
      </c>
      <c r="BC420" t="s">
        <v>74</v>
      </c>
      <c r="BD420">
        <v>103821</v>
      </c>
      <c r="BE420" t="s">
        <v>8656</v>
      </c>
      <c r="BF420" t="str">
        <f>HYPERLINK("http://dx.doi.org/10.1016/j.jsames.2022.103821","http://dx.doi.org/10.1016/j.jsames.2022.103821")</f>
        <v>http://dx.doi.org/10.1016/j.jsames.2022.103821</v>
      </c>
      <c r="BG420" t="s">
        <v>74</v>
      </c>
      <c r="BH420" t="s">
        <v>7987</v>
      </c>
      <c r="BI420">
        <v>17</v>
      </c>
      <c r="BJ420" t="s">
        <v>265</v>
      </c>
      <c r="BK420" t="s">
        <v>101</v>
      </c>
      <c r="BL420" t="s">
        <v>100</v>
      </c>
      <c r="BM420" t="s">
        <v>8657</v>
      </c>
      <c r="BN420" t="s">
        <v>74</v>
      </c>
      <c r="BO420" t="s">
        <v>74</v>
      </c>
      <c r="BP420" t="s">
        <v>74</v>
      </c>
      <c r="BQ420" t="s">
        <v>74</v>
      </c>
      <c r="BR420" t="s">
        <v>103</v>
      </c>
      <c r="BS420" t="s">
        <v>8658</v>
      </c>
      <c r="BT420" t="str">
        <f>HYPERLINK("https%3A%2F%2Fwww.webofscience.com%2Fwos%2Fwoscc%2Ffull-record%2FWOS:000821905800001","View Full Record in Web of Science")</f>
        <v>View Full Record in Web of Science</v>
      </c>
    </row>
    <row r="421" spans="1:72" x14ac:dyDescent="0.15">
      <c r="A421" t="s">
        <v>72</v>
      </c>
      <c r="B421" t="s">
        <v>8659</v>
      </c>
      <c r="C421" t="s">
        <v>74</v>
      </c>
      <c r="D421" t="s">
        <v>74</v>
      </c>
      <c r="E421" t="s">
        <v>74</v>
      </c>
      <c r="F421" t="s">
        <v>8660</v>
      </c>
      <c r="G421" t="s">
        <v>74</v>
      </c>
      <c r="H421" t="s">
        <v>74</v>
      </c>
      <c r="I421" t="s">
        <v>8661</v>
      </c>
      <c r="J421" t="s">
        <v>3027</v>
      </c>
      <c r="K421" t="s">
        <v>74</v>
      </c>
      <c r="L421" t="s">
        <v>74</v>
      </c>
      <c r="M421" t="s">
        <v>78</v>
      </c>
      <c r="N421" t="s">
        <v>79</v>
      </c>
      <c r="O421" t="s">
        <v>74</v>
      </c>
      <c r="P421" t="s">
        <v>74</v>
      </c>
      <c r="Q421" t="s">
        <v>74</v>
      </c>
      <c r="R421" t="s">
        <v>74</v>
      </c>
      <c r="S421" t="s">
        <v>74</v>
      </c>
      <c r="T421" t="s">
        <v>8662</v>
      </c>
      <c r="U421" t="s">
        <v>8663</v>
      </c>
      <c r="V421" t="s">
        <v>8664</v>
      </c>
      <c r="W421" t="s">
        <v>74</v>
      </c>
      <c r="X421" t="s">
        <v>74</v>
      </c>
      <c r="Y421" t="s">
        <v>74</v>
      </c>
      <c r="Z421" t="s">
        <v>8665</v>
      </c>
      <c r="AA421" t="s">
        <v>74</v>
      </c>
      <c r="AB421" t="s">
        <v>74</v>
      </c>
      <c r="AC421" t="s">
        <v>74</v>
      </c>
      <c r="AD421" t="s">
        <v>74</v>
      </c>
      <c r="AE421" t="s">
        <v>74</v>
      </c>
      <c r="AF421" t="s">
        <v>74</v>
      </c>
      <c r="AG421">
        <v>96</v>
      </c>
      <c r="AH421">
        <v>2</v>
      </c>
      <c r="AI421">
        <v>2</v>
      </c>
      <c r="AJ421">
        <v>0</v>
      </c>
      <c r="AK421">
        <v>1</v>
      </c>
      <c r="AL421" t="s">
        <v>285</v>
      </c>
      <c r="AM421" t="s">
        <v>286</v>
      </c>
      <c r="AN421" t="s">
        <v>287</v>
      </c>
      <c r="AO421" t="s">
        <v>74</v>
      </c>
      <c r="AP421" t="s">
        <v>3039</v>
      </c>
      <c r="AQ421" t="s">
        <v>74</v>
      </c>
      <c r="AR421" t="s">
        <v>3040</v>
      </c>
      <c r="AS421" t="s">
        <v>3041</v>
      </c>
      <c r="AT421" t="s">
        <v>8666</v>
      </c>
      <c r="AU421">
        <v>2022</v>
      </c>
      <c r="AV421">
        <v>10</v>
      </c>
      <c r="AW421" t="s">
        <v>74</v>
      </c>
      <c r="AX421" t="s">
        <v>74</v>
      </c>
      <c r="AY421" t="s">
        <v>74</v>
      </c>
      <c r="AZ421" t="s">
        <v>74</v>
      </c>
      <c r="BA421" t="s">
        <v>74</v>
      </c>
      <c r="BB421" t="s">
        <v>74</v>
      </c>
      <c r="BC421" t="s">
        <v>74</v>
      </c>
      <c r="BD421">
        <v>719074</v>
      </c>
      <c r="BE421" t="s">
        <v>8667</v>
      </c>
      <c r="BF421" t="str">
        <f>HYPERLINK("http://dx.doi.org/10.3389/feart.2022.719074","http://dx.doi.org/10.3389/feart.2022.719074")</f>
        <v>http://dx.doi.org/10.3389/feart.2022.719074</v>
      </c>
      <c r="BG421" t="s">
        <v>74</v>
      </c>
      <c r="BH421" t="s">
        <v>74</v>
      </c>
      <c r="BI421">
        <v>16</v>
      </c>
      <c r="BJ421" t="s">
        <v>265</v>
      </c>
      <c r="BK421" t="s">
        <v>101</v>
      </c>
      <c r="BL421" t="s">
        <v>100</v>
      </c>
      <c r="BM421" t="s">
        <v>8668</v>
      </c>
      <c r="BN421" t="s">
        <v>74</v>
      </c>
      <c r="BO421" t="s">
        <v>1533</v>
      </c>
      <c r="BP421" t="s">
        <v>74</v>
      </c>
      <c r="BQ421" t="s">
        <v>74</v>
      </c>
      <c r="BR421" t="s">
        <v>103</v>
      </c>
      <c r="BS421" t="s">
        <v>8669</v>
      </c>
      <c r="BT421" t="str">
        <f>HYPERLINK("https%3A%2F%2Fwww.webofscience.com%2Fwos%2Fwoscc%2Ffull-record%2FWOS:000805945100001","View Full Record in Web of Science")</f>
        <v>View Full Record in Web of Science</v>
      </c>
    </row>
    <row r="422" spans="1:72" x14ac:dyDescent="0.15">
      <c r="A422" t="s">
        <v>72</v>
      </c>
      <c r="B422" t="s">
        <v>8670</v>
      </c>
      <c r="C422" t="s">
        <v>74</v>
      </c>
      <c r="D422" t="s">
        <v>74</v>
      </c>
      <c r="E422" t="s">
        <v>74</v>
      </c>
      <c r="F422" t="s">
        <v>8671</v>
      </c>
      <c r="G422" t="s">
        <v>74</v>
      </c>
      <c r="H422" t="s">
        <v>74</v>
      </c>
      <c r="I422" t="s">
        <v>8672</v>
      </c>
      <c r="J422" t="s">
        <v>2999</v>
      </c>
      <c r="K422" t="s">
        <v>74</v>
      </c>
      <c r="L422" t="s">
        <v>74</v>
      </c>
      <c r="M422" t="s">
        <v>78</v>
      </c>
      <c r="N422" t="s">
        <v>79</v>
      </c>
      <c r="O422" t="s">
        <v>74</v>
      </c>
      <c r="P422" t="s">
        <v>74</v>
      </c>
      <c r="Q422" t="s">
        <v>74</v>
      </c>
      <c r="R422" t="s">
        <v>74</v>
      </c>
      <c r="S422" t="s">
        <v>74</v>
      </c>
      <c r="T422" t="s">
        <v>8673</v>
      </c>
      <c r="U422" t="s">
        <v>8674</v>
      </c>
      <c r="V422" t="s">
        <v>8675</v>
      </c>
      <c r="W422" t="s">
        <v>8676</v>
      </c>
      <c r="X422" t="s">
        <v>8677</v>
      </c>
      <c r="Y422" t="s">
        <v>8678</v>
      </c>
      <c r="Z422" t="s">
        <v>8679</v>
      </c>
      <c r="AA422" t="s">
        <v>8680</v>
      </c>
      <c r="AB422" t="s">
        <v>8681</v>
      </c>
      <c r="AC422" t="s">
        <v>8682</v>
      </c>
      <c r="AD422" t="s">
        <v>8683</v>
      </c>
      <c r="AE422" t="s">
        <v>8684</v>
      </c>
      <c r="AF422" t="s">
        <v>74</v>
      </c>
      <c r="AG422">
        <v>62</v>
      </c>
      <c r="AH422">
        <v>16</v>
      </c>
      <c r="AI422">
        <v>17</v>
      </c>
      <c r="AJ422">
        <v>0</v>
      </c>
      <c r="AK422">
        <v>10</v>
      </c>
      <c r="AL422" t="s">
        <v>3012</v>
      </c>
      <c r="AM422" t="s">
        <v>2043</v>
      </c>
      <c r="AN422" t="s">
        <v>3013</v>
      </c>
      <c r="AO422" t="s">
        <v>3014</v>
      </c>
      <c r="AP422" t="s">
        <v>3015</v>
      </c>
      <c r="AQ422" t="s">
        <v>74</v>
      </c>
      <c r="AR422" t="s">
        <v>3016</v>
      </c>
      <c r="AS422" t="s">
        <v>3017</v>
      </c>
      <c r="AT422" t="s">
        <v>8666</v>
      </c>
      <c r="AU422">
        <v>2022</v>
      </c>
      <c r="AV422">
        <v>119</v>
      </c>
      <c r="AW422">
        <v>17</v>
      </c>
      <c r="AX422" t="s">
        <v>74</v>
      </c>
      <c r="AY422" t="s">
        <v>74</v>
      </c>
      <c r="AZ422" t="s">
        <v>74</v>
      </c>
      <c r="BA422" t="s">
        <v>74</v>
      </c>
      <c r="BB422" t="s">
        <v>74</v>
      </c>
      <c r="BC422" t="s">
        <v>74</v>
      </c>
      <c r="BD422" t="s">
        <v>8685</v>
      </c>
      <c r="BE422" t="s">
        <v>8686</v>
      </c>
      <c r="BF422" t="str">
        <f>HYPERLINK("http://dx.doi.org/10.1073/pnas.2115346119","http://dx.doi.org/10.1073/pnas.2115346119")</f>
        <v>http://dx.doi.org/10.1073/pnas.2115346119</v>
      </c>
      <c r="BG422" t="s">
        <v>74</v>
      </c>
      <c r="BH422" t="s">
        <v>74</v>
      </c>
      <c r="BI422">
        <v>9</v>
      </c>
      <c r="BJ422" t="s">
        <v>657</v>
      </c>
      <c r="BK422" t="s">
        <v>101</v>
      </c>
      <c r="BL422" t="s">
        <v>658</v>
      </c>
      <c r="BM422" t="s">
        <v>8687</v>
      </c>
      <c r="BN422">
        <v>35446685</v>
      </c>
      <c r="BO422" t="s">
        <v>643</v>
      </c>
      <c r="BP422" t="s">
        <v>74</v>
      </c>
      <c r="BQ422" t="s">
        <v>74</v>
      </c>
      <c r="BR422" t="s">
        <v>103</v>
      </c>
      <c r="BS422" t="s">
        <v>8688</v>
      </c>
      <c r="BT422" t="str">
        <f>HYPERLINK("https%3A%2F%2Fwww.webofscience.com%2Fwos%2Fwoscc%2Ffull-record%2FWOS:000792766500008","View Full Record in Web of Science")</f>
        <v>View Full Record in Web of Science</v>
      </c>
    </row>
    <row r="423" spans="1:72" x14ac:dyDescent="0.15">
      <c r="A423" t="s">
        <v>72</v>
      </c>
      <c r="B423" t="s">
        <v>8689</v>
      </c>
      <c r="C423" t="s">
        <v>74</v>
      </c>
      <c r="D423" t="s">
        <v>74</v>
      </c>
      <c r="E423" t="s">
        <v>74</v>
      </c>
      <c r="F423" t="s">
        <v>8690</v>
      </c>
      <c r="G423" t="s">
        <v>74</v>
      </c>
      <c r="H423" t="s">
        <v>74</v>
      </c>
      <c r="I423" t="s">
        <v>8691</v>
      </c>
      <c r="J423" t="s">
        <v>415</v>
      </c>
      <c r="K423" t="s">
        <v>74</v>
      </c>
      <c r="L423" t="s">
        <v>74</v>
      </c>
      <c r="M423" t="s">
        <v>78</v>
      </c>
      <c r="N423" t="s">
        <v>79</v>
      </c>
      <c r="O423" t="s">
        <v>74</v>
      </c>
      <c r="P423" t="s">
        <v>74</v>
      </c>
      <c r="Q423" t="s">
        <v>74</v>
      </c>
      <c r="R423" t="s">
        <v>74</v>
      </c>
      <c r="S423" t="s">
        <v>74</v>
      </c>
      <c r="T423" t="s">
        <v>8692</v>
      </c>
      <c r="U423" t="s">
        <v>8693</v>
      </c>
      <c r="V423" t="s">
        <v>8694</v>
      </c>
      <c r="W423" t="s">
        <v>8695</v>
      </c>
      <c r="X423" t="s">
        <v>8696</v>
      </c>
      <c r="Y423" t="s">
        <v>8697</v>
      </c>
      <c r="Z423" t="s">
        <v>8698</v>
      </c>
      <c r="AA423" t="s">
        <v>74</v>
      </c>
      <c r="AB423" t="s">
        <v>8699</v>
      </c>
      <c r="AC423" t="s">
        <v>8700</v>
      </c>
      <c r="AD423" t="s">
        <v>8701</v>
      </c>
      <c r="AE423" t="s">
        <v>8702</v>
      </c>
      <c r="AF423" t="s">
        <v>74</v>
      </c>
      <c r="AG423">
        <v>35</v>
      </c>
      <c r="AH423">
        <v>0</v>
      </c>
      <c r="AI423">
        <v>0</v>
      </c>
      <c r="AJ423">
        <v>1</v>
      </c>
      <c r="AK423">
        <v>4</v>
      </c>
      <c r="AL423" t="s">
        <v>428</v>
      </c>
      <c r="AM423" t="s">
        <v>174</v>
      </c>
      <c r="AN423" t="s">
        <v>429</v>
      </c>
      <c r="AO423" t="s">
        <v>430</v>
      </c>
      <c r="AP423" t="s">
        <v>431</v>
      </c>
      <c r="AQ423" t="s">
        <v>74</v>
      </c>
      <c r="AR423" t="s">
        <v>432</v>
      </c>
      <c r="AS423" t="s">
        <v>433</v>
      </c>
      <c r="AT423" t="s">
        <v>97</v>
      </c>
      <c r="AU423">
        <v>2022</v>
      </c>
      <c r="AV423">
        <v>68</v>
      </c>
      <c r="AW423">
        <v>272</v>
      </c>
      <c r="AX423" t="s">
        <v>74</v>
      </c>
      <c r="AY423" t="s">
        <v>74</v>
      </c>
      <c r="AZ423" t="s">
        <v>74</v>
      </c>
      <c r="BA423" t="s">
        <v>74</v>
      </c>
      <c r="BB423">
        <v>1141</v>
      </c>
      <c r="BC423">
        <v>1148</v>
      </c>
      <c r="BD423" t="s">
        <v>8703</v>
      </c>
      <c r="BE423" t="s">
        <v>8704</v>
      </c>
      <c r="BF423" t="str">
        <f>HYPERLINK("http://dx.doi.org/10.1017/jog.2022.28","http://dx.doi.org/10.1017/jog.2022.28")</f>
        <v>http://dx.doi.org/10.1017/jog.2022.28</v>
      </c>
      <c r="BG423" t="s">
        <v>74</v>
      </c>
      <c r="BH423" t="s">
        <v>7987</v>
      </c>
      <c r="BI423">
        <v>8</v>
      </c>
      <c r="BJ423" t="s">
        <v>125</v>
      </c>
      <c r="BK423" t="s">
        <v>101</v>
      </c>
      <c r="BL423" t="s">
        <v>126</v>
      </c>
      <c r="BM423" t="s">
        <v>3372</v>
      </c>
      <c r="BN423" t="s">
        <v>74</v>
      </c>
      <c r="BO423" t="s">
        <v>438</v>
      </c>
      <c r="BP423" t="s">
        <v>74</v>
      </c>
      <c r="BQ423" t="s">
        <v>74</v>
      </c>
      <c r="BR423" t="s">
        <v>103</v>
      </c>
      <c r="BS423" t="s">
        <v>8705</v>
      </c>
      <c r="BT423" t="str">
        <f>HYPERLINK("https%3A%2F%2Fwww.webofscience.com%2Fwos%2Fwoscc%2Ffull-record%2FWOS:000792179900001","View Full Record in Web of Science")</f>
        <v>View Full Record in Web of Science</v>
      </c>
    </row>
    <row r="424" spans="1:72" x14ac:dyDescent="0.15">
      <c r="A424" t="s">
        <v>72</v>
      </c>
      <c r="B424" t="s">
        <v>8706</v>
      </c>
      <c r="C424" t="s">
        <v>74</v>
      </c>
      <c r="D424" t="s">
        <v>74</v>
      </c>
      <c r="E424" t="s">
        <v>74</v>
      </c>
      <c r="F424" t="s">
        <v>8707</v>
      </c>
      <c r="G424" t="s">
        <v>74</v>
      </c>
      <c r="H424" t="s">
        <v>74</v>
      </c>
      <c r="I424" t="s">
        <v>8708</v>
      </c>
      <c r="J424" t="s">
        <v>8709</v>
      </c>
      <c r="K424" t="s">
        <v>74</v>
      </c>
      <c r="L424" t="s">
        <v>74</v>
      </c>
      <c r="M424" t="s">
        <v>78</v>
      </c>
      <c r="N424" t="s">
        <v>79</v>
      </c>
      <c r="O424" t="s">
        <v>74</v>
      </c>
      <c r="P424" t="s">
        <v>74</v>
      </c>
      <c r="Q424" t="s">
        <v>74</v>
      </c>
      <c r="R424" t="s">
        <v>74</v>
      </c>
      <c r="S424" t="s">
        <v>74</v>
      </c>
      <c r="T424" t="s">
        <v>8710</v>
      </c>
      <c r="U424" t="s">
        <v>8711</v>
      </c>
      <c r="V424" t="s">
        <v>8712</v>
      </c>
      <c r="W424" t="s">
        <v>8713</v>
      </c>
      <c r="X424" t="s">
        <v>8714</v>
      </c>
      <c r="Y424" t="s">
        <v>8715</v>
      </c>
      <c r="Z424" t="s">
        <v>8716</v>
      </c>
      <c r="AA424" t="s">
        <v>8717</v>
      </c>
      <c r="AB424" t="s">
        <v>8718</v>
      </c>
      <c r="AC424" t="s">
        <v>8719</v>
      </c>
      <c r="AD424" t="s">
        <v>8719</v>
      </c>
      <c r="AE424" t="s">
        <v>8720</v>
      </c>
      <c r="AF424" t="s">
        <v>74</v>
      </c>
      <c r="AG424">
        <v>55</v>
      </c>
      <c r="AH424">
        <v>5</v>
      </c>
      <c r="AI424">
        <v>5</v>
      </c>
      <c r="AJ424">
        <v>0</v>
      </c>
      <c r="AK424">
        <v>14</v>
      </c>
      <c r="AL424" t="s">
        <v>530</v>
      </c>
      <c r="AM424" t="s">
        <v>1121</v>
      </c>
      <c r="AN424" t="s">
        <v>1122</v>
      </c>
      <c r="AO424" t="s">
        <v>8721</v>
      </c>
      <c r="AP424" t="s">
        <v>8722</v>
      </c>
      <c r="AQ424" t="s">
        <v>74</v>
      </c>
      <c r="AR424" t="s">
        <v>8723</v>
      </c>
      <c r="AS424" t="s">
        <v>8724</v>
      </c>
      <c r="AT424" t="s">
        <v>537</v>
      </c>
      <c r="AU424">
        <v>2022</v>
      </c>
      <c r="AV424">
        <v>31</v>
      </c>
      <c r="AW424">
        <v>7</v>
      </c>
      <c r="AX424" t="s">
        <v>74</v>
      </c>
      <c r="AY424" t="s">
        <v>74</v>
      </c>
      <c r="AZ424" t="s">
        <v>74</v>
      </c>
      <c r="BA424" t="s">
        <v>74</v>
      </c>
      <c r="BB424">
        <v>1867</v>
      </c>
      <c r="BC424">
        <v>1885</v>
      </c>
      <c r="BD424" t="s">
        <v>74</v>
      </c>
      <c r="BE424" t="s">
        <v>8725</v>
      </c>
      <c r="BF424" t="str">
        <f>HYPERLINK("http://dx.doi.org/10.1007/s10531-022-02408-7","http://dx.doi.org/10.1007/s10531-022-02408-7")</f>
        <v>http://dx.doi.org/10.1007/s10531-022-02408-7</v>
      </c>
      <c r="BG424" t="s">
        <v>74</v>
      </c>
      <c r="BH424" t="s">
        <v>7987</v>
      </c>
      <c r="BI424">
        <v>19</v>
      </c>
      <c r="BJ424" t="s">
        <v>4270</v>
      </c>
      <c r="BK424" t="s">
        <v>101</v>
      </c>
      <c r="BL424" t="s">
        <v>540</v>
      </c>
      <c r="BM424" t="s">
        <v>8726</v>
      </c>
      <c r="BN424" t="s">
        <v>74</v>
      </c>
      <c r="BO424" t="s">
        <v>74</v>
      </c>
      <c r="BP424" t="s">
        <v>74</v>
      </c>
      <c r="BQ424" t="s">
        <v>74</v>
      </c>
      <c r="BR424" t="s">
        <v>103</v>
      </c>
      <c r="BS424" t="s">
        <v>8727</v>
      </c>
      <c r="BT424" t="str">
        <f>HYPERLINK("https%3A%2F%2Fwww.webofscience.com%2Fwos%2Fwoscc%2Ffull-record%2FWOS:000787669600001","View Full Record in Web of Science")</f>
        <v>View Full Record in Web of Science</v>
      </c>
    </row>
    <row r="425" spans="1:72" x14ac:dyDescent="0.15">
      <c r="A425" t="s">
        <v>72</v>
      </c>
      <c r="B425" t="s">
        <v>8728</v>
      </c>
      <c r="C425" t="s">
        <v>74</v>
      </c>
      <c r="D425" t="s">
        <v>74</v>
      </c>
      <c r="E425" t="s">
        <v>74</v>
      </c>
      <c r="F425" t="s">
        <v>8729</v>
      </c>
      <c r="G425" t="s">
        <v>74</v>
      </c>
      <c r="H425" t="s">
        <v>74</v>
      </c>
      <c r="I425" t="s">
        <v>8730</v>
      </c>
      <c r="J425" t="s">
        <v>8731</v>
      </c>
      <c r="K425" t="s">
        <v>74</v>
      </c>
      <c r="L425" t="s">
        <v>74</v>
      </c>
      <c r="M425" t="s">
        <v>78</v>
      </c>
      <c r="N425" t="s">
        <v>79</v>
      </c>
      <c r="O425" t="s">
        <v>74</v>
      </c>
      <c r="P425" t="s">
        <v>74</v>
      </c>
      <c r="Q425" t="s">
        <v>74</v>
      </c>
      <c r="R425" t="s">
        <v>74</v>
      </c>
      <c r="S425" t="s">
        <v>74</v>
      </c>
      <c r="T425" t="s">
        <v>8732</v>
      </c>
      <c r="U425" t="s">
        <v>8733</v>
      </c>
      <c r="V425" t="s">
        <v>8734</v>
      </c>
      <c r="W425" t="s">
        <v>8735</v>
      </c>
      <c r="X425" t="s">
        <v>893</v>
      </c>
      <c r="Y425" t="s">
        <v>8736</v>
      </c>
      <c r="Z425" t="s">
        <v>8737</v>
      </c>
      <c r="AA425" t="s">
        <v>8738</v>
      </c>
      <c r="AB425" t="s">
        <v>8739</v>
      </c>
      <c r="AC425" t="s">
        <v>8740</v>
      </c>
      <c r="AD425" t="s">
        <v>8740</v>
      </c>
      <c r="AE425" t="s">
        <v>8740</v>
      </c>
      <c r="AF425" t="s">
        <v>74</v>
      </c>
      <c r="AG425">
        <v>44</v>
      </c>
      <c r="AH425">
        <v>7</v>
      </c>
      <c r="AI425">
        <v>8</v>
      </c>
      <c r="AJ425">
        <v>4</v>
      </c>
      <c r="AK425">
        <v>17</v>
      </c>
      <c r="AL425" t="s">
        <v>91</v>
      </c>
      <c r="AM425" t="s">
        <v>92</v>
      </c>
      <c r="AN425" t="s">
        <v>93</v>
      </c>
      <c r="AO425" t="s">
        <v>8741</v>
      </c>
      <c r="AP425" t="s">
        <v>8742</v>
      </c>
      <c r="AQ425" t="s">
        <v>74</v>
      </c>
      <c r="AR425" t="s">
        <v>8743</v>
      </c>
      <c r="AS425" t="s">
        <v>8744</v>
      </c>
      <c r="AT425" t="s">
        <v>537</v>
      </c>
      <c r="AU425">
        <v>2022</v>
      </c>
      <c r="AV425">
        <v>59</v>
      </c>
      <c r="AW425">
        <v>6</v>
      </c>
      <c r="AX425" t="s">
        <v>74</v>
      </c>
      <c r="AY425" t="s">
        <v>74</v>
      </c>
      <c r="AZ425" t="s">
        <v>74</v>
      </c>
      <c r="BA425" t="s">
        <v>74</v>
      </c>
      <c r="BB425">
        <v>1619</v>
      </c>
      <c r="BC425">
        <v>1631</v>
      </c>
      <c r="BD425" t="s">
        <v>74</v>
      </c>
      <c r="BE425" t="s">
        <v>8745</v>
      </c>
      <c r="BF425" t="str">
        <f>HYPERLINK("http://dx.doi.org/10.1111/1365-2664.14171","http://dx.doi.org/10.1111/1365-2664.14171")</f>
        <v>http://dx.doi.org/10.1111/1365-2664.14171</v>
      </c>
      <c r="BG425" t="s">
        <v>74</v>
      </c>
      <c r="BH425" t="s">
        <v>7987</v>
      </c>
      <c r="BI425">
        <v>13</v>
      </c>
      <c r="BJ425" t="s">
        <v>539</v>
      </c>
      <c r="BK425" t="s">
        <v>101</v>
      </c>
      <c r="BL425" t="s">
        <v>540</v>
      </c>
      <c r="BM425" t="s">
        <v>8746</v>
      </c>
      <c r="BN425" t="s">
        <v>74</v>
      </c>
      <c r="BO425" t="s">
        <v>74</v>
      </c>
      <c r="BP425" t="s">
        <v>74</v>
      </c>
      <c r="BQ425" t="s">
        <v>74</v>
      </c>
      <c r="BR425" t="s">
        <v>103</v>
      </c>
      <c r="BS425" t="s">
        <v>8747</v>
      </c>
      <c r="BT425" t="str">
        <f>HYPERLINK("https%3A%2F%2Fwww.webofscience.com%2Fwos%2Fwoscc%2Ffull-record%2FWOS:000787243300001","View Full Record in Web of Science")</f>
        <v>View Full Record in Web of Science</v>
      </c>
    </row>
    <row r="426" spans="1:72" x14ac:dyDescent="0.15">
      <c r="A426" t="s">
        <v>72</v>
      </c>
      <c r="B426" t="s">
        <v>8748</v>
      </c>
      <c r="C426" t="s">
        <v>74</v>
      </c>
      <c r="D426" t="s">
        <v>74</v>
      </c>
      <c r="E426" t="s">
        <v>74</v>
      </c>
      <c r="F426" t="s">
        <v>8749</v>
      </c>
      <c r="G426" t="s">
        <v>74</v>
      </c>
      <c r="H426" t="s">
        <v>74</v>
      </c>
      <c r="I426" t="s">
        <v>8750</v>
      </c>
      <c r="J426" t="s">
        <v>595</v>
      </c>
      <c r="K426" t="s">
        <v>74</v>
      </c>
      <c r="L426" t="s">
        <v>74</v>
      </c>
      <c r="M426" t="s">
        <v>78</v>
      </c>
      <c r="N426" t="s">
        <v>596</v>
      </c>
      <c r="O426" t="s">
        <v>74</v>
      </c>
      <c r="P426" t="s">
        <v>74</v>
      </c>
      <c r="Q426" t="s">
        <v>74</v>
      </c>
      <c r="R426" t="s">
        <v>74</v>
      </c>
      <c r="S426" t="s">
        <v>74</v>
      </c>
      <c r="T426" t="s">
        <v>74</v>
      </c>
      <c r="U426" t="s">
        <v>8751</v>
      </c>
      <c r="V426" t="s">
        <v>8752</v>
      </c>
      <c r="W426" t="s">
        <v>8753</v>
      </c>
      <c r="X426" t="s">
        <v>8754</v>
      </c>
      <c r="Y426" t="s">
        <v>8755</v>
      </c>
      <c r="Z426" t="s">
        <v>8756</v>
      </c>
      <c r="AA426" t="s">
        <v>8757</v>
      </c>
      <c r="AB426" t="s">
        <v>8758</v>
      </c>
      <c r="AC426" t="s">
        <v>8759</v>
      </c>
      <c r="AD426" t="s">
        <v>8760</v>
      </c>
      <c r="AE426" t="s">
        <v>74</v>
      </c>
      <c r="AF426" t="s">
        <v>74</v>
      </c>
      <c r="AG426">
        <v>317</v>
      </c>
      <c r="AH426">
        <v>664</v>
      </c>
      <c r="AI426">
        <v>710</v>
      </c>
      <c r="AJ426">
        <v>140</v>
      </c>
      <c r="AK426">
        <v>250</v>
      </c>
      <c r="AL426" t="s">
        <v>117</v>
      </c>
      <c r="AM426" t="s">
        <v>118</v>
      </c>
      <c r="AN426" t="s">
        <v>119</v>
      </c>
      <c r="AO426" t="s">
        <v>608</v>
      </c>
      <c r="AP426" t="s">
        <v>609</v>
      </c>
      <c r="AQ426" t="s">
        <v>74</v>
      </c>
      <c r="AR426" t="s">
        <v>610</v>
      </c>
      <c r="AS426" t="s">
        <v>611</v>
      </c>
      <c r="AT426" t="s">
        <v>8666</v>
      </c>
      <c r="AU426">
        <v>2022</v>
      </c>
      <c r="AV426">
        <v>14</v>
      </c>
      <c r="AW426">
        <v>4</v>
      </c>
      <c r="AX426" t="s">
        <v>74</v>
      </c>
      <c r="AY426" t="s">
        <v>74</v>
      </c>
      <c r="AZ426" t="s">
        <v>74</v>
      </c>
      <c r="BA426" t="s">
        <v>74</v>
      </c>
      <c r="BB426">
        <v>1917</v>
      </c>
      <c r="BC426">
        <v>2005</v>
      </c>
      <c r="BD426" t="s">
        <v>74</v>
      </c>
      <c r="BE426" t="s">
        <v>8761</v>
      </c>
      <c r="BF426" t="str">
        <f>HYPERLINK("http://dx.doi.org/10.5194/essd-14-1917-2022","http://dx.doi.org/10.5194/essd-14-1917-2022")</f>
        <v>http://dx.doi.org/10.5194/essd-14-1917-2022</v>
      </c>
      <c r="BG426" t="s">
        <v>74</v>
      </c>
      <c r="BH426" t="s">
        <v>74</v>
      </c>
      <c r="BI426">
        <v>89</v>
      </c>
      <c r="BJ426" t="s">
        <v>613</v>
      </c>
      <c r="BK426" t="s">
        <v>101</v>
      </c>
      <c r="BL426" t="s">
        <v>614</v>
      </c>
      <c r="BM426" t="s">
        <v>8762</v>
      </c>
      <c r="BN426" t="s">
        <v>74</v>
      </c>
      <c r="BO426" t="s">
        <v>8763</v>
      </c>
      <c r="BP426" t="s">
        <v>816</v>
      </c>
      <c r="BQ426" t="s">
        <v>816</v>
      </c>
      <c r="BR426" t="s">
        <v>103</v>
      </c>
      <c r="BS426" t="s">
        <v>8764</v>
      </c>
      <c r="BT426" t="str">
        <f>HYPERLINK("https%3A%2F%2Fwww.webofscience.com%2Fwos%2Fwoscc%2Ffull-record%2FWOS:000787247700001","View Full Record in Web of Science")</f>
        <v>View Full Record in Web of Science</v>
      </c>
    </row>
    <row r="427" spans="1:72" x14ac:dyDescent="0.15">
      <c r="A427" t="s">
        <v>72</v>
      </c>
      <c r="B427" t="s">
        <v>8765</v>
      </c>
      <c r="C427" t="s">
        <v>74</v>
      </c>
      <c r="D427" t="s">
        <v>74</v>
      </c>
      <c r="E427" t="s">
        <v>74</v>
      </c>
      <c r="F427" t="s">
        <v>8766</v>
      </c>
      <c r="G427" t="s">
        <v>74</v>
      </c>
      <c r="H427" t="s">
        <v>74</v>
      </c>
      <c r="I427" t="s">
        <v>8767</v>
      </c>
      <c r="J427" t="s">
        <v>546</v>
      </c>
      <c r="K427" t="s">
        <v>74</v>
      </c>
      <c r="L427" t="s">
        <v>74</v>
      </c>
      <c r="M427" t="s">
        <v>78</v>
      </c>
      <c r="N427" t="s">
        <v>79</v>
      </c>
      <c r="O427" t="s">
        <v>74</v>
      </c>
      <c r="P427" t="s">
        <v>74</v>
      </c>
      <c r="Q427" t="s">
        <v>74</v>
      </c>
      <c r="R427" t="s">
        <v>74</v>
      </c>
      <c r="S427" t="s">
        <v>74</v>
      </c>
      <c r="T427" t="s">
        <v>8768</v>
      </c>
      <c r="U427" t="s">
        <v>8769</v>
      </c>
      <c r="V427" t="s">
        <v>8770</v>
      </c>
      <c r="W427" t="s">
        <v>8771</v>
      </c>
      <c r="X427" t="s">
        <v>8772</v>
      </c>
      <c r="Y427" t="s">
        <v>8773</v>
      </c>
      <c r="Z427" t="s">
        <v>8774</v>
      </c>
      <c r="AA427" t="s">
        <v>8775</v>
      </c>
      <c r="AB427" t="s">
        <v>8776</v>
      </c>
      <c r="AC427" t="s">
        <v>8777</v>
      </c>
      <c r="AD427" t="s">
        <v>8778</v>
      </c>
      <c r="AE427" t="s">
        <v>8779</v>
      </c>
      <c r="AF427" t="s">
        <v>74</v>
      </c>
      <c r="AG427">
        <v>87</v>
      </c>
      <c r="AH427">
        <v>3</v>
      </c>
      <c r="AI427">
        <v>3</v>
      </c>
      <c r="AJ427">
        <v>4</v>
      </c>
      <c r="AK427">
        <v>10</v>
      </c>
      <c r="AL427" t="s">
        <v>285</v>
      </c>
      <c r="AM427" t="s">
        <v>286</v>
      </c>
      <c r="AN427" t="s">
        <v>287</v>
      </c>
      <c r="AO427" t="s">
        <v>74</v>
      </c>
      <c r="AP427" t="s">
        <v>558</v>
      </c>
      <c r="AQ427" t="s">
        <v>74</v>
      </c>
      <c r="AR427" t="s">
        <v>559</v>
      </c>
      <c r="AS427" t="s">
        <v>560</v>
      </c>
      <c r="AT427" t="s">
        <v>8780</v>
      </c>
      <c r="AU427">
        <v>2022</v>
      </c>
      <c r="AV427">
        <v>9</v>
      </c>
      <c r="AW427" t="s">
        <v>74</v>
      </c>
      <c r="AX427" t="s">
        <v>74</v>
      </c>
      <c r="AY427" t="s">
        <v>74</v>
      </c>
      <c r="AZ427" t="s">
        <v>74</v>
      </c>
      <c r="BA427" t="s">
        <v>74</v>
      </c>
      <c r="BB427" t="s">
        <v>74</v>
      </c>
      <c r="BC427" t="s">
        <v>74</v>
      </c>
      <c r="BD427">
        <v>827324</v>
      </c>
      <c r="BE427" t="s">
        <v>8781</v>
      </c>
      <c r="BF427" t="str">
        <f>HYPERLINK("http://dx.doi.org/10.3389/fmars.2022.827324","http://dx.doi.org/10.3389/fmars.2022.827324")</f>
        <v>http://dx.doi.org/10.3389/fmars.2022.827324</v>
      </c>
      <c r="BG427" t="s">
        <v>74</v>
      </c>
      <c r="BH427" t="s">
        <v>74</v>
      </c>
      <c r="BI427">
        <v>12</v>
      </c>
      <c r="BJ427" t="s">
        <v>563</v>
      </c>
      <c r="BK427" t="s">
        <v>101</v>
      </c>
      <c r="BL427" t="s">
        <v>564</v>
      </c>
      <c r="BM427" t="s">
        <v>8782</v>
      </c>
      <c r="BN427" t="s">
        <v>74</v>
      </c>
      <c r="BO427" t="s">
        <v>295</v>
      </c>
      <c r="BP427" t="s">
        <v>74</v>
      </c>
      <c r="BQ427" t="s">
        <v>74</v>
      </c>
      <c r="BR427" t="s">
        <v>103</v>
      </c>
      <c r="BS427" t="s">
        <v>8783</v>
      </c>
      <c r="BT427" t="str">
        <f>HYPERLINK("https%3A%2F%2Fwww.webofscience.com%2Fwos%2Fwoscc%2Ffull-record%2FWOS:000861045400001","View Full Record in Web of Science")</f>
        <v>View Full Record in Web of Science</v>
      </c>
    </row>
    <row r="428" spans="1:72" x14ac:dyDescent="0.15">
      <c r="A428" t="s">
        <v>72</v>
      </c>
      <c r="B428" t="s">
        <v>8784</v>
      </c>
      <c r="C428" t="s">
        <v>74</v>
      </c>
      <c r="D428" t="s">
        <v>74</v>
      </c>
      <c r="E428" t="s">
        <v>74</v>
      </c>
      <c r="F428" t="s">
        <v>8785</v>
      </c>
      <c r="G428" t="s">
        <v>74</v>
      </c>
      <c r="H428" t="s">
        <v>74</v>
      </c>
      <c r="I428" t="s">
        <v>8786</v>
      </c>
      <c r="J428" t="s">
        <v>8787</v>
      </c>
      <c r="K428" t="s">
        <v>74</v>
      </c>
      <c r="L428" t="s">
        <v>74</v>
      </c>
      <c r="M428" t="s">
        <v>78</v>
      </c>
      <c r="N428" t="s">
        <v>79</v>
      </c>
      <c r="O428" t="s">
        <v>74</v>
      </c>
      <c r="P428" t="s">
        <v>74</v>
      </c>
      <c r="Q428" t="s">
        <v>74</v>
      </c>
      <c r="R428" t="s">
        <v>74</v>
      </c>
      <c r="S428" t="s">
        <v>74</v>
      </c>
      <c r="T428" t="s">
        <v>8788</v>
      </c>
      <c r="U428" t="s">
        <v>8789</v>
      </c>
      <c r="V428" t="s">
        <v>8790</v>
      </c>
      <c r="W428" t="s">
        <v>8791</v>
      </c>
      <c r="X428" t="s">
        <v>760</v>
      </c>
      <c r="Y428" t="s">
        <v>8792</v>
      </c>
      <c r="Z428" t="s">
        <v>8793</v>
      </c>
      <c r="AA428" t="s">
        <v>8794</v>
      </c>
      <c r="AB428" t="s">
        <v>8795</v>
      </c>
      <c r="AC428" t="s">
        <v>8796</v>
      </c>
      <c r="AD428" t="s">
        <v>8797</v>
      </c>
      <c r="AE428" t="s">
        <v>8798</v>
      </c>
      <c r="AF428" t="s">
        <v>74</v>
      </c>
      <c r="AG428">
        <v>47</v>
      </c>
      <c r="AH428">
        <v>4</v>
      </c>
      <c r="AI428">
        <v>4</v>
      </c>
      <c r="AJ428">
        <v>10</v>
      </c>
      <c r="AK428">
        <v>38</v>
      </c>
      <c r="AL428" t="s">
        <v>257</v>
      </c>
      <c r="AM428" t="s">
        <v>258</v>
      </c>
      <c r="AN428" t="s">
        <v>259</v>
      </c>
      <c r="AO428" t="s">
        <v>8799</v>
      </c>
      <c r="AP428" t="s">
        <v>8800</v>
      </c>
      <c r="AQ428" t="s">
        <v>74</v>
      </c>
      <c r="AR428" t="s">
        <v>8801</v>
      </c>
      <c r="AS428" t="s">
        <v>8802</v>
      </c>
      <c r="AT428" t="s">
        <v>346</v>
      </c>
      <c r="AU428">
        <v>2022</v>
      </c>
      <c r="AV428">
        <v>48</v>
      </c>
      <c r="AW428" t="s">
        <v>74</v>
      </c>
      <c r="AX428" t="s">
        <v>74</v>
      </c>
      <c r="AY428" t="s">
        <v>74</v>
      </c>
      <c r="AZ428" t="s">
        <v>74</v>
      </c>
      <c r="BA428" t="s">
        <v>74</v>
      </c>
      <c r="BB428" t="s">
        <v>74</v>
      </c>
      <c r="BC428" t="s">
        <v>74</v>
      </c>
      <c r="BD428">
        <v>101728</v>
      </c>
      <c r="BE428" t="s">
        <v>8803</v>
      </c>
      <c r="BF428" t="str">
        <f>HYPERLINK("http://dx.doi.org/10.1016/j.fbio.2022.101728","http://dx.doi.org/10.1016/j.fbio.2022.101728")</f>
        <v>http://dx.doi.org/10.1016/j.fbio.2022.101728</v>
      </c>
      <c r="BG428" t="s">
        <v>74</v>
      </c>
      <c r="BH428" t="s">
        <v>7987</v>
      </c>
      <c r="BI428">
        <v>7</v>
      </c>
      <c r="BJ428" t="s">
        <v>774</v>
      </c>
      <c r="BK428" t="s">
        <v>101</v>
      </c>
      <c r="BL428" t="s">
        <v>774</v>
      </c>
      <c r="BM428" t="s">
        <v>8804</v>
      </c>
      <c r="BN428" t="s">
        <v>74</v>
      </c>
      <c r="BO428" t="s">
        <v>74</v>
      </c>
      <c r="BP428" t="s">
        <v>74</v>
      </c>
      <c r="BQ428" t="s">
        <v>74</v>
      </c>
      <c r="BR428" t="s">
        <v>103</v>
      </c>
      <c r="BS428" t="s">
        <v>8805</v>
      </c>
      <c r="BT428" t="str">
        <f>HYPERLINK("https%3A%2F%2Fwww.webofscience.com%2Fwos%2Fwoscc%2Ffull-record%2FWOS:000797928400004","View Full Record in Web of Science")</f>
        <v>View Full Record in Web of Science</v>
      </c>
    </row>
    <row r="429" spans="1:72" x14ac:dyDescent="0.15">
      <c r="A429" t="s">
        <v>72</v>
      </c>
      <c r="B429" t="s">
        <v>8806</v>
      </c>
      <c r="C429" t="s">
        <v>74</v>
      </c>
      <c r="D429" t="s">
        <v>74</v>
      </c>
      <c r="E429" t="s">
        <v>74</v>
      </c>
      <c r="F429" t="s">
        <v>8807</v>
      </c>
      <c r="G429" t="s">
        <v>74</v>
      </c>
      <c r="H429" t="s">
        <v>74</v>
      </c>
      <c r="I429" t="s">
        <v>8808</v>
      </c>
      <c r="J429" t="s">
        <v>8809</v>
      </c>
      <c r="K429" t="s">
        <v>74</v>
      </c>
      <c r="L429" t="s">
        <v>74</v>
      </c>
      <c r="M429" t="s">
        <v>78</v>
      </c>
      <c r="N429" t="s">
        <v>79</v>
      </c>
      <c r="O429" t="s">
        <v>74</v>
      </c>
      <c r="P429" t="s">
        <v>74</v>
      </c>
      <c r="Q429" t="s">
        <v>74</v>
      </c>
      <c r="R429" t="s">
        <v>74</v>
      </c>
      <c r="S429" t="s">
        <v>74</v>
      </c>
      <c r="T429" t="s">
        <v>8810</v>
      </c>
      <c r="U429" t="s">
        <v>8811</v>
      </c>
      <c r="V429" t="s">
        <v>8812</v>
      </c>
      <c r="W429" t="s">
        <v>8813</v>
      </c>
      <c r="X429" t="s">
        <v>8814</v>
      </c>
      <c r="Y429" t="s">
        <v>8815</v>
      </c>
      <c r="Z429" t="s">
        <v>8816</v>
      </c>
      <c r="AA429" t="s">
        <v>8817</v>
      </c>
      <c r="AB429" t="s">
        <v>8818</v>
      </c>
      <c r="AC429" t="s">
        <v>8819</v>
      </c>
      <c r="AD429" t="s">
        <v>8820</v>
      </c>
      <c r="AE429" t="s">
        <v>8821</v>
      </c>
      <c r="AF429" t="s">
        <v>74</v>
      </c>
      <c r="AG429">
        <v>65</v>
      </c>
      <c r="AH429">
        <v>6</v>
      </c>
      <c r="AI429">
        <v>7</v>
      </c>
      <c r="AJ429">
        <v>7</v>
      </c>
      <c r="AK429">
        <v>50</v>
      </c>
      <c r="AL429" t="s">
        <v>4510</v>
      </c>
      <c r="AM429" t="s">
        <v>2043</v>
      </c>
      <c r="AN429" t="s">
        <v>4511</v>
      </c>
      <c r="AO429" t="s">
        <v>74</v>
      </c>
      <c r="AP429" t="s">
        <v>8822</v>
      </c>
      <c r="AQ429" t="s">
        <v>74</v>
      </c>
      <c r="AR429" t="s">
        <v>8809</v>
      </c>
      <c r="AS429" t="s">
        <v>8823</v>
      </c>
      <c r="AT429" t="s">
        <v>8780</v>
      </c>
      <c r="AU429">
        <v>2022</v>
      </c>
      <c r="AV429">
        <v>2</v>
      </c>
      <c r="AW429">
        <v>4</v>
      </c>
      <c r="AX429" t="s">
        <v>74</v>
      </c>
      <c r="AY429" t="s">
        <v>74</v>
      </c>
      <c r="AZ429" t="s">
        <v>74</v>
      </c>
      <c r="BA429" t="s">
        <v>74</v>
      </c>
      <c r="BB429">
        <v>961</v>
      </c>
      <c r="BC429">
        <v>971</v>
      </c>
      <c r="BD429" t="s">
        <v>74</v>
      </c>
      <c r="BE429" t="s">
        <v>8824</v>
      </c>
      <c r="BF429" t="str">
        <f>HYPERLINK("http://dx.doi.org/10.1021/jacsau.2c00077","http://dx.doi.org/10.1021/jacsau.2c00077")</f>
        <v>http://dx.doi.org/10.1021/jacsau.2c00077</v>
      </c>
      <c r="BG429" t="s">
        <v>74</v>
      </c>
      <c r="BH429" t="s">
        <v>74</v>
      </c>
      <c r="BI429">
        <v>11</v>
      </c>
      <c r="BJ429" t="s">
        <v>5723</v>
      </c>
      <c r="BK429" t="s">
        <v>839</v>
      </c>
      <c r="BL429" t="s">
        <v>5724</v>
      </c>
      <c r="BM429" t="s">
        <v>8825</v>
      </c>
      <c r="BN429">
        <v>35557767</v>
      </c>
      <c r="BO429" t="s">
        <v>590</v>
      </c>
      <c r="BP429" t="s">
        <v>74</v>
      </c>
      <c r="BQ429" t="s">
        <v>74</v>
      </c>
      <c r="BR429" t="s">
        <v>103</v>
      </c>
      <c r="BS429" t="s">
        <v>8826</v>
      </c>
      <c r="BT429" t="str">
        <f>HYPERLINK("https%3A%2F%2Fwww.webofscience.com%2Fwos%2Fwoscc%2Ffull-record%2FWOS:000795545200017","View Full Record in Web of Science")</f>
        <v>View Full Record in Web of Science</v>
      </c>
    </row>
    <row r="430" spans="1:72" x14ac:dyDescent="0.15">
      <c r="A430" t="s">
        <v>72</v>
      </c>
      <c r="B430" t="s">
        <v>8827</v>
      </c>
      <c r="C430" t="s">
        <v>74</v>
      </c>
      <c r="D430" t="s">
        <v>74</v>
      </c>
      <c r="E430" t="s">
        <v>74</v>
      </c>
      <c r="F430" t="s">
        <v>8828</v>
      </c>
      <c r="G430" t="s">
        <v>74</v>
      </c>
      <c r="H430" t="s">
        <v>74</v>
      </c>
      <c r="I430" t="s">
        <v>8829</v>
      </c>
      <c r="J430" t="s">
        <v>8830</v>
      </c>
      <c r="K430" t="s">
        <v>74</v>
      </c>
      <c r="L430" t="s">
        <v>74</v>
      </c>
      <c r="M430" t="s">
        <v>78</v>
      </c>
      <c r="N430" t="s">
        <v>79</v>
      </c>
      <c r="O430" t="s">
        <v>74</v>
      </c>
      <c r="P430" t="s">
        <v>74</v>
      </c>
      <c r="Q430" t="s">
        <v>74</v>
      </c>
      <c r="R430" t="s">
        <v>74</v>
      </c>
      <c r="S430" t="s">
        <v>74</v>
      </c>
      <c r="T430" t="s">
        <v>8831</v>
      </c>
      <c r="U430" t="s">
        <v>8832</v>
      </c>
      <c r="V430" t="s">
        <v>8833</v>
      </c>
      <c r="W430" t="s">
        <v>8834</v>
      </c>
      <c r="X430" t="s">
        <v>74</v>
      </c>
      <c r="Y430" t="s">
        <v>8835</v>
      </c>
      <c r="Z430" t="s">
        <v>8836</v>
      </c>
      <c r="AA430" t="s">
        <v>74</v>
      </c>
      <c r="AB430" t="s">
        <v>8837</v>
      </c>
      <c r="AC430" t="s">
        <v>74</v>
      </c>
      <c r="AD430" t="s">
        <v>74</v>
      </c>
      <c r="AE430" t="s">
        <v>74</v>
      </c>
      <c r="AF430" t="s">
        <v>74</v>
      </c>
      <c r="AG430">
        <v>55</v>
      </c>
      <c r="AH430">
        <v>1</v>
      </c>
      <c r="AI430">
        <v>1</v>
      </c>
      <c r="AJ430">
        <v>0</v>
      </c>
      <c r="AK430">
        <v>4</v>
      </c>
      <c r="AL430" t="s">
        <v>199</v>
      </c>
      <c r="AM430" t="s">
        <v>200</v>
      </c>
      <c r="AN430" t="s">
        <v>201</v>
      </c>
      <c r="AO430" t="s">
        <v>8838</v>
      </c>
      <c r="AP430" t="s">
        <v>8839</v>
      </c>
      <c r="AQ430" t="s">
        <v>74</v>
      </c>
      <c r="AR430" t="s">
        <v>8840</v>
      </c>
      <c r="AS430" t="s">
        <v>8841</v>
      </c>
      <c r="AT430" t="s">
        <v>346</v>
      </c>
      <c r="AU430">
        <v>2022</v>
      </c>
      <c r="AV430">
        <v>192</v>
      </c>
      <c r="AW430" t="s">
        <v>74</v>
      </c>
      <c r="AX430" t="s">
        <v>74</v>
      </c>
      <c r="AY430" t="s">
        <v>74</v>
      </c>
      <c r="AZ430" t="s">
        <v>74</v>
      </c>
      <c r="BA430" t="s">
        <v>74</v>
      </c>
      <c r="BB430" t="s">
        <v>74</v>
      </c>
      <c r="BC430" t="s">
        <v>74</v>
      </c>
      <c r="BD430">
        <v>104536</v>
      </c>
      <c r="BE430" t="s">
        <v>8842</v>
      </c>
      <c r="BF430" t="str">
        <f>HYPERLINK("http://dx.doi.org/10.1016/j.jafrearsci.2022.104536","http://dx.doi.org/10.1016/j.jafrearsci.2022.104536")</f>
        <v>http://dx.doi.org/10.1016/j.jafrearsci.2022.104536</v>
      </c>
      <c r="BG430" t="s">
        <v>74</v>
      </c>
      <c r="BH430" t="s">
        <v>7987</v>
      </c>
      <c r="BI430">
        <v>17</v>
      </c>
      <c r="BJ430" t="s">
        <v>265</v>
      </c>
      <c r="BK430" t="s">
        <v>101</v>
      </c>
      <c r="BL430" t="s">
        <v>100</v>
      </c>
      <c r="BM430" t="s">
        <v>8843</v>
      </c>
      <c r="BN430" t="s">
        <v>74</v>
      </c>
      <c r="BO430" t="s">
        <v>74</v>
      </c>
      <c r="BP430" t="s">
        <v>74</v>
      </c>
      <c r="BQ430" t="s">
        <v>74</v>
      </c>
      <c r="BR430" t="s">
        <v>103</v>
      </c>
      <c r="BS430" t="s">
        <v>8844</v>
      </c>
      <c r="BT430" t="str">
        <f>HYPERLINK("https%3A%2F%2Fwww.webofscience.com%2Fwos%2Fwoscc%2Ffull-record%2FWOS:000793824700002","View Full Record in Web of Science")</f>
        <v>View Full Record in Web of Science</v>
      </c>
    </row>
    <row r="431" spans="1:72" x14ac:dyDescent="0.15">
      <c r="A431" t="s">
        <v>72</v>
      </c>
      <c r="B431" t="s">
        <v>8845</v>
      </c>
      <c r="C431" t="s">
        <v>74</v>
      </c>
      <c r="D431" t="s">
        <v>74</v>
      </c>
      <c r="E431" t="s">
        <v>74</v>
      </c>
      <c r="F431" t="s">
        <v>8846</v>
      </c>
      <c r="G431" t="s">
        <v>74</v>
      </c>
      <c r="H431" t="s">
        <v>74</v>
      </c>
      <c r="I431" t="s">
        <v>8847</v>
      </c>
      <c r="J431" t="s">
        <v>8848</v>
      </c>
      <c r="K431" t="s">
        <v>74</v>
      </c>
      <c r="L431" t="s">
        <v>74</v>
      </c>
      <c r="M431" t="s">
        <v>78</v>
      </c>
      <c r="N431" t="s">
        <v>79</v>
      </c>
      <c r="O431" t="s">
        <v>74</v>
      </c>
      <c r="P431" t="s">
        <v>74</v>
      </c>
      <c r="Q431" t="s">
        <v>74</v>
      </c>
      <c r="R431" t="s">
        <v>74</v>
      </c>
      <c r="S431" t="s">
        <v>74</v>
      </c>
      <c r="T431" t="s">
        <v>8849</v>
      </c>
      <c r="U431" t="s">
        <v>8850</v>
      </c>
      <c r="V431" t="s">
        <v>8851</v>
      </c>
      <c r="W431" t="s">
        <v>8852</v>
      </c>
      <c r="X431" t="s">
        <v>8853</v>
      </c>
      <c r="Y431" t="s">
        <v>8854</v>
      </c>
      <c r="Z431" t="s">
        <v>8855</v>
      </c>
      <c r="AA431" t="s">
        <v>8856</v>
      </c>
      <c r="AB431" t="s">
        <v>8857</v>
      </c>
      <c r="AC431" t="s">
        <v>8858</v>
      </c>
      <c r="AD431" t="s">
        <v>8859</v>
      </c>
      <c r="AE431" t="s">
        <v>8860</v>
      </c>
      <c r="AF431" t="s">
        <v>74</v>
      </c>
      <c r="AG431">
        <v>65</v>
      </c>
      <c r="AH431">
        <v>6</v>
      </c>
      <c r="AI431">
        <v>6</v>
      </c>
      <c r="AJ431">
        <v>0</v>
      </c>
      <c r="AK431">
        <v>3</v>
      </c>
      <c r="AL431" t="s">
        <v>4862</v>
      </c>
      <c r="AM431" t="s">
        <v>4863</v>
      </c>
      <c r="AN431" t="s">
        <v>4864</v>
      </c>
      <c r="AO431" t="s">
        <v>8861</v>
      </c>
      <c r="AP431" t="s">
        <v>8862</v>
      </c>
      <c r="AQ431" t="s">
        <v>74</v>
      </c>
      <c r="AR431" t="s">
        <v>8848</v>
      </c>
      <c r="AS431" t="s">
        <v>8863</v>
      </c>
      <c r="AT431" t="s">
        <v>6182</v>
      </c>
      <c r="AU431">
        <v>2022</v>
      </c>
      <c r="AV431">
        <v>61</v>
      </c>
      <c r="AW431">
        <v>3</v>
      </c>
      <c r="AX431" t="s">
        <v>74</v>
      </c>
      <c r="AY431" t="s">
        <v>74</v>
      </c>
      <c r="AZ431" t="s">
        <v>74</v>
      </c>
      <c r="BA431" t="s">
        <v>74</v>
      </c>
      <c r="BB431">
        <v>299</v>
      </c>
      <c r="BC431">
        <v>311</v>
      </c>
      <c r="BD431" t="s">
        <v>74</v>
      </c>
      <c r="BE431" t="s">
        <v>8864</v>
      </c>
      <c r="BF431" t="str">
        <f>HYPERLINK("http://dx.doi.org/10.1080/00318884.2022.2043089","http://dx.doi.org/10.1080/00318884.2022.2043089")</f>
        <v>http://dx.doi.org/10.1080/00318884.2022.2043089</v>
      </c>
      <c r="BG431" t="s">
        <v>74</v>
      </c>
      <c r="BH431" t="s">
        <v>7987</v>
      </c>
      <c r="BI431">
        <v>13</v>
      </c>
      <c r="BJ431" t="s">
        <v>1624</v>
      </c>
      <c r="BK431" t="s">
        <v>101</v>
      </c>
      <c r="BL431" t="s">
        <v>1624</v>
      </c>
      <c r="BM431" t="s">
        <v>8865</v>
      </c>
      <c r="BN431" t="s">
        <v>74</v>
      </c>
      <c r="BO431" t="s">
        <v>643</v>
      </c>
      <c r="BP431" t="s">
        <v>74</v>
      </c>
      <c r="BQ431" t="s">
        <v>74</v>
      </c>
      <c r="BR431" t="s">
        <v>103</v>
      </c>
      <c r="BS431" t="s">
        <v>8866</v>
      </c>
      <c r="BT431" t="str">
        <f>HYPERLINK("https%3A%2F%2Fwww.webofscience.com%2Fwos%2Fwoscc%2Ffull-record%2FWOS:000788516400001","View Full Record in Web of Science")</f>
        <v>View Full Record in Web of Science</v>
      </c>
    </row>
    <row r="432" spans="1:72" x14ac:dyDescent="0.15">
      <c r="A432" t="s">
        <v>72</v>
      </c>
      <c r="B432" t="s">
        <v>8867</v>
      </c>
      <c r="C432" t="s">
        <v>74</v>
      </c>
      <c r="D432" t="s">
        <v>74</v>
      </c>
      <c r="E432" t="s">
        <v>74</v>
      </c>
      <c r="F432" t="s">
        <v>8868</v>
      </c>
      <c r="G432" t="s">
        <v>74</v>
      </c>
      <c r="H432" t="s">
        <v>74</v>
      </c>
      <c r="I432" t="s">
        <v>8869</v>
      </c>
      <c r="J432" t="s">
        <v>517</v>
      </c>
      <c r="K432" t="s">
        <v>74</v>
      </c>
      <c r="L432" t="s">
        <v>74</v>
      </c>
      <c r="M432" t="s">
        <v>78</v>
      </c>
      <c r="N432" t="s">
        <v>79</v>
      </c>
      <c r="O432" t="s">
        <v>74</v>
      </c>
      <c r="P432" t="s">
        <v>74</v>
      </c>
      <c r="Q432" t="s">
        <v>74</v>
      </c>
      <c r="R432" t="s">
        <v>74</v>
      </c>
      <c r="S432" t="s">
        <v>74</v>
      </c>
      <c r="T432" t="s">
        <v>8870</v>
      </c>
      <c r="U432" t="s">
        <v>8871</v>
      </c>
      <c r="V432" t="s">
        <v>8872</v>
      </c>
      <c r="W432" t="s">
        <v>8873</v>
      </c>
      <c r="X432" t="s">
        <v>8874</v>
      </c>
      <c r="Y432" t="s">
        <v>8875</v>
      </c>
      <c r="Z432" t="s">
        <v>8876</v>
      </c>
      <c r="AA432" t="s">
        <v>8877</v>
      </c>
      <c r="AB432" t="s">
        <v>8878</v>
      </c>
      <c r="AC432" t="s">
        <v>8879</v>
      </c>
      <c r="AD432" t="s">
        <v>8880</v>
      </c>
      <c r="AE432" t="s">
        <v>8881</v>
      </c>
      <c r="AF432" t="s">
        <v>74</v>
      </c>
      <c r="AG432">
        <v>84</v>
      </c>
      <c r="AH432">
        <v>5</v>
      </c>
      <c r="AI432">
        <v>5</v>
      </c>
      <c r="AJ432">
        <v>0</v>
      </c>
      <c r="AK432">
        <v>5</v>
      </c>
      <c r="AL432" t="s">
        <v>530</v>
      </c>
      <c r="AM432" t="s">
        <v>531</v>
      </c>
      <c r="AN432" t="s">
        <v>532</v>
      </c>
      <c r="AO432" t="s">
        <v>533</v>
      </c>
      <c r="AP432" t="s">
        <v>534</v>
      </c>
      <c r="AQ432" t="s">
        <v>74</v>
      </c>
      <c r="AR432" t="s">
        <v>535</v>
      </c>
      <c r="AS432" t="s">
        <v>536</v>
      </c>
      <c r="AT432" t="s">
        <v>5076</v>
      </c>
      <c r="AU432">
        <v>2022</v>
      </c>
      <c r="AV432">
        <v>45</v>
      </c>
      <c r="AW432">
        <v>5</v>
      </c>
      <c r="AX432" t="s">
        <v>74</v>
      </c>
      <c r="AY432" t="s">
        <v>74</v>
      </c>
      <c r="AZ432" t="s">
        <v>74</v>
      </c>
      <c r="BA432" t="s">
        <v>74</v>
      </c>
      <c r="BB432">
        <v>923</v>
      </c>
      <c r="BC432">
        <v>936</v>
      </c>
      <c r="BD432" t="s">
        <v>74</v>
      </c>
      <c r="BE432" t="s">
        <v>8882</v>
      </c>
      <c r="BF432" t="str">
        <f>HYPERLINK("http://dx.doi.org/10.1007/s00300-022-03036-1","http://dx.doi.org/10.1007/s00300-022-03036-1")</f>
        <v>http://dx.doi.org/10.1007/s00300-022-03036-1</v>
      </c>
      <c r="BG432" t="s">
        <v>74</v>
      </c>
      <c r="BH432" t="s">
        <v>7987</v>
      </c>
      <c r="BI432">
        <v>14</v>
      </c>
      <c r="BJ432" t="s">
        <v>539</v>
      </c>
      <c r="BK432" t="s">
        <v>101</v>
      </c>
      <c r="BL432" t="s">
        <v>540</v>
      </c>
      <c r="BM432" t="s">
        <v>8883</v>
      </c>
      <c r="BN432" t="s">
        <v>74</v>
      </c>
      <c r="BO432" t="s">
        <v>1033</v>
      </c>
      <c r="BP432" t="s">
        <v>74</v>
      </c>
      <c r="BQ432" t="s">
        <v>74</v>
      </c>
      <c r="BR432" t="s">
        <v>103</v>
      </c>
      <c r="BS432" t="s">
        <v>8884</v>
      </c>
      <c r="BT432" t="str">
        <f>HYPERLINK("https%3A%2F%2Fwww.webofscience.com%2Fwos%2Fwoscc%2Ffull-record%2FWOS:000787107400001","View Full Record in Web of Science")</f>
        <v>View Full Record in Web of Science</v>
      </c>
    </row>
    <row r="433" spans="1:72" x14ac:dyDescent="0.15">
      <c r="A433" t="s">
        <v>72</v>
      </c>
      <c r="B433" t="s">
        <v>8885</v>
      </c>
      <c r="C433" t="s">
        <v>74</v>
      </c>
      <c r="D433" t="s">
        <v>74</v>
      </c>
      <c r="E433" t="s">
        <v>74</v>
      </c>
      <c r="F433" t="s">
        <v>8886</v>
      </c>
      <c r="G433" t="s">
        <v>74</v>
      </c>
      <c r="H433" t="s">
        <v>74</v>
      </c>
      <c r="I433" t="s">
        <v>8887</v>
      </c>
      <c r="J433" t="s">
        <v>8888</v>
      </c>
      <c r="K433" t="s">
        <v>74</v>
      </c>
      <c r="L433" t="s">
        <v>74</v>
      </c>
      <c r="M433" t="s">
        <v>78</v>
      </c>
      <c r="N433" t="s">
        <v>79</v>
      </c>
      <c r="O433" t="s">
        <v>74</v>
      </c>
      <c r="P433" t="s">
        <v>74</v>
      </c>
      <c r="Q433" t="s">
        <v>74</v>
      </c>
      <c r="R433" t="s">
        <v>74</v>
      </c>
      <c r="S433" t="s">
        <v>74</v>
      </c>
      <c r="T433" t="s">
        <v>8889</v>
      </c>
      <c r="U433" t="s">
        <v>8890</v>
      </c>
      <c r="V433" t="s">
        <v>8891</v>
      </c>
      <c r="W433" t="s">
        <v>8892</v>
      </c>
      <c r="X433" t="s">
        <v>8893</v>
      </c>
      <c r="Y433" t="s">
        <v>8894</v>
      </c>
      <c r="Z433" t="s">
        <v>8895</v>
      </c>
      <c r="AA433" t="s">
        <v>8896</v>
      </c>
      <c r="AB433" t="s">
        <v>8897</v>
      </c>
      <c r="AC433" t="s">
        <v>8898</v>
      </c>
      <c r="AD433" t="s">
        <v>8899</v>
      </c>
      <c r="AE433" t="s">
        <v>8900</v>
      </c>
      <c r="AF433" t="s">
        <v>74</v>
      </c>
      <c r="AG433">
        <v>144</v>
      </c>
      <c r="AH433">
        <v>44</v>
      </c>
      <c r="AI433">
        <v>46</v>
      </c>
      <c r="AJ433">
        <v>60</v>
      </c>
      <c r="AK433">
        <v>242</v>
      </c>
      <c r="AL433" t="s">
        <v>91</v>
      </c>
      <c r="AM433" t="s">
        <v>92</v>
      </c>
      <c r="AN433" t="s">
        <v>93</v>
      </c>
      <c r="AO433" t="s">
        <v>8901</v>
      </c>
      <c r="AP433" t="s">
        <v>8902</v>
      </c>
      <c r="AQ433" t="s">
        <v>74</v>
      </c>
      <c r="AR433" t="s">
        <v>8903</v>
      </c>
      <c r="AS433" t="s">
        <v>8904</v>
      </c>
      <c r="AT433" t="s">
        <v>537</v>
      </c>
      <c r="AU433">
        <v>2022</v>
      </c>
      <c r="AV433">
        <v>58</v>
      </c>
      <c r="AW433">
        <v>3</v>
      </c>
      <c r="AX433" t="s">
        <v>74</v>
      </c>
      <c r="AY433" t="s">
        <v>74</v>
      </c>
      <c r="AZ433" t="s">
        <v>74</v>
      </c>
      <c r="BA433" t="s">
        <v>74</v>
      </c>
      <c r="BB433">
        <v>347</v>
      </c>
      <c r="BC433">
        <v>363</v>
      </c>
      <c r="BD433" t="s">
        <v>74</v>
      </c>
      <c r="BE433" t="s">
        <v>8905</v>
      </c>
      <c r="BF433" t="str">
        <f>HYPERLINK("http://dx.doi.org/10.1111/jpy.13249","http://dx.doi.org/10.1111/jpy.13249")</f>
        <v>http://dx.doi.org/10.1111/jpy.13249</v>
      </c>
      <c r="BG433" t="s">
        <v>74</v>
      </c>
      <c r="BH433" t="s">
        <v>7987</v>
      </c>
      <c r="BI433">
        <v>17</v>
      </c>
      <c r="BJ433" t="s">
        <v>1624</v>
      </c>
      <c r="BK433" t="s">
        <v>101</v>
      </c>
      <c r="BL433" t="s">
        <v>1624</v>
      </c>
      <c r="BM433" t="s">
        <v>8906</v>
      </c>
      <c r="BN433">
        <v>35286717</v>
      </c>
      <c r="BO433" t="s">
        <v>7346</v>
      </c>
      <c r="BP433" t="s">
        <v>816</v>
      </c>
      <c r="BQ433" t="s">
        <v>5404</v>
      </c>
      <c r="BR433" t="s">
        <v>103</v>
      </c>
      <c r="BS433" t="s">
        <v>8907</v>
      </c>
      <c r="BT433" t="str">
        <f>HYPERLINK("https%3A%2F%2Fwww.webofscience.com%2Fwos%2Fwoscc%2Ffull-record%2FWOS:000786528400001","View Full Record in Web of Science")</f>
        <v>View Full Record in Web of Science</v>
      </c>
    </row>
    <row r="434" spans="1:72" x14ac:dyDescent="0.15">
      <c r="A434" t="s">
        <v>72</v>
      </c>
      <c r="B434" t="s">
        <v>8908</v>
      </c>
      <c r="C434" t="s">
        <v>74</v>
      </c>
      <c r="D434" t="s">
        <v>74</v>
      </c>
      <c r="E434" t="s">
        <v>74</v>
      </c>
      <c r="F434" t="s">
        <v>8909</v>
      </c>
      <c r="G434" t="s">
        <v>74</v>
      </c>
      <c r="H434" t="s">
        <v>74</v>
      </c>
      <c r="I434" t="s">
        <v>8910</v>
      </c>
      <c r="J434" t="s">
        <v>517</v>
      </c>
      <c r="K434" t="s">
        <v>74</v>
      </c>
      <c r="L434" t="s">
        <v>74</v>
      </c>
      <c r="M434" t="s">
        <v>78</v>
      </c>
      <c r="N434" t="s">
        <v>79</v>
      </c>
      <c r="O434" t="s">
        <v>74</v>
      </c>
      <c r="P434" t="s">
        <v>74</v>
      </c>
      <c r="Q434" t="s">
        <v>74</v>
      </c>
      <c r="R434" t="s">
        <v>74</v>
      </c>
      <c r="S434" t="s">
        <v>74</v>
      </c>
      <c r="T434" t="s">
        <v>8911</v>
      </c>
      <c r="U434" t="s">
        <v>8912</v>
      </c>
      <c r="V434" t="s">
        <v>8913</v>
      </c>
      <c r="W434" t="s">
        <v>8914</v>
      </c>
      <c r="X434" t="s">
        <v>8915</v>
      </c>
      <c r="Y434" t="s">
        <v>8916</v>
      </c>
      <c r="Z434" t="s">
        <v>74</v>
      </c>
      <c r="AA434" t="s">
        <v>8917</v>
      </c>
      <c r="AB434" t="s">
        <v>8918</v>
      </c>
      <c r="AC434" t="s">
        <v>8919</v>
      </c>
      <c r="AD434" t="s">
        <v>8920</v>
      </c>
      <c r="AE434" t="s">
        <v>8921</v>
      </c>
      <c r="AF434" t="s">
        <v>74</v>
      </c>
      <c r="AG434">
        <v>57</v>
      </c>
      <c r="AH434">
        <v>5</v>
      </c>
      <c r="AI434">
        <v>5</v>
      </c>
      <c r="AJ434">
        <v>4</v>
      </c>
      <c r="AK434">
        <v>26</v>
      </c>
      <c r="AL434" t="s">
        <v>530</v>
      </c>
      <c r="AM434" t="s">
        <v>531</v>
      </c>
      <c r="AN434" t="s">
        <v>532</v>
      </c>
      <c r="AO434" t="s">
        <v>533</v>
      </c>
      <c r="AP434" t="s">
        <v>534</v>
      </c>
      <c r="AQ434" t="s">
        <v>74</v>
      </c>
      <c r="AR434" t="s">
        <v>535</v>
      </c>
      <c r="AS434" t="s">
        <v>536</v>
      </c>
      <c r="AT434" t="s">
        <v>5076</v>
      </c>
      <c r="AU434">
        <v>2022</v>
      </c>
      <c r="AV434">
        <v>45</v>
      </c>
      <c r="AW434">
        <v>5</v>
      </c>
      <c r="AX434" t="s">
        <v>74</v>
      </c>
      <c r="AY434" t="s">
        <v>74</v>
      </c>
      <c r="AZ434" t="s">
        <v>74</v>
      </c>
      <c r="BA434" t="s">
        <v>74</v>
      </c>
      <c r="BB434">
        <v>909</v>
      </c>
      <c r="BC434">
        <v>922</v>
      </c>
      <c r="BD434" t="s">
        <v>74</v>
      </c>
      <c r="BE434" t="s">
        <v>8922</v>
      </c>
      <c r="BF434" t="str">
        <f>HYPERLINK("http://dx.doi.org/10.1007/s00300-022-03043-2","http://dx.doi.org/10.1007/s00300-022-03043-2")</f>
        <v>http://dx.doi.org/10.1007/s00300-022-03043-2</v>
      </c>
      <c r="BG434" t="s">
        <v>74</v>
      </c>
      <c r="BH434" t="s">
        <v>7987</v>
      </c>
      <c r="BI434">
        <v>14</v>
      </c>
      <c r="BJ434" t="s">
        <v>539</v>
      </c>
      <c r="BK434" t="s">
        <v>101</v>
      </c>
      <c r="BL434" t="s">
        <v>540</v>
      </c>
      <c r="BM434" t="s">
        <v>8883</v>
      </c>
      <c r="BN434" t="s">
        <v>74</v>
      </c>
      <c r="BO434" t="s">
        <v>74</v>
      </c>
      <c r="BP434" t="s">
        <v>74</v>
      </c>
      <c r="BQ434" t="s">
        <v>74</v>
      </c>
      <c r="BR434" t="s">
        <v>103</v>
      </c>
      <c r="BS434" t="s">
        <v>8923</v>
      </c>
      <c r="BT434" t="str">
        <f>HYPERLINK("https%3A%2F%2Fwww.webofscience.com%2Fwos%2Fwoscc%2Ffull-record%2FWOS:000785911800001","View Full Record in Web of Science")</f>
        <v>View Full Record in Web of Science</v>
      </c>
    </row>
    <row r="435" spans="1:72" x14ac:dyDescent="0.15">
      <c r="A435" t="s">
        <v>72</v>
      </c>
      <c r="B435" t="s">
        <v>8924</v>
      </c>
      <c r="C435" t="s">
        <v>74</v>
      </c>
      <c r="D435" t="s">
        <v>74</v>
      </c>
      <c r="E435" t="s">
        <v>74</v>
      </c>
      <c r="F435" t="s">
        <v>8925</v>
      </c>
      <c r="G435" t="s">
        <v>74</v>
      </c>
      <c r="H435" t="s">
        <v>74</v>
      </c>
      <c r="I435" t="s">
        <v>8926</v>
      </c>
      <c r="J435" t="s">
        <v>3174</v>
      </c>
      <c r="K435" t="s">
        <v>74</v>
      </c>
      <c r="L435" t="s">
        <v>74</v>
      </c>
      <c r="M435" t="s">
        <v>78</v>
      </c>
      <c r="N435" t="s">
        <v>79</v>
      </c>
      <c r="O435" t="s">
        <v>74</v>
      </c>
      <c r="P435" t="s">
        <v>74</v>
      </c>
      <c r="Q435" t="s">
        <v>74</v>
      </c>
      <c r="R435" t="s">
        <v>74</v>
      </c>
      <c r="S435" t="s">
        <v>74</v>
      </c>
      <c r="T435" t="s">
        <v>8927</v>
      </c>
      <c r="U435" t="s">
        <v>8928</v>
      </c>
      <c r="V435" t="s">
        <v>8929</v>
      </c>
      <c r="W435" t="s">
        <v>8930</v>
      </c>
      <c r="X435" t="s">
        <v>8931</v>
      </c>
      <c r="Y435" t="s">
        <v>8932</v>
      </c>
      <c r="Z435" t="s">
        <v>8933</v>
      </c>
      <c r="AA435" t="s">
        <v>8934</v>
      </c>
      <c r="AB435" t="s">
        <v>8935</v>
      </c>
      <c r="AC435" t="s">
        <v>8936</v>
      </c>
      <c r="AD435" t="s">
        <v>8937</v>
      </c>
      <c r="AE435" t="s">
        <v>8938</v>
      </c>
      <c r="AF435" t="s">
        <v>74</v>
      </c>
      <c r="AG435">
        <v>60</v>
      </c>
      <c r="AH435">
        <v>3</v>
      </c>
      <c r="AI435">
        <v>3</v>
      </c>
      <c r="AJ435">
        <v>4</v>
      </c>
      <c r="AK435">
        <v>17</v>
      </c>
      <c r="AL435" t="s">
        <v>633</v>
      </c>
      <c r="AM435" t="s">
        <v>200</v>
      </c>
      <c r="AN435" t="s">
        <v>634</v>
      </c>
      <c r="AO435" t="s">
        <v>3183</v>
      </c>
      <c r="AP435" t="s">
        <v>3184</v>
      </c>
      <c r="AQ435" t="s">
        <v>74</v>
      </c>
      <c r="AR435" t="s">
        <v>3185</v>
      </c>
      <c r="AS435" t="s">
        <v>3186</v>
      </c>
      <c r="AT435" t="s">
        <v>4063</v>
      </c>
      <c r="AU435">
        <v>2022</v>
      </c>
      <c r="AV435">
        <v>79</v>
      </c>
      <c r="AW435">
        <v>4</v>
      </c>
      <c r="AX435" t="s">
        <v>74</v>
      </c>
      <c r="AY435" t="s">
        <v>74</v>
      </c>
      <c r="AZ435" t="s">
        <v>74</v>
      </c>
      <c r="BA435" t="s">
        <v>74</v>
      </c>
      <c r="BB435">
        <v>1327</v>
      </c>
      <c r="BC435">
        <v>1339</v>
      </c>
      <c r="BD435" t="s">
        <v>74</v>
      </c>
      <c r="BE435" t="s">
        <v>8939</v>
      </c>
      <c r="BF435" t="str">
        <f>HYPERLINK("http://dx.doi.org/10.1093/icesjms/fsac056","http://dx.doi.org/10.1093/icesjms/fsac056")</f>
        <v>http://dx.doi.org/10.1093/icesjms/fsac056</v>
      </c>
      <c r="BG435" t="s">
        <v>74</v>
      </c>
      <c r="BH435" t="s">
        <v>7987</v>
      </c>
      <c r="BI435">
        <v>13</v>
      </c>
      <c r="BJ435" t="s">
        <v>3189</v>
      </c>
      <c r="BK435" t="s">
        <v>101</v>
      </c>
      <c r="BL435" t="s">
        <v>3189</v>
      </c>
      <c r="BM435" t="s">
        <v>8940</v>
      </c>
      <c r="BN435" t="s">
        <v>74</v>
      </c>
      <c r="BO435" t="s">
        <v>74</v>
      </c>
      <c r="BP435" t="s">
        <v>74</v>
      </c>
      <c r="BQ435" t="s">
        <v>74</v>
      </c>
      <c r="BR435" t="s">
        <v>103</v>
      </c>
      <c r="BS435" t="s">
        <v>8941</v>
      </c>
      <c r="BT435" t="str">
        <f>HYPERLINK("https%3A%2F%2Fwww.webofscience.com%2Fwos%2Fwoscc%2Ffull-record%2FWOS:000785774600001","View Full Record in Web of Science")</f>
        <v>View Full Record in Web of Science</v>
      </c>
    </row>
    <row r="436" spans="1:72" x14ac:dyDescent="0.15">
      <c r="A436" t="s">
        <v>72</v>
      </c>
      <c r="B436" t="s">
        <v>8942</v>
      </c>
      <c r="C436" t="s">
        <v>74</v>
      </c>
      <c r="D436" t="s">
        <v>74</v>
      </c>
      <c r="E436" t="s">
        <v>74</v>
      </c>
      <c r="F436" t="s">
        <v>8943</v>
      </c>
      <c r="G436" t="s">
        <v>74</v>
      </c>
      <c r="H436" t="s">
        <v>74</v>
      </c>
      <c r="I436" t="s">
        <v>8944</v>
      </c>
      <c r="J436" t="s">
        <v>1086</v>
      </c>
      <c r="K436" t="s">
        <v>74</v>
      </c>
      <c r="L436" t="s">
        <v>74</v>
      </c>
      <c r="M436" t="s">
        <v>78</v>
      </c>
      <c r="N436" t="s">
        <v>79</v>
      </c>
      <c r="O436" t="s">
        <v>74</v>
      </c>
      <c r="P436" t="s">
        <v>74</v>
      </c>
      <c r="Q436" t="s">
        <v>74</v>
      </c>
      <c r="R436" t="s">
        <v>74</v>
      </c>
      <c r="S436" t="s">
        <v>74</v>
      </c>
      <c r="T436" t="s">
        <v>8945</v>
      </c>
      <c r="U436" t="s">
        <v>8946</v>
      </c>
      <c r="V436" t="s">
        <v>8947</v>
      </c>
      <c r="W436" t="s">
        <v>8948</v>
      </c>
      <c r="X436" t="s">
        <v>8949</v>
      </c>
      <c r="Y436" t="s">
        <v>8950</v>
      </c>
      <c r="Z436" t="s">
        <v>8951</v>
      </c>
      <c r="AA436" t="s">
        <v>8952</v>
      </c>
      <c r="AB436" t="s">
        <v>8953</v>
      </c>
      <c r="AC436" t="s">
        <v>8954</v>
      </c>
      <c r="AD436" t="s">
        <v>8955</v>
      </c>
      <c r="AE436" t="s">
        <v>8956</v>
      </c>
      <c r="AF436" t="s">
        <v>74</v>
      </c>
      <c r="AG436">
        <v>80</v>
      </c>
      <c r="AH436">
        <v>0</v>
      </c>
      <c r="AI436">
        <v>0</v>
      </c>
      <c r="AJ436">
        <v>18</v>
      </c>
      <c r="AK436">
        <v>47</v>
      </c>
      <c r="AL436" t="s">
        <v>257</v>
      </c>
      <c r="AM436" t="s">
        <v>258</v>
      </c>
      <c r="AN436" t="s">
        <v>259</v>
      </c>
      <c r="AO436" t="s">
        <v>1098</v>
      </c>
      <c r="AP436" t="s">
        <v>1099</v>
      </c>
      <c r="AQ436" t="s">
        <v>74</v>
      </c>
      <c r="AR436" t="s">
        <v>1100</v>
      </c>
      <c r="AS436" t="s">
        <v>1101</v>
      </c>
      <c r="AT436" t="s">
        <v>1077</v>
      </c>
      <c r="AU436">
        <v>2022</v>
      </c>
      <c r="AV436">
        <v>834</v>
      </c>
      <c r="AW436" t="s">
        <v>74</v>
      </c>
      <c r="AX436" t="s">
        <v>74</v>
      </c>
      <c r="AY436" t="s">
        <v>74</v>
      </c>
      <c r="AZ436" t="s">
        <v>74</v>
      </c>
      <c r="BA436" t="s">
        <v>74</v>
      </c>
      <c r="BB436" t="s">
        <v>74</v>
      </c>
      <c r="BC436" t="s">
        <v>74</v>
      </c>
      <c r="BD436">
        <v>155030</v>
      </c>
      <c r="BE436" t="s">
        <v>8957</v>
      </c>
      <c r="BF436" t="str">
        <f>HYPERLINK("http://dx.doi.org/10.1016/j.scitotenv.2022.155030","http://dx.doi.org/10.1016/j.scitotenv.2022.155030")</f>
        <v>http://dx.doi.org/10.1016/j.scitotenv.2022.155030</v>
      </c>
      <c r="BG436" t="s">
        <v>74</v>
      </c>
      <c r="BH436" t="s">
        <v>7987</v>
      </c>
      <c r="BI436">
        <v>10</v>
      </c>
      <c r="BJ436" t="s">
        <v>1104</v>
      </c>
      <c r="BK436" t="s">
        <v>101</v>
      </c>
      <c r="BL436" t="s">
        <v>840</v>
      </c>
      <c r="BM436" t="s">
        <v>8958</v>
      </c>
      <c r="BN436">
        <v>35390390</v>
      </c>
      <c r="BO436" t="s">
        <v>74</v>
      </c>
      <c r="BP436" t="s">
        <v>74</v>
      </c>
      <c r="BQ436" t="s">
        <v>74</v>
      </c>
      <c r="BR436" t="s">
        <v>103</v>
      </c>
      <c r="BS436" t="s">
        <v>8959</v>
      </c>
      <c r="BT436" t="str">
        <f>HYPERLINK("https%3A%2F%2Fwww.webofscience.com%2Fwos%2Fwoscc%2Ffull-record%2FWOS:000832996700001","View Full Record in Web of Science")</f>
        <v>View Full Record in Web of Science</v>
      </c>
    </row>
    <row r="437" spans="1:72" x14ac:dyDescent="0.15">
      <c r="A437" t="s">
        <v>72</v>
      </c>
      <c r="B437" t="s">
        <v>8960</v>
      </c>
      <c r="C437" t="s">
        <v>74</v>
      </c>
      <c r="D437" t="s">
        <v>74</v>
      </c>
      <c r="E437" t="s">
        <v>74</v>
      </c>
      <c r="F437" t="s">
        <v>8961</v>
      </c>
      <c r="G437" t="s">
        <v>74</v>
      </c>
      <c r="H437" t="s">
        <v>74</v>
      </c>
      <c r="I437" t="s">
        <v>8962</v>
      </c>
      <c r="J437" t="s">
        <v>8963</v>
      </c>
      <c r="K437" t="s">
        <v>74</v>
      </c>
      <c r="L437" t="s">
        <v>74</v>
      </c>
      <c r="M437" t="s">
        <v>78</v>
      </c>
      <c r="N437" t="s">
        <v>79</v>
      </c>
      <c r="O437" t="s">
        <v>74</v>
      </c>
      <c r="P437" t="s">
        <v>74</v>
      </c>
      <c r="Q437" t="s">
        <v>74</v>
      </c>
      <c r="R437" t="s">
        <v>74</v>
      </c>
      <c r="S437" t="s">
        <v>74</v>
      </c>
      <c r="T437" t="s">
        <v>8964</v>
      </c>
      <c r="U437" t="s">
        <v>8965</v>
      </c>
      <c r="V437" t="s">
        <v>8966</v>
      </c>
      <c r="W437" t="s">
        <v>8967</v>
      </c>
      <c r="X437" t="s">
        <v>8968</v>
      </c>
      <c r="Y437" t="s">
        <v>8969</v>
      </c>
      <c r="Z437" t="s">
        <v>8970</v>
      </c>
      <c r="AA437" t="s">
        <v>8971</v>
      </c>
      <c r="AB437" t="s">
        <v>8972</v>
      </c>
      <c r="AC437" t="s">
        <v>8973</v>
      </c>
      <c r="AD437" t="s">
        <v>8974</v>
      </c>
      <c r="AE437" t="s">
        <v>8975</v>
      </c>
      <c r="AF437" t="s">
        <v>74</v>
      </c>
      <c r="AG437">
        <v>81</v>
      </c>
      <c r="AH437">
        <v>5</v>
      </c>
      <c r="AI437">
        <v>5</v>
      </c>
      <c r="AJ437">
        <v>13</v>
      </c>
      <c r="AK437">
        <v>72</v>
      </c>
      <c r="AL437" t="s">
        <v>199</v>
      </c>
      <c r="AM437" t="s">
        <v>200</v>
      </c>
      <c r="AN437" t="s">
        <v>201</v>
      </c>
      <c r="AO437" t="s">
        <v>8976</v>
      </c>
      <c r="AP437" t="s">
        <v>8977</v>
      </c>
      <c r="AQ437" t="s">
        <v>74</v>
      </c>
      <c r="AR437" t="s">
        <v>8978</v>
      </c>
      <c r="AS437" t="s">
        <v>8979</v>
      </c>
      <c r="AT437" t="s">
        <v>537</v>
      </c>
      <c r="AU437">
        <v>2022</v>
      </c>
      <c r="AV437">
        <v>164</v>
      </c>
      <c r="AW437" t="s">
        <v>74</v>
      </c>
      <c r="AX437" t="s">
        <v>74</v>
      </c>
      <c r="AY437" t="s">
        <v>74</v>
      </c>
      <c r="AZ437" t="s">
        <v>74</v>
      </c>
      <c r="BA437" t="s">
        <v>74</v>
      </c>
      <c r="BB437" t="s">
        <v>74</v>
      </c>
      <c r="BC437" t="s">
        <v>74</v>
      </c>
      <c r="BD437">
        <v>107228</v>
      </c>
      <c r="BE437" t="s">
        <v>8980</v>
      </c>
      <c r="BF437" t="str">
        <f>HYPERLINK("http://dx.doi.org/10.1016/j.envint.2022.107228","http://dx.doi.org/10.1016/j.envint.2022.107228")</f>
        <v>http://dx.doi.org/10.1016/j.envint.2022.107228</v>
      </c>
      <c r="BG437" t="s">
        <v>74</v>
      </c>
      <c r="BH437" t="s">
        <v>7987</v>
      </c>
      <c r="BI437">
        <v>12</v>
      </c>
      <c r="BJ437" t="s">
        <v>1104</v>
      </c>
      <c r="BK437" t="s">
        <v>101</v>
      </c>
      <c r="BL437" t="s">
        <v>840</v>
      </c>
      <c r="BM437" t="s">
        <v>8981</v>
      </c>
      <c r="BN437">
        <v>35468407</v>
      </c>
      <c r="BO437" t="s">
        <v>438</v>
      </c>
      <c r="BP437" t="s">
        <v>74</v>
      </c>
      <c r="BQ437" t="s">
        <v>74</v>
      </c>
      <c r="BR437" t="s">
        <v>103</v>
      </c>
      <c r="BS437" t="s">
        <v>8982</v>
      </c>
      <c r="BT437" t="str">
        <f>HYPERLINK("https%3A%2F%2Fwww.webofscience.com%2Fwos%2Fwoscc%2Ffull-record%2FWOS:000797014700008","View Full Record in Web of Science")</f>
        <v>View Full Record in Web of Science</v>
      </c>
    </row>
    <row r="438" spans="1:72" x14ac:dyDescent="0.15">
      <c r="A438" t="s">
        <v>72</v>
      </c>
      <c r="B438" t="s">
        <v>8983</v>
      </c>
      <c r="C438" t="s">
        <v>74</v>
      </c>
      <c r="D438" t="s">
        <v>74</v>
      </c>
      <c r="E438" t="s">
        <v>74</v>
      </c>
      <c r="F438" t="s">
        <v>8984</v>
      </c>
      <c r="G438" t="s">
        <v>74</v>
      </c>
      <c r="H438" t="s">
        <v>74</v>
      </c>
      <c r="I438" t="s">
        <v>8985</v>
      </c>
      <c r="J438" t="s">
        <v>8986</v>
      </c>
      <c r="K438" t="s">
        <v>74</v>
      </c>
      <c r="L438" t="s">
        <v>74</v>
      </c>
      <c r="M438" t="s">
        <v>78</v>
      </c>
      <c r="N438" t="s">
        <v>79</v>
      </c>
      <c r="O438" t="s">
        <v>74</v>
      </c>
      <c r="P438" t="s">
        <v>74</v>
      </c>
      <c r="Q438" t="s">
        <v>74</v>
      </c>
      <c r="R438" t="s">
        <v>74</v>
      </c>
      <c r="S438" t="s">
        <v>74</v>
      </c>
      <c r="T438" t="s">
        <v>8987</v>
      </c>
      <c r="U438" t="s">
        <v>8988</v>
      </c>
      <c r="V438" t="s">
        <v>8989</v>
      </c>
      <c r="W438" t="s">
        <v>8990</v>
      </c>
      <c r="X438" t="s">
        <v>8991</v>
      </c>
      <c r="Y438" t="s">
        <v>8992</v>
      </c>
      <c r="Z438" t="s">
        <v>8993</v>
      </c>
      <c r="AA438" t="s">
        <v>74</v>
      </c>
      <c r="AB438" t="s">
        <v>74</v>
      </c>
      <c r="AC438" t="s">
        <v>8994</v>
      </c>
      <c r="AD438" t="s">
        <v>8995</v>
      </c>
      <c r="AE438" t="s">
        <v>8996</v>
      </c>
      <c r="AF438" t="s">
        <v>74</v>
      </c>
      <c r="AG438">
        <v>81</v>
      </c>
      <c r="AH438">
        <v>1</v>
      </c>
      <c r="AI438">
        <v>2</v>
      </c>
      <c r="AJ438">
        <v>4</v>
      </c>
      <c r="AK438">
        <v>17</v>
      </c>
      <c r="AL438" t="s">
        <v>7201</v>
      </c>
      <c r="AM438" t="s">
        <v>2859</v>
      </c>
      <c r="AN438" t="s">
        <v>7202</v>
      </c>
      <c r="AO438" t="s">
        <v>8997</v>
      </c>
      <c r="AP438" t="s">
        <v>8998</v>
      </c>
      <c r="AQ438" t="s">
        <v>74</v>
      </c>
      <c r="AR438" t="s">
        <v>8999</v>
      </c>
      <c r="AS438" t="s">
        <v>9000</v>
      </c>
      <c r="AT438" t="s">
        <v>537</v>
      </c>
      <c r="AU438">
        <v>2022</v>
      </c>
      <c r="AV438">
        <v>65</v>
      </c>
      <c r="AW438">
        <v>6</v>
      </c>
      <c r="AX438" t="s">
        <v>74</v>
      </c>
      <c r="AY438" t="s">
        <v>74</v>
      </c>
      <c r="AZ438" t="s">
        <v>74</v>
      </c>
      <c r="BA438" t="s">
        <v>74</v>
      </c>
      <c r="BB438">
        <v>1104</v>
      </c>
      <c r="BC438">
        <v>1115</v>
      </c>
      <c r="BD438" t="s">
        <v>74</v>
      </c>
      <c r="BE438" t="s">
        <v>9001</v>
      </c>
      <c r="BF438" t="str">
        <f>HYPERLINK("http://dx.doi.org/10.1007/s11430-021-9904-y","http://dx.doi.org/10.1007/s11430-021-9904-y")</f>
        <v>http://dx.doi.org/10.1007/s11430-021-9904-y</v>
      </c>
      <c r="BG438" t="s">
        <v>74</v>
      </c>
      <c r="BH438" t="s">
        <v>7987</v>
      </c>
      <c r="BI438">
        <v>12</v>
      </c>
      <c r="BJ438" t="s">
        <v>265</v>
      </c>
      <c r="BK438" t="s">
        <v>101</v>
      </c>
      <c r="BL438" t="s">
        <v>100</v>
      </c>
      <c r="BM438" t="s">
        <v>9002</v>
      </c>
      <c r="BN438" t="s">
        <v>74</v>
      </c>
      <c r="BO438" t="s">
        <v>74</v>
      </c>
      <c r="BP438" t="s">
        <v>74</v>
      </c>
      <c r="BQ438" t="s">
        <v>74</v>
      </c>
      <c r="BR438" t="s">
        <v>103</v>
      </c>
      <c r="BS438" t="s">
        <v>9003</v>
      </c>
      <c r="BT438" t="str">
        <f>HYPERLINK("https%3A%2F%2Fwww.webofscience.com%2Fwos%2Fwoscc%2Ffull-record%2FWOS:000787661100001","View Full Record in Web of Science")</f>
        <v>View Full Record in Web of Science</v>
      </c>
    </row>
    <row r="439" spans="1:72" x14ac:dyDescent="0.15">
      <c r="A439" t="s">
        <v>72</v>
      </c>
      <c r="B439" t="s">
        <v>9004</v>
      </c>
      <c r="C439" t="s">
        <v>74</v>
      </c>
      <c r="D439" t="s">
        <v>74</v>
      </c>
      <c r="E439" t="s">
        <v>74</v>
      </c>
      <c r="F439" t="s">
        <v>9005</v>
      </c>
      <c r="G439" t="s">
        <v>74</v>
      </c>
      <c r="H439" t="s">
        <v>74</v>
      </c>
      <c r="I439" t="s">
        <v>9006</v>
      </c>
      <c r="J439" t="s">
        <v>6252</v>
      </c>
      <c r="K439" t="s">
        <v>74</v>
      </c>
      <c r="L439" t="s">
        <v>74</v>
      </c>
      <c r="M439" t="s">
        <v>78</v>
      </c>
      <c r="N439" t="s">
        <v>79</v>
      </c>
      <c r="O439" t="s">
        <v>74</v>
      </c>
      <c r="P439" t="s">
        <v>74</v>
      </c>
      <c r="Q439" t="s">
        <v>74</v>
      </c>
      <c r="R439" t="s">
        <v>74</v>
      </c>
      <c r="S439" t="s">
        <v>74</v>
      </c>
      <c r="T439" t="s">
        <v>74</v>
      </c>
      <c r="U439" t="s">
        <v>9007</v>
      </c>
      <c r="V439" t="s">
        <v>9008</v>
      </c>
      <c r="W439" t="s">
        <v>9009</v>
      </c>
      <c r="X439" t="s">
        <v>9010</v>
      </c>
      <c r="Y439" t="s">
        <v>9011</v>
      </c>
      <c r="Z439" t="s">
        <v>9012</v>
      </c>
      <c r="AA439" t="s">
        <v>74</v>
      </c>
      <c r="AB439" t="s">
        <v>9013</v>
      </c>
      <c r="AC439" t="s">
        <v>9014</v>
      </c>
      <c r="AD439" t="s">
        <v>9015</v>
      </c>
      <c r="AE439" t="s">
        <v>9016</v>
      </c>
      <c r="AF439" t="s">
        <v>74</v>
      </c>
      <c r="AG439">
        <v>68</v>
      </c>
      <c r="AH439">
        <v>3</v>
      </c>
      <c r="AI439">
        <v>3</v>
      </c>
      <c r="AJ439">
        <v>3</v>
      </c>
      <c r="AK439">
        <v>18</v>
      </c>
      <c r="AL439" t="s">
        <v>91</v>
      </c>
      <c r="AM439" t="s">
        <v>92</v>
      </c>
      <c r="AN439" t="s">
        <v>93</v>
      </c>
      <c r="AO439" t="s">
        <v>6264</v>
      </c>
      <c r="AP439" t="s">
        <v>6265</v>
      </c>
      <c r="AQ439" t="s">
        <v>74</v>
      </c>
      <c r="AR439" t="s">
        <v>6266</v>
      </c>
      <c r="AS439" t="s">
        <v>6267</v>
      </c>
      <c r="AT439" t="s">
        <v>206</v>
      </c>
      <c r="AU439">
        <v>2022</v>
      </c>
      <c r="AV439">
        <v>24</v>
      </c>
      <c r="AW439">
        <v>7</v>
      </c>
      <c r="AX439" t="s">
        <v>74</v>
      </c>
      <c r="AY439" t="s">
        <v>74</v>
      </c>
      <c r="AZ439" t="s">
        <v>74</v>
      </c>
      <c r="BA439" t="s">
        <v>74</v>
      </c>
      <c r="BB439">
        <v>2938</v>
      </c>
      <c r="BC439">
        <v>2950</v>
      </c>
      <c r="BD439" t="s">
        <v>74</v>
      </c>
      <c r="BE439" t="s">
        <v>9017</v>
      </c>
      <c r="BF439" t="str">
        <f>HYPERLINK("http://dx.doi.org/10.1111/1462-2920.15995","http://dx.doi.org/10.1111/1462-2920.15995")</f>
        <v>http://dx.doi.org/10.1111/1462-2920.15995</v>
      </c>
      <c r="BG439" t="s">
        <v>74</v>
      </c>
      <c r="BH439" t="s">
        <v>7987</v>
      </c>
      <c r="BI439">
        <v>13</v>
      </c>
      <c r="BJ439" t="s">
        <v>293</v>
      </c>
      <c r="BK439" t="s">
        <v>101</v>
      </c>
      <c r="BL439" t="s">
        <v>293</v>
      </c>
      <c r="BM439" t="s">
        <v>9018</v>
      </c>
      <c r="BN439">
        <v>35437941</v>
      </c>
      <c r="BO439" t="s">
        <v>7989</v>
      </c>
      <c r="BP439" t="s">
        <v>74</v>
      </c>
      <c r="BQ439" t="s">
        <v>74</v>
      </c>
      <c r="BR439" t="s">
        <v>103</v>
      </c>
      <c r="BS439" t="s">
        <v>9019</v>
      </c>
      <c r="BT439" t="str">
        <f>HYPERLINK("https%3A%2F%2Fwww.webofscience.com%2Fwos%2Fwoscc%2Ffull-record%2FWOS:000785887700001","View Full Record in Web of Science")</f>
        <v>View Full Record in Web of Science</v>
      </c>
    </row>
    <row r="440" spans="1:72" x14ac:dyDescent="0.15">
      <c r="A440" t="s">
        <v>72</v>
      </c>
      <c r="B440" t="s">
        <v>9020</v>
      </c>
      <c r="C440" t="s">
        <v>74</v>
      </c>
      <c r="D440" t="s">
        <v>74</v>
      </c>
      <c r="E440" t="s">
        <v>74</v>
      </c>
      <c r="F440" t="s">
        <v>9021</v>
      </c>
      <c r="G440" t="s">
        <v>74</v>
      </c>
      <c r="H440" t="s">
        <v>74</v>
      </c>
      <c r="I440" t="s">
        <v>9022</v>
      </c>
      <c r="J440" t="s">
        <v>3612</v>
      </c>
      <c r="K440" t="s">
        <v>74</v>
      </c>
      <c r="L440" t="s">
        <v>74</v>
      </c>
      <c r="M440" t="s">
        <v>78</v>
      </c>
      <c r="N440" t="s">
        <v>79</v>
      </c>
      <c r="O440" t="s">
        <v>74</v>
      </c>
      <c r="P440" t="s">
        <v>74</v>
      </c>
      <c r="Q440" t="s">
        <v>74</v>
      </c>
      <c r="R440" t="s">
        <v>74</v>
      </c>
      <c r="S440" t="s">
        <v>74</v>
      </c>
      <c r="T440" t="s">
        <v>9023</v>
      </c>
      <c r="U440" t="s">
        <v>9024</v>
      </c>
      <c r="V440" t="s">
        <v>9025</v>
      </c>
      <c r="W440" t="s">
        <v>9026</v>
      </c>
      <c r="X440" t="s">
        <v>9027</v>
      </c>
      <c r="Y440" t="s">
        <v>9028</v>
      </c>
      <c r="Z440" t="s">
        <v>9029</v>
      </c>
      <c r="AA440" t="s">
        <v>9030</v>
      </c>
      <c r="AB440" t="s">
        <v>9031</v>
      </c>
      <c r="AC440" t="s">
        <v>9032</v>
      </c>
      <c r="AD440" t="s">
        <v>9033</v>
      </c>
      <c r="AE440" t="s">
        <v>9034</v>
      </c>
      <c r="AF440" t="s">
        <v>74</v>
      </c>
      <c r="AG440">
        <v>63</v>
      </c>
      <c r="AH440">
        <v>3</v>
      </c>
      <c r="AI440">
        <v>3</v>
      </c>
      <c r="AJ440">
        <v>4</v>
      </c>
      <c r="AK440">
        <v>15</v>
      </c>
      <c r="AL440" t="s">
        <v>257</v>
      </c>
      <c r="AM440" t="s">
        <v>258</v>
      </c>
      <c r="AN440" t="s">
        <v>259</v>
      </c>
      <c r="AO440" t="s">
        <v>3625</v>
      </c>
      <c r="AP440" t="s">
        <v>3626</v>
      </c>
      <c r="AQ440" t="s">
        <v>74</v>
      </c>
      <c r="AR440" t="s">
        <v>3627</v>
      </c>
      <c r="AS440" t="s">
        <v>3628</v>
      </c>
      <c r="AT440" t="s">
        <v>206</v>
      </c>
      <c r="AU440">
        <v>2022</v>
      </c>
      <c r="AV440">
        <v>552</v>
      </c>
      <c r="AW440" t="s">
        <v>74</v>
      </c>
      <c r="AX440" t="s">
        <v>74</v>
      </c>
      <c r="AY440" t="s">
        <v>74</v>
      </c>
      <c r="AZ440" t="s">
        <v>74</v>
      </c>
      <c r="BA440" t="s">
        <v>74</v>
      </c>
      <c r="BB440" t="s">
        <v>74</v>
      </c>
      <c r="BC440" t="s">
        <v>74</v>
      </c>
      <c r="BD440">
        <v>151737</v>
      </c>
      <c r="BE440" t="s">
        <v>9035</v>
      </c>
      <c r="BF440" t="str">
        <f>HYPERLINK("http://dx.doi.org/10.1016/j.jembe.2022.151737","http://dx.doi.org/10.1016/j.jembe.2022.151737")</f>
        <v>http://dx.doi.org/10.1016/j.jembe.2022.151737</v>
      </c>
      <c r="BG440" t="s">
        <v>74</v>
      </c>
      <c r="BH440" t="s">
        <v>7987</v>
      </c>
      <c r="BI440">
        <v>10</v>
      </c>
      <c r="BJ440" t="s">
        <v>3630</v>
      </c>
      <c r="BK440" t="s">
        <v>101</v>
      </c>
      <c r="BL440" t="s">
        <v>564</v>
      </c>
      <c r="BM440" t="s">
        <v>9036</v>
      </c>
      <c r="BN440" t="s">
        <v>74</v>
      </c>
      <c r="BO440" t="s">
        <v>643</v>
      </c>
      <c r="BP440" t="s">
        <v>74</v>
      </c>
      <c r="BQ440" t="s">
        <v>74</v>
      </c>
      <c r="BR440" t="s">
        <v>103</v>
      </c>
      <c r="BS440" t="s">
        <v>9037</v>
      </c>
      <c r="BT440" t="str">
        <f>HYPERLINK("https%3A%2F%2Fwww.webofscience.com%2Fwos%2Fwoscc%2Ffull-record%2FWOS:000850219900001","View Full Record in Web of Science")</f>
        <v>View Full Record in Web of Science</v>
      </c>
    </row>
    <row r="441" spans="1:72" x14ac:dyDescent="0.15">
      <c r="A441" t="s">
        <v>72</v>
      </c>
      <c r="B441" t="s">
        <v>9038</v>
      </c>
      <c r="C441" t="s">
        <v>74</v>
      </c>
      <c r="D441" t="s">
        <v>74</v>
      </c>
      <c r="E441" t="s">
        <v>74</v>
      </c>
      <c r="F441" t="s">
        <v>9039</v>
      </c>
      <c r="G441" t="s">
        <v>74</v>
      </c>
      <c r="H441" t="s">
        <v>74</v>
      </c>
      <c r="I441" t="s">
        <v>9040</v>
      </c>
      <c r="J441" t="s">
        <v>9041</v>
      </c>
      <c r="K441" t="s">
        <v>74</v>
      </c>
      <c r="L441" t="s">
        <v>74</v>
      </c>
      <c r="M441" t="s">
        <v>78</v>
      </c>
      <c r="N441" t="s">
        <v>79</v>
      </c>
      <c r="O441" t="s">
        <v>74</v>
      </c>
      <c r="P441" t="s">
        <v>74</v>
      </c>
      <c r="Q441" t="s">
        <v>74</v>
      </c>
      <c r="R441" t="s">
        <v>74</v>
      </c>
      <c r="S441" t="s">
        <v>74</v>
      </c>
      <c r="T441" t="s">
        <v>9042</v>
      </c>
      <c r="U441" t="s">
        <v>9043</v>
      </c>
      <c r="V441" t="s">
        <v>9044</v>
      </c>
      <c r="W441" t="s">
        <v>9045</v>
      </c>
      <c r="X441" t="s">
        <v>9046</v>
      </c>
      <c r="Y441" t="s">
        <v>9047</v>
      </c>
      <c r="Z441" t="s">
        <v>9048</v>
      </c>
      <c r="AA441" t="s">
        <v>9049</v>
      </c>
      <c r="AB441" t="s">
        <v>9050</v>
      </c>
      <c r="AC441" t="s">
        <v>9051</v>
      </c>
      <c r="AD441" t="s">
        <v>9052</v>
      </c>
      <c r="AE441" t="s">
        <v>9053</v>
      </c>
      <c r="AF441" t="s">
        <v>74</v>
      </c>
      <c r="AG441">
        <v>90</v>
      </c>
      <c r="AH441">
        <v>3</v>
      </c>
      <c r="AI441">
        <v>3</v>
      </c>
      <c r="AJ441">
        <v>1</v>
      </c>
      <c r="AK441">
        <v>12</v>
      </c>
      <c r="AL441" t="s">
        <v>257</v>
      </c>
      <c r="AM441" t="s">
        <v>258</v>
      </c>
      <c r="AN441" t="s">
        <v>259</v>
      </c>
      <c r="AO441" t="s">
        <v>9054</v>
      </c>
      <c r="AP441" t="s">
        <v>9055</v>
      </c>
      <c r="AQ441" t="s">
        <v>74</v>
      </c>
      <c r="AR441" t="s">
        <v>9041</v>
      </c>
      <c r="AS441" t="s">
        <v>9056</v>
      </c>
      <c r="AT441" t="s">
        <v>346</v>
      </c>
      <c r="AU441">
        <v>2022</v>
      </c>
      <c r="AV441">
        <v>215</v>
      </c>
      <c r="AW441" t="s">
        <v>74</v>
      </c>
      <c r="AX441" t="s">
        <v>74</v>
      </c>
      <c r="AY441" t="s">
        <v>74</v>
      </c>
      <c r="AZ441" t="s">
        <v>74</v>
      </c>
      <c r="BA441" t="s">
        <v>74</v>
      </c>
      <c r="BB441" t="s">
        <v>74</v>
      </c>
      <c r="BC441" t="s">
        <v>74</v>
      </c>
      <c r="BD441">
        <v>106314</v>
      </c>
      <c r="BE441" t="s">
        <v>9057</v>
      </c>
      <c r="BF441" t="str">
        <f>HYPERLINK("http://dx.doi.org/10.1016/j.catena.2022.106314","http://dx.doi.org/10.1016/j.catena.2022.106314")</f>
        <v>http://dx.doi.org/10.1016/j.catena.2022.106314</v>
      </c>
      <c r="BG441" t="s">
        <v>74</v>
      </c>
      <c r="BH441" t="s">
        <v>7987</v>
      </c>
      <c r="BI441">
        <v>18</v>
      </c>
      <c r="BJ441" t="s">
        <v>9058</v>
      </c>
      <c r="BK441" t="s">
        <v>101</v>
      </c>
      <c r="BL441" t="s">
        <v>9059</v>
      </c>
      <c r="BM441" t="s">
        <v>9060</v>
      </c>
      <c r="BN441" t="s">
        <v>74</v>
      </c>
      <c r="BO441" t="s">
        <v>643</v>
      </c>
      <c r="BP441" t="s">
        <v>74</v>
      </c>
      <c r="BQ441" t="s">
        <v>74</v>
      </c>
      <c r="BR441" t="s">
        <v>103</v>
      </c>
      <c r="BS441" t="s">
        <v>9061</v>
      </c>
      <c r="BT441" t="str">
        <f>HYPERLINK("https%3A%2F%2Fwww.webofscience.com%2Fwos%2Fwoscc%2Ffull-record%2FWOS:000798079700004","View Full Record in Web of Science")</f>
        <v>View Full Record in Web of Science</v>
      </c>
    </row>
    <row r="442" spans="1:72" x14ac:dyDescent="0.15">
      <c r="A442" t="s">
        <v>72</v>
      </c>
      <c r="B442" t="s">
        <v>9062</v>
      </c>
      <c r="C442" t="s">
        <v>74</v>
      </c>
      <c r="D442" t="s">
        <v>74</v>
      </c>
      <c r="E442" t="s">
        <v>74</v>
      </c>
      <c r="F442" t="s">
        <v>9063</v>
      </c>
      <c r="G442" t="s">
        <v>74</v>
      </c>
      <c r="H442" t="s">
        <v>74</v>
      </c>
      <c r="I442" t="s">
        <v>9064</v>
      </c>
      <c r="J442" t="s">
        <v>9065</v>
      </c>
      <c r="K442" t="s">
        <v>74</v>
      </c>
      <c r="L442" t="s">
        <v>74</v>
      </c>
      <c r="M442" t="s">
        <v>78</v>
      </c>
      <c r="N442" t="s">
        <v>79</v>
      </c>
      <c r="O442" t="s">
        <v>74</v>
      </c>
      <c r="P442" t="s">
        <v>74</v>
      </c>
      <c r="Q442" t="s">
        <v>74</v>
      </c>
      <c r="R442" t="s">
        <v>74</v>
      </c>
      <c r="S442" t="s">
        <v>74</v>
      </c>
      <c r="T442" t="s">
        <v>9066</v>
      </c>
      <c r="U442" t="s">
        <v>9067</v>
      </c>
      <c r="V442" t="s">
        <v>9068</v>
      </c>
      <c r="W442" t="s">
        <v>9069</v>
      </c>
      <c r="X442" t="s">
        <v>9070</v>
      </c>
      <c r="Y442" t="s">
        <v>9071</v>
      </c>
      <c r="Z442" t="s">
        <v>9072</v>
      </c>
      <c r="AA442" t="s">
        <v>9073</v>
      </c>
      <c r="AB442" t="s">
        <v>9074</v>
      </c>
      <c r="AC442" t="s">
        <v>9075</v>
      </c>
      <c r="AD442" t="s">
        <v>9076</v>
      </c>
      <c r="AE442" t="s">
        <v>9077</v>
      </c>
      <c r="AF442" t="s">
        <v>74</v>
      </c>
      <c r="AG442">
        <v>70</v>
      </c>
      <c r="AH442">
        <v>11</v>
      </c>
      <c r="AI442">
        <v>12</v>
      </c>
      <c r="AJ442">
        <v>0</v>
      </c>
      <c r="AK442">
        <v>3</v>
      </c>
      <c r="AL442" t="s">
        <v>633</v>
      </c>
      <c r="AM442" t="s">
        <v>200</v>
      </c>
      <c r="AN442" t="s">
        <v>634</v>
      </c>
      <c r="AO442" t="s">
        <v>9078</v>
      </c>
      <c r="AP442" t="s">
        <v>9079</v>
      </c>
      <c r="AQ442" t="s">
        <v>74</v>
      </c>
      <c r="AR442" t="s">
        <v>9080</v>
      </c>
      <c r="AS442" t="s">
        <v>9081</v>
      </c>
      <c r="AT442" t="s">
        <v>9082</v>
      </c>
      <c r="AU442">
        <v>2022</v>
      </c>
      <c r="AV442">
        <v>513</v>
      </c>
      <c r="AW442">
        <v>1</v>
      </c>
      <c r="AX442" t="s">
        <v>74</v>
      </c>
      <c r="AY442" t="s">
        <v>74</v>
      </c>
      <c r="AZ442" t="s">
        <v>74</v>
      </c>
      <c r="BA442" t="s">
        <v>74</v>
      </c>
      <c r="BB442">
        <v>159</v>
      </c>
      <c r="BC442">
        <v>167</v>
      </c>
      <c r="BD442" t="s">
        <v>74</v>
      </c>
      <c r="BE442" t="s">
        <v>9083</v>
      </c>
      <c r="BF442" t="str">
        <f>HYPERLINK("http://dx.doi.org/10.1093/mnras/stac779","http://dx.doi.org/10.1093/mnras/stac779")</f>
        <v>http://dx.doi.org/10.1093/mnras/stac779</v>
      </c>
      <c r="BG442" t="s">
        <v>74</v>
      </c>
      <c r="BH442" t="s">
        <v>74</v>
      </c>
      <c r="BI442">
        <v>9</v>
      </c>
      <c r="BJ442" t="s">
        <v>2275</v>
      </c>
      <c r="BK442" t="s">
        <v>101</v>
      </c>
      <c r="BL442" t="s">
        <v>2275</v>
      </c>
      <c r="BM442" t="s">
        <v>9084</v>
      </c>
      <c r="BN442" t="s">
        <v>74</v>
      </c>
      <c r="BO442" t="s">
        <v>986</v>
      </c>
      <c r="BP442" t="s">
        <v>74</v>
      </c>
      <c r="BQ442" t="s">
        <v>74</v>
      </c>
      <c r="BR442" t="s">
        <v>103</v>
      </c>
      <c r="BS442" t="s">
        <v>9085</v>
      </c>
      <c r="BT442" t="str">
        <f>HYPERLINK("https%3A%2F%2Fwww.webofscience.com%2Fwos%2Fwoscc%2Ffull-record%2FWOS:000784328400004","View Full Record in Web of Science")</f>
        <v>View Full Record in Web of Science</v>
      </c>
    </row>
    <row r="443" spans="1:72" x14ac:dyDescent="0.15">
      <c r="A443" t="s">
        <v>72</v>
      </c>
      <c r="B443" t="s">
        <v>9086</v>
      </c>
      <c r="C443" t="s">
        <v>74</v>
      </c>
      <c r="D443" t="s">
        <v>74</v>
      </c>
      <c r="E443" t="s">
        <v>74</v>
      </c>
      <c r="F443" t="s">
        <v>9087</v>
      </c>
      <c r="G443" t="s">
        <v>74</v>
      </c>
      <c r="H443" t="s">
        <v>74</v>
      </c>
      <c r="I443" t="s">
        <v>9088</v>
      </c>
      <c r="J443" t="s">
        <v>5138</v>
      </c>
      <c r="K443" t="s">
        <v>74</v>
      </c>
      <c r="L443" t="s">
        <v>74</v>
      </c>
      <c r="M443" t="s">
        <v>78</v>
      </c>
      <c r="N443" t="s">
        <v>79</v>
      </c>
      <c r="O443" t="s">
        <v>74</v>
      </c>
      <c r="P443" t="s">
        <v>74</v>
      </c>
      <c r="Q443" t="s">
        <v>74</v>
      </c>
      <c r="R443" t="s">
        <v>74</v>
      </c>
      <c r="S443" t="s">
        <v>74</v>
      </c>
      <c r="T443" t="s">
        <v>74</v>
      </c>
      <c r="U443" t="s">
        <v>9089</v>
      </c>
      <c r="V443" t="s">
        <v>9090</v>
      </c>
      <c r="W443" t="s">
        <v>9091</v>
      </c>
      <c r="X443" t="s">
        <v>9092</v>
      </c>
      <c r="Y443" t="s">
        <v>9093</v>
      </c>
      <c r="Z443" t="s">
        <v>9094</v>
      </c>
      <c r="AA443" t="s">
        <v>9095</v>
      </c>
      <c r="AB443" t="s">
        <v>9096</v>
      </c>
      <c r="AC443" t="s">
        <v>9097</v>
      </c>
      <c r="AD443" t="s">
        <v>9098</v>
      </c>
      <c r="AE443" t="s">
        <v>9099</v>
      </c>
      <c r="AF443" t="s">
        <v>74</v>
      </c>
      <c r="AG443">
        <v>100</v>
      </c>
      <c r="AH443">
        <v>24</v>
      </c>
      <c r="AI443">
        <v>24</v>
      </c>
      <c r="AJ443">
        <v>14</v>
      </c>
      <c r="AK443">
        <v>67</v>
      </c>
      <c r="AL443" t="s">
        <v>455</v>
      </c>
      <c r="AM443" t="s">
        <v>456</v>
      </c>
      <c r="AN443" t="s">
        <v>457</v>
      </c>
      <c r="AO443" t="s">
        <v>5146</v>
      </c>
      <c r="AP443" t="s">
        <v>74</v>
      </c>
      <c r="AQ443" t="s">
        <v>74</v>
      </c>
      <c r="AR443" t="s">
        <v>5147</v>
      </c>
      <c r="AS443" t="s">
        <v>5148</v>
      </c>
      <c r="AT443" t="s">
        <v>537</v>
      </c>
      <c r="AU443">
        <v>2022</v>
      </c>
      <c r="AV443">
        <v>6</v>
      </c>
      <c r="AW443">
        <v>6</v>
      </c>
      <c r="AX443" t="s">
        <v>74</v>
      </c>
      <c r="AY443" t="s">
        <v>74</v>
      </c>
      <c r="AZ443" t="s">
        <v>74</v>
      </c>
      <c r="BA443" t="s">
        <v>74</v>
      </c>
      <c r="BB443">
        <v>675</v>
      </c>
      <c r="BC443">
        <v>683</v>
      </c>
      <c r="BD443" t="s">
        <v>74</v>
      </c>
      <c r="BE443" t="s">
        <v>9100</v>
      </c>
      <c r="BF443" t="str">
        <f>HYPERLINK("http://dx.doi.org/10.1038/s41559-022-01722-1","http://dx.doi.org/10.1038/s41559-022-01722-1")</f>
        <v>http://dx.doi.org/10.1038/s41559-022-01722-1</v>
      </c>
      <c r="BG443" t="s">
        <v>74</v>
      </c>
      <c r="BH443" t="s">
        <v>7987</v>
      </c>
      <c r="BI443">
        <v>9</v>
      </c>
      <c r="BJ443" t="s">
        <v>5150</v>
      </c>
      <c r="BK443" t="s">
        <v>101</v>
      </c>
      <c r="BL443" t="s">
        <v>5151</v>
      </c>
      <c r="BM443" t="s">
        <v>9101</v>
      </c>
      <c r="BN443">
        <v>35449458</v>
      </c>
      <c r="BO443" t="s">
        <v>74</v>
      </c>
      <c r="BP443" t="s">
        <v>74</v>
      </c>
      <c r="BQ443" t="s">
        <v>74</v>
      </c>
      <c r="BR443" t="s">
        <v>103</v>
      </c>
      <c r="BS443" t="s">
        <v>9102</v>
      </c>
      <c r="BT443" t="str">
        <f>HYPERLINK("https%3A%2F%2Fwww.webofscience.com%2Fwos%2Fwoscc%2Ffull-record%2FWOS:000784633900003","View Full Record in Web of Science")</f>
        <v>View Full Record in Web of Science</v>
      </c>
    </row>
    <row r="444" spans="1:72" x14ac:dyDescent="0.15">
      <c r="A444" t="s">
        <v>72</v>
      </c>
      <c r="B444" t="s">
        <v>9103</v>
      </c>
      <c r="C444" t="s">
        <v>74</v>
      </c>
      <c r="D444" t="s">
        <v>74</v>
      </c>
      <c r="E444" t="s">
        <v>74</v>
      </c>
      <c r="F444" t="s">
        <v>9104</v>
      </c>
      <c r="G444" t="s">
        <v>74</v>
      </c>
      <c r="H444" t="s">
        <v>74</v>
      </c>
      <c r="I444" t="s">
        <v>9105</v>
      </c>
      <c r="J444" t="s">
        <v>5138</v>
      </c>
      <c r="K444" t="s">
        <v>74</v>
      </c>
      <c r="L444" t="s">
        <v>74</v>
      </c>
      <c r="M444" t="s">
        <v>78</v>
      </c>
      <c r="N444" t="s">
        <v>79</v>
      </c>
      <c r="O444" t="s">
        <v>74</v>
      </c>
      <c r="P444" t="s">
        <v>74</v>
      </c>
      <c r="Q444" t="s">
        <v>74</v>
      </c>
      <c r="R444" t="s">
        <v>74</v>
      </c>
      <c r="S444" t="s">
        <v>74</v>
      </c>
      <c r="T444" t="s">
        <v>74</v>
      </c>
      <c r="U444" t="s">
        <v>9106</v>
      </c>
      <c r="V444" t="s">
        <v>9107</v>
      </c>
      <c r="W444" t="s">
        <v>9108</v>
      </c>
      <c r="X444" t="s">
        <v>9109</v>
      </c>
      <c r="Y444" t="s">
        <v>9110</v>
      </c>
      <c r="Z444" t="s">
        <v>9111</v>
      </c>
      <c r="AA444" t="s">
        <v>9112</v>
      </c>
      <c r="AB444" t="s">
        <v>9113</v>
      </c>
      <c r="AC444" t="s">
        <v>9114</v>
      </c>
      <c r="AD444" t="s">
        <v>9115</v>
      </c>
      <c r="AE444" t="s">
        <v>9116</v>
      </c>
      <c r="AF444" t="s">
        <v>74</v>
      </c>
      <c r="AG444">
        <v>75</v>
      </c>
      <c r="AH444">
        <v>5</v>
      </c>
      <c r="AI444">
        <v>5</v>
      </c>
      <c r="AJ444">
        <v>4</v>
      </c>
      <c r="AK444">
        <v>22</v>
      </c>
      <c r="AL444" t="s">
        <v>455</v>
      </c>
      <c r="AM444" t="s">
        <v>456</v>
      </c>
      <c r="AN444" t="s">
        <v>457</v>
      </c>
      <c r="AO444" t="s">
        <v>5146</v>
      </c>
      <c r="AP444" t="s">
        <v>74</v>
      </c>
      <c r="AQ444" t="s">
        <v>74</v>
      </c>
      <c r="AR444" t="s">
        <v>5147</v>
      </c>
      <c r="AS444" t="s">
        <v>5148</v>
      </c>
      <c r="AT444" t="s">
        <v>537</v>
      </c>
      <c r="AU444">
        <v>2022</v>
      </c>
      <c r="AV444">
        <v>6</v>
      </c>
      <c r="AW444">
        <v>6</v>
      </c>
      <c r="AX444" t="s">
        <v>74</v>
      </c>
      <c r="AY444" t="s">
        <v>74</v>
      </c>
      <c r="AZ444" t="s">
        <v>74</v>
      </c>
      <c r="BA444" t="s">
        <v>74</v>
      </c>
      <c r="BB444">
        <v>684</v>
      </c>
      <c r="BC444" t="s">
        <v>462</v>
      </c>
      <c r="BD444" t="s">
        <v>74</v>
      </c>
      <c r="BE444" t="s">
        <v>9117</v>
      </c>
      <c r="BF444" t="str">
        <f>HYPERLINK("http://dx.doi.org/10.1038/s41559-022-01726-x","http://dx.doi.org/10.1038/s41559-022-01726-x")</f>
        <v>http://dx.doi.org/10.1038/s41559-022-01726-x</v>
      </c>
      <c r="BG444" t="s">
        <v>74</v>
      </c>
      <c r="BH444" t="s">
        <v>7987</v>
      </c>
      <c r="BI444">
        <v>19</v>
      </c>
      <c r="BJ444" t="s">
        <v>5150</v>
      </c>
      <c r="BK444" t="s">
        <v>101</v>
      </c>
      <c r="BL444" t="s">
        <v>5151</v>
      </c>
      <c r="BM444" t="s">
        <v>9101</v>
      </c>
      <c r="BN444">
        <v>35449460</v>
      </c>
      <c r="BO444" t="s">
        <v>986</v>
      </c>
      <c r="BP444" t="s">
        <v>74</v>
      </c>
      <c r="BQ444" t="s">
        <v>74</v>
      </c>
      <c r="BR444" t="s">
        <v>103</v>
      </c>
      <c r="BS444" t="s">
        <v>9118</v>
      </c>
      <c r="BT444" t="str">
        <f>HYPERLINK("https%3A%2F%2Fwww.webofscience.com%2Fwos%2Fwoscc%2Ffull-record%2FWOS:000784633900004","View Full Record in Web of Science")</f>
        <v>View Full Record in Web of Science</v>
      </c>
    </row>
    <row r="445" spans="1:72" x14ac:dyDescent="0.15">
      <c r="A445" t="s">
        <v>72</v>
      </c>
      <c r="B445" t="s">
        <v>9119</v>
      </c>
      <c r="C445" t="s">
        <v>74</v>
      </c>
      <c r="D445" t="s">
        <v>74</v>
      </c>
      <c r="E445" t="s">
        <v>74</v>
      </c>
      <c r="F445" t="s">
        <v>9120</v>
      </c>
      <c r="G445" t="s">
        <v>74</v>
      </c>
      <c r="H445" t="s">
        <v>74</v>
      </c>
      <c r="I445" t="s">
        <v>9121</v>
      </c>
      <c r="J445" t="s">
        <v>648</v>
      </c>
      <c r="K445" t="s">
        <v>74</v>
      </c>
      <c r="L445" t="s">
        <v>74</v>
      </c>
      <c r="M445" t="s">
        <v>78</v>
      </c>
      <c r="N445" t="s">
        <v>79</v>
      </c>
      <c r="O445" t="s">
        <v>74</v>
      </c>
      <c r="P445" t="s">
        <v>74</v>
      </c>
      <c r="Q445" t="s">
        <v>74</v>
      </c>
      <c r="R445" t="s">
        <v>74</v>
      </c>
      <c r="S445" t="s">
        <v>74</v>
      </c>
      <c r="T445" t="s">
        <v>74</v>
      </c>
      <c r="U445" t="s">
        <v>74</v>
      </c>
      <c r="V445" t="s">
        <v>9122</v>
      </c>
      <c r="W445" t="s">
        <v>9123</v>
      </c>
      <c r="X445" t="s">
        <v>9124</v>
      </c>
      <c r="Y445" t="s">
        <v>9125</v>
      </c>
      <c r="Z445" t="s">
        <v>9126</v>
      </c>
      <c r="AA445" t="s">
        <v>9127</v>
      </c>
      <c r="AB445" t="s">
        <v>9128</v>
      </c>
      <c r="AC445" t="s">
        <v>9129</v>
      </c>
      <c r="AD445" t="s">
        <v>9130</v>
      </c>
      <c r="AE445" t="s">
        <v>9131</v>
      </c>
      <c r="AF445" t="s">
        <v>74</v>
      </c>
      <c r="AG445">
        <v>26</v>
      </c>
      <c r="AH445">
        <v>26</v>
      </c>
      <c r="AI445">
        <v>27</v>
      </c>
      <c r="AJ445">
        <v>54</v>
      </c>
      <c r="AK445">
        <v>205</v>
      </c>
      <c r="AL445" t="s">
        <v>455</v>
      </c>
      <c r="AM445" t="s">
        <v>456</v>
      </c>
      <c r="AN445" t="s">
        <v>457</v>
      </c>
      <c r="AO445" t="s">
        <v>74</v>
      </c>
      <c r="AP445" t="s">
        <v>652</v>
      </c>
      <c r="AQ445" t="s">
        <v>74</v>
      </c>
      <c r="AR445" t="s">
        <v>653</v>
      </c>
      <c r="AS445" t="s">
        <v>654</v>
      </c>
      <c r="AT445" t="s">
        <v>9082</v>
      </c>
      <c r="AU445">
        <v>2022</v>
      </c>
      <c r="AV445">
        <v>13</v>
      </c>
      <c r="AW445">
        <v>1</v>
      </c>
      <c r="AX445" t="s">
        <v>74</v>
      </c>
      <c r="AY445" t="s">
        <v>74</v>
      </c>
      <c r="AZ445" t="s">
        <v>74</v>
      </c>
      <c r="BA445" t="s">
        <v>74</v>
      </c>
      <c r="BB445" t="s">
        <v>74</v>
      </c>
      <c r="BC445" t="s">
        <v>74</v>
      </c>
      <c r="BD445">
        <v>2189</v>
      </c>
      <c r="BE445" t="s">
        <v>9132</v>
      </c>
      <c r="BF445" t="str">
        <f>HYPERLINK("http://dx.doi.org/10.1038/s41467-022-29900-6","http://dx.doi.org/10.1038/s41467-022-29900-6")</f>
        <v>http://dx.doi.org/10.1038/s41467-022-29900-6</v>
      </c>
      <c r="BG445" t="s">
        <v>74</v>
      </c>
      <c r="BH445" t="s">
        <v>74</v>
      </c>
      <c r="BI445">
        <v>8</v>
      </c>
      <c r="BJ445" t="s">
        <v>657</v>
      </c>
      <c r="BK445" t="s">
        <v>101</v>
      </c>
      <c r="BL445" t="s">
        <v>658</v>
      </c>
      <c r="BM445" t="s">
        <v>9133</v>
      </c>
      <c r="BN445">
        <v>35449166</v>
      </c>
      <c r="BO445" t="s">
        <v>295</v>
      </c>
      <c r="BP445" t="s">
        <v>74</v>
      </c>
      <c r="BQ445" t="s">
        <v>74</v>
      </c>
      <c r="BR445" t="s">
        <v>103</v>
      </c>
      <c r="BS445" t="s">
        <v>9134</v>
      </c>
      <c r="BT445" t="str">
        <f>HYPERLINK("https%3A%2F%2Fwww.webofscience.com%2Fwos%2Fwoscc%2Ffull-record%2FWOS:000785003900019","View Full Record in Web of Science")</f>
        <v>View Full Record in Web of Science</v>
      </c>
    </row>
    <row r="446" spans="1:72" x14ac:dyDescent="0.15">
      <c r="A446" t="s">
        <v>72</v>
      </c>
      <c r="B446" t="s">
        <v>9135</v>
      </c>
      <c r="C446" t="s">
        <v>74</v>
      </c>
      <c r="D446" t="s">
        <v>74</v>
      </c>
      <c r="E446" t="s">
        <v>74</v>
      </c>
      <c r="F446" t="s">
        <v>9136</v>
      </c>
      <c r="G446" t="s">
        <v>74</v>
      </c>
      <c r="H446" t="s">
        <v>74</v>
      </c>
      <c r="I446" t="s">
        <v>9137</v>
      </c>
      <c r="J446" t="s">
        <v>9138</v>
      </c>
      <c r="K446" t="s">
        <v>74</v>
      </c>
      <c r="L446" t="s">
        <v>74</v>
      </c>
      <c r="M446" t="s">
        <v>78</v>
      </c>
      <c r="N446" t="s">
        <v>79</v>
      </c>
      <c r="O446" t="s">
        <v>74</v>
      </c>
      <c r="P446" t="s">
        <v>74</v>
      </c>
      <c r="Q446" t="s">
        <v>74</v>
      </c>
      <c r="R446" t="s">
        <v>74</v>
      </c>
      <c r="S446" t="s">
        <v>74</v>
      </c>
      <c r="T446" t="s">
        <v>9139</v>
      </c>
      <c r="U446" t="s">
        <v>9140</v>
      </c>
      <c r="V446" t="s">
        <v>9141</v>
      </c>
      <c r="W446" t="s">
        <v>9142</v>
      </c>
      <c r="X446" t="s">
        <v>9143</v>
      </c>
      <c r="Y446" t="s">
        <v>9144</v>
      </c>
      <c r="Z446" t="s">
        <v>9145</v>
      </c>
      <c r="AA446" t="s">
        <v>74</v>
      </c>
      <c r="AB446" t="s">
        <v>74</v>
      </c>
      <c r="AC446" t="s">
        <v>9146</v>
      </c>
      <c r="AD446" t="s">
        <v>9147</v>
      </c>
      <c r="AE446" t="s">
        <v>9148</v>
      </c>
      <c r="AF446" t="s">
        <v>74</v>
      </c>
      <c r="AG446">
        <v>53</v>
      </c>
      <c r="AH446">
        <v>0</v>
      </c>
      <c r="AI446">
        <v>0</v>
      </c>
      <c r="AJ446">
        <v>4</v>
      </c>
      <c r="AK446">
        <v>12</v>
      </c>
      <c r="AL446" t="s">
        <v>4862</v>
      </c>
      <c r="AM446" t="s">
        <v>4863</v>
      </c>
      <c r="AN446" t="s">
        <v>4864</v>
      </c>
      <c r="AO446" t="s">
        <v>9149</v>
      </c>
      <c r="AP446" t="s">
        <v>9150</v>
      </c>
      <c r="AQ446" t="s">
        <v>74</v>
      </c>
      <c r="AR446" t="s">
        <v>9151</v>
      </c>
      <c r="AS446" t="s">
        <v>9152</v>
      </c>
      <c r="AT446" t="s">
        <v>4869</v>
      </c>
      <c r="AU446">
        <v>2022</v>
      </c>
      <c r="AV446">
        <v>37</v>
      </c>
      <c r="AW446">
        <v>1</v>
      </c>
      <c r="AX446" t="s">
        <v>74</v>
      </c>
      <c r="AY446" t="s">
        <v>74</v>
      </c>
      <c r="AZ446" t="s">
        <v>74</v>
      </c>
      <c r="BA446" t="s">
        <v>74</v>
      </c>
      <c r="BB446">
        <v>71</v>
      </c>
      <c r="BC446">
        <v>79</v>
      </c>
      <c r="BD446" t="s">
        <v>74</v>
      </c>
      <c r="BE446" t="s">
        <v>9153</v>
      </c>
      <c r="BF446" t="str">
        <f>HYPERLINK("http://dx.doi.org/10.1080/0269249X.2022.2047793","http://dx.doi.org/10.1080/0269249X.2022.2047793")</f>
        <v>http://dx.doi.org/10.1080/0269249X.2022.2047793</v>
      </c>
      <c r="BG446" t="s">
        <v>74</v>
      </c>
      <c r="BH446" t="s">
        <v>7987</v>
      </c>
      <c r="BI446">
        <v>9</v>
      </c>
      <c r="BJ446" t="s">
        <v>1696</v>
      </c>
      <c r="BK446" t="s">
        <v>101</v>
      </c>
      <c r="BL446" t="s">
        <v>1696</v>
      </c>
      <c r="BM446" t="s">
        <v>9154</v>
      </c>
      <c r="BN446" t="s">
        <v>74</v>
      </c>
      <c r="BO446" t="s">
        <v>74</v>
      </c>
      <c r="BP446" t="s">
        <v>74</v>
      </c>
      <c r="BQ446" t="s">
        <v>74</v>
      </c>
      <c r="BR446" t="s">
        <v>103</v>
      </c>
      <c r="BS446" t="s">
        <v>9155</v>
      </c>
      <c r="BT446" t="str">
        <f>HYPERLINK("https%3A%2F%2Fwww.webofscience.com%2Fwos%2Fwoscc%2Ffull-record%2FWOS:000787420300001","View Full Record in Web of Science")</f>
        <v>View Full Record in Web of Science</v>
      </c>
    </row>
    <row r="447" spans="1:72" x14ac:dyDescent="0.15">
      <c r="A447" t="s">
        <v>72</v>
      </c>
      <c r="B447" t="s">
        <v>9156</v>
      </c>
      <c r="C447" t="s">
        <v>74</v>
      </c>
      <c r="D447" t="s">
        <v>74</v>
      </c>
      <c r="E447" t="s">
        <v>74</v>
      </c>
      <c r="F447" t="s">
        <v>9157</v>
      </c>
      <c r="G447" t="s">
        <v>74</v>
      </c>
      <c r="H447" t="s">
        <v>74</v>
      </c>
      <c r="I447" t="s">
        <v>9158</v>
      </c>
      <c r="J447" t="s">
        <v>9159</v>
      </c>
      <c r="K447" t="s">
        <v>74</v>
      </c>
      <c r="L447" t="s">
        <v>74</v>
      </c>
      <c r="M447" t="s">
        <v>78</v>
      </c>
      <c r="N447" t="s">
        <v>79</v>
      </c>
      <c r="O447" t="s">
        <v>74</v>
      </c>
      <c r="P447" t="s">
        <v>74</v>
      </c>
      <c r="Q447" t="s">
        <v>74</v>
      </c>
      <c r="R447" t="s">
        <v>74</v>
      </c>
      <c r="S447" t="s">
        <v>74</v>
      </c>
      <c r="T447" t="s">
        <v>9160</v>
      </c>
      <c r="U447" t="s">
        <v>9161</v>
      </c>
      <c r="V447" t="s">
        <v>9162</v>
      </c>
      <c r="W447" t="s">
        <v>9163</v>
      </c>
      <c r="X447" t="s">
        <v>9164</v>
      </c>
      <c r="Y447" t="s">
        <v>9165</v>
      </c>
      <c r="Z447" t="s">
        <v>74</v>
      </c>
      <c r="AA447" t="s">
        <v>74</v>
      </c>
      <c r="AB447" t="s">
        <v>9166</v>
      </c>
      <c r="AC447" t="s">
        <v>9167</v>
      </c>
      <c r="AD447" t="s">
        <v>9168</v>
      </c>
      <c r="AE447" t="s">
        <v>9169</v>
      </c>
      <c r="AF447" t="s">
        <v>74</v>
      </c>
      <c r="AG447">
        <v>51</v>
      </c>
      <c r="AH447">
        <v>0</v>
      </c>
      <c r="AI447">
        <v>0</v>
      </c>
      <c r="AJ447">
        <v>1</v>
      </c>
      <c r="AK447">
        <v>8</v>
      </c>
      <c r="AL447" t="s">
        <v>4862</v>
      </c>
      <c r="AM447" t="s">
        <v>4863</v>
      </c>
      <c r="AN447" t="s">
        <v>4864</v>
      </c>
      <c r="AO447" t="s">
        <v>9170</v>
      </c>
      <c r="AP447" t="s">
        <v>9171</v>
      </c>
      <c r="AQ447" t="s">
        <v>74</v>
      </c>
      <c r="AR447" t="s">
        <v>9172</v>
      </c>
      <c r="AS447" t="s">
        <v>9173</v>
      </c>
      <c r="AT447" t="s">
        <v>3436</v>
      </c>
      <c r="AU447">
        <v>2022</v>
      </c>
      <c r="AV447">
        <v>38</v>
      </c>
      <c r="AW447">
        <v>5</v>
      </c>
      <c r="AX447" t="s">
        <v>74</v>
      </c>
      <c r="AY447" t="s">
        <v>74</v>
      </c>
      <c r="AZ447" t="s">
        <v>74</v>
      </c>
      <c r="BA447" t="s">
        <v>74</v>
      </c>
      <c r="BB447">
        <v>400</v>
      </c>
      <c r="BC447">
        <v>417</v>
      </c>
      <c r="BD447" t="s">
        <v>74</v>
      </c>
      <c r="BE447" t="s">
        <v>9174</v>
      </c>
      <c r="BF447" t="str">
        <f>HYPERLINK("http://dx.doi.org/10.1080/02757540.2022.2066084","http://dx.doi.org/10.1080/02757540.2022.2066084")</f>
        <v>http://dx.doi.org/10.1080/02757540.2022.2066084</v>
      </c>
      <c r="BG447" t="s">
        <v>74</v>
      </c>
      <c r="BH447" t="s">
        <v>7987</v>
      </c>
      <c r="BI447">
        <v>18</v>
      </c>
      <c r="BJ447" t="s">
        <v>9175</v>
      </c>
      <c r="BK447" t="s">
        <v>101</v>
      </c>
      <c r="BL447" t="s">
        <v>9176</v>
      </c>
      <c r="BM447" t="s">
        <v>9177</v>
      </c>
      <c r="BN447" t="s">
        <v>74</v>
      </c>
      <c r="BO447" t="s">
        <v>74</v>
      </c>
      <c r="BP447" t="s">
        <v>74</v>
      </c>
      <c r="BQ447" t="s">
        <v>74</v>
      </c>
      <c r="BR447" t="s">
        <v>103</v>
      </c>
      <c r="BS447" t="s">
        <v>9178</v>
      </c>
      <c r="BT447" t="str">
        <f>HYPERLINK("https%3A%2F%2Fwww.webofscience.com%2Fwos%2Fwoscc%2Ffull-record%2FWOS:000785880100001","View Full Record in Web of Science")</f>
        <v>View Full Record in Web of Science</v>
      </c>
    </row>
    <row r="448" spans="1:72" x14ac:dyDescent="0.15">
      <c r="A448" t="s">
        <v>72</v>
      </c>
      <c r="B448" t="s">
        <v>9179</v>
      </c>
      <c r="C448" t="s">
        <v>74</v>
      </c>
      <c r="D448" t="s">
        <v>74</v>
      </c>
      <c r="E448" t="s">
        <v>74</v>
      </c>
      <c r="F448" t="s">
        <v>9180</v>
      </c>
      <c r="G448" t="s">
        <v>74</v>
      </c>
      <c r="H448" t="s">
        <v>74</v>
      </c>
      <c r="I448" t="s">
        <v>9181</v>
      </c>
      <c r="J448" t="s">
        <v>108</v>
      </c>
      <c r="K448" t="s">
        <v>74</v>
      </c>
      <c r="L448" t="s">
        <v>74</v>
      </c>
      <c r="M448" t="s">
        <v>78</v>
      </c>
      <c r="N448" t="s">
        <v>79</v>
      </c>
      <c r="O448" t="s">
        <v>74</v>
      </c>
      <c r="P448" t="s">
        <v>74</v>
      </c>
      <c r="Q448" t="s">
        <v>74</v>
      </c>
      <c r="R448" t="s">
        <v>74</v>
      </c>
      <c r="S448" t="s">
        <v>74</v>
      </c>
      <c r="T448" t="s">
        <v>74</v>
      </c>
      <c r="U448" t="s">
        <v>9182</v>
      </c>
      <c r="V448" t="s">
        <v>9183</v>
      </c>
      <c r="W448" t="s">
        <v>9184</v>
      </c>
      <c r="X448" t="s">
        <v>9185</v>
      </c>
      <c r="Y448" t="s">
        <v>9186</v>
      </c>
      <c r="Z448" t="s">
        <v>9187</v>
      </c>
      <c r="AA448" t="s">
        <v>9188</v>
      </c>
      <c r="AB448" t="s">
        <v>9189</v>
      </c>
      <c r="AC448" t="s">
        <v>9190</v>
      </c>
      <c r="AD448" t="s">
        <v>9191</v>
      </c>
      <c r="AE448" t="s">
        <v>9192</v>
      </c>
      <c r="AF448" t="s">
        <v>74</v>
      </c>
      <c r="AG448">
        <v>73</v>
      </c>
      <c r="AH448">
        <v>10</v>
      </c>
      <c r="AI448">
        <v>12</v>
      </c>
      <c r="AJ448">
        <v>1</v>
      </c>
      <c r="AK448">
        <v>3</v>
      </c>
      <c r="AL448" t="s">
        <v>117</v>
      </c>
      <c r="AM448" t="s">
        <v>118</v>
      </c>
      <c r="AN448" t="s">
        <v>119</v>
      </c>
      <c r="AO448" t="s">
        <v>120</v>
      </c>
      <c r="AP448" t="s">
        <v>121</v>
      </c>
      <c r="AQ448" t="s">
        <v>74</v>
      </c>
      <c r="AR448" t="s">
        <v>108</v>
      </c>
      <c r="AS448" t="s">
        <v>122</v>
      </c>
      <c r="AT448" t="s">
        <v>9082</v>
      </c>
      <c r="AU448">
        <v>2022</v>
      </c>
      <c r="AV448">
        <v>16</v>
      </c>
      <c r="AW448">
        <v>4</v>
      </c>
      <c r="AX448" t="s">
        <v>74</v>
      </c>
      <c r="AY448" t="s">
        <v>74</v>
      </c>
      <c r="AZ448" t="s">
        <v>74</v>
      </c>
      <c r="BA448" t="s">
        <v>74</v>
      </c>
      <c r="BB448">
        <v>1409</v>
      </c>
      <c r="BC448">
        <v>1429</v>
      </c>
      <c r="BD448" t="s">
        <v>74</v>
      </c>
      <c r="BE448" t="s">
        <v>9193</v>
      </c>
      <c r="BF448" t="str">
        <f>HYPERLINK("http://dx.doi.org/10.5194/tc-16-1409-2022","http://dx.doi.org/10.5194/tc-16-1409-2022")</f>
        <v>http://dx.doi.org/10.5194/tc-16-1409-2022</v>
      </c>
      <c r="BG448" t="s">
        <v>74</v>
      </c>
      <c r="BH448" t="s">
        <v>74</v>
      </c>
      <c r="BI448">
        <v>21</v>
      </c>
      <c r="BJ448" t="s">
        <v>125</v>
      </c>
      <c r="BK448" t="s">
        <v>101</v>
      </c>
      <c r="BL448" t="s">
        <v>126</v>
      </c>
      <c r="BM448" t="s">
        <v>9194</v>
      </c>
      <c r="BN448" t="s">
        <v>74</v>
      </c>
      <c r="BO448" t="s">
        <v>512</v>
      </c>
      <c r="BP448" t="s">
        <v>74</v>
      </c>
      <c r="BQ448" t="s">
        <v>74</v>
      </c>
      <c r="BR448" t="s">
        <v>103</v>
      </c>
      <c r="BS448" t="s">
        <v>9195</v>
      </c>
      <c r="BT448" t="str">
        <f>HYPERLINK("https%3A%2F%2Fwww.webofscience.com%2Fwos%2Fwoscc%2Ffull-record%2FWOS:000784166600001","View Full Record in Web of Science")</f>
        <v>View Full Record in Web of Science</v>
      </c>
    </row>
    <row r="449" spans="1:72" x14ac:dyDescent="0.15">
      <c r="A449" t="s">
        <v>72</v>
      </c>
      <c r="B449" t="s">
        <v>9196</v>
      </c>
      <c r="C449" t="s">
        <v>74</v>
      </c>
      <c r="D449" t="s">
        <v>74</v>
      </c>
      <c r="E449" t="s">
        <v>74</v>
      </c>
      <c r="F449" t="s">
        <v>9197</v>
      </c>
      <c r="G449" t="s">
        <v>74</v>
      </c>
      <c r="H449" t="s">
        <v>74</v>
      </c>
      <c r="I449" t="s">
        <v>9198</v>
      </c>
      <c r="J449" t="s">
        <v>517</v>
      </c>
      <c r="K449" t="s">
        <v>74</v>
      </c>
      <c r="L449" t="s">
        <v>74</v>
      </c>
      <c r="M449" t="s">
        <v>78</v>
      </c>
      <c r="N449" t="s">
        <v>79</v>
      </c>
      <c r="O449" t="s">
        <v>74</v>
      </c>
      <c r="P449" t="s">
        <v>74</v>
      </c>
      <c r="Q449" t="s">
        <v>74</v>
      </c>
      <c r="R449" t="s">
        <v>74</v>
      </c>
      <c r="S449" t="s">
        <v>74</v>
      </c>
      <c r="T449" t="s">
        <v>9199</v>
      </c>
      <c r="U449" t="s">
        <v>9200</v>
      </c>
      <c r="V449" t="s">
        <v>9201</v>
      </c>
      <c r="W449" t="s">
        <v>9202</v>
      </c>
      <c r="X449" t="s">
        <v>9203</v>
      </c>
      <c r="Y449" t="s">
        <v>9204</v>
      </c>
      <c r="Z449" t="s">
        <v>9205</v>
      </c>
      <c r="AA449" t="s">
        <v>9206</v>
      </c>
      <c r="AB449" t="s">
        <v>9207</v>
      </c>
      <c r="AC449" t="s">
        <v>9208</v>
      </c>
      <c r="AD449" t="s">
        <v>9209</v>
      </c>
      <c r="AE449" t="s">
        <v>9210</v>
      </c>
      <c r="AF449" t="s">
        <v>74</v>
      </c>
      <c r="AG449">
        <v>72</v>
      </c>
      <c r="AH449">
        <v>1</v>
      </c>
      <c r="AI449">
        <v>1</v>
      </c>
      <c r="AJ449">
        <v>4</v>
      </c>
      <c r="AK449">
        <v>10</v>
      </c>
      <c r="AL449" t="s">
        <v>530</v>
      </c>
      <c r="AM449" t="s">
        <v>531</v>
      </c>
      <c r="AN449" t="s">
        <v>532</v>
      </c>
      <c r="AO449" t="s">
        <v>533</v>
      </c>
      <c r="AP449" t="s">
        <v>534</v>
      </c>
      <c r="AQ449" t="s">
        <v>74</v>
      </c>
      <c r="AR449" t="s">
        <v>535</v>
      </c>
      <c r="AS449" t="s">
        <v>536</v>
      </c>
      <c r="AT449" t="s">
        <v>5076</v>
      </c>
      <c r="AU449">
        <v>2022</v>
      </c>
      <c r="AV449">
        <v>45</v>
      </c>
      <c r="AW449">
        <v>5</v>
      </c>
      <c r="AX449" t="s">
        <v>74</v>
      </c>
      <c r="AY449" t="s">
        <v>74</v>
      </c>
      <c r="AZ449" t="s">
        <v>74</v>
      </c>
      <c r="BA449" t="s">
        <v>74</v>
      </c>
      <c r="BB449">
        <v>895</v>
      </c>
      <c r="BC449">
        <v>907</v>
      </c>
      <c r="BD449" t="s">
        <v>74</v>
      </c>
      <c r="BE449" t="s">
        <v>9211</v>
      </c>
      <c r="BF449" t="str">
        <f>HYPERLINK("http://dx.doi.org/10.1007/s00300-022-03042-3","http://dx.doi.org/10.1007/s00300-022-03042-3")</f>
        <v>http://dx.doi.org/10.1007/s00300-022-03042-3</v>
      </c>
      <c r="BG449" t="s">
        <v>74</v>
      </c>
      <c r="BH449" t="s">
        <v>7987</v>
      </c>
      <c r="BI449">
        <v>13</v>
      </c>
      <c r="BJ449" t="s">
        <v>539</v>
      </c>
      <c r="BK449" t="s">
        <v>101</v>
      </c>
      <c r="BL449" t="s">
        <v>540</v>
      </c>
      <c r="BM449" t="s">
        <v>8883</v>
      </c>
      <c r="BN449" t="s">
        <v>74</v>
      </c>
      <c r="BO449" t="s">
        <v>267</v>
      </c>
      <c r="BP449" t="s">
        <v>74</v>
      </c>
      <c r="BQ449" t="s">
        <v>74</v>
      </c>
      <c r="BR449" t="s">
        <v>103</v>
      </c>
      <c r="BS449" t="s">
        <v>9212</v>
      </c>
      <c r="BT449" t="str">
        <f>HYPERLINK("https%3A%2F%2Fwww.webofscience.com%2Fwos%2Fwoscc%2Ffull-record%2FWOS:000784613000001","View Full Record in Web of Science")</f>
        <v>View Full Record in Web of Science</v>
      </c>
    </row>
    <row r="450" spans="1:72" x14ac:dyDescent="0.15">
      <c r="A450" t="s">
        <v>72</v>
      </c>
      <c r="B450" t="s">
        <v>9213</v>
      </c>
      <c r="C450" t="s">
        <v>74</v>
      </c>
      <c r="D450" t="s">
        <v>74</v>
      </c>
      <c r="E450" t="s">
        <v>74</v>
      </c>
      <c r="F450" t="s">
        <v>9214</v>
      </c>
      <c r="G450" t="s">
        <v>74</v>
      </c>
      <c r="H450" t="s">
        <v>74</v>
      </c>
      <c r="I450" t="s">
        <v>9215</v>
      </c>
      <c r="J450" t="s">
        <v>692</v>
      </c>
      <c r="K450" t="s">
        <v>74</v>
      </c>
      <c r="L450" t="s">
        <v>74</v>
      </c>
      <c r="M450" t="s">
        <v>78</v>
      </c>
      <c r="N450" t="s">
        <v>79</v>
      </c>
      <c r="O450" t="s">
        <v>74</v>
      </c>
      <c r="P450" t="s">
        <v>74</v>
      </c>
      <c r="Q450" t="s">
        <v>74</v>
      </c>
      <c r="R450" t="s">
        <v>74</v>
      </c>
      <c r="S450" t="s">
        <v>74</v>
      </c>
      <c r="T450" t="s">
        <v>9216</v>
      </c>
      <c r="U450" t="s">
        <v>74</v>
      </c>
      <c r="V450" t="s">
        <v>9217</v>
      </c>
      <c r="W450" t="s">
        <v>9218</v>
      </c>
      <c r="X450" t="s">
        <v>9219</v>
      </c>
      <c r="Y450" t="s">
        <v>9220</v>
      </c>
      <c r="Z450" t="s">
        <v>9221</v>
      </c>
      <c r="AA450" t="s">
        <v>9222</v>
      </c>
      <c r="AB450" t="s">
        <v>9223</v>
      </c>
      <c r="AC450" t="s">
        <v>74</v>
      </c>
      <c r="AD450" t="s">
        <v>74</v>
      </c>
      <c r="AE450" t="s">
        <v>74</v>
      </c>
      <c r="AF450" t="s">
        <v>74</v>
      </c>
      <c r="AG450">
        <v>68</v>
      </c>
      <c r="AH450">
        <v>1</v>
      </c>
      <c r="AI450">
        <v>1</v>
      </c>
      <c r="AJ450">
        <v>4</v>
      </c>
      <c r="AK450">
        <v>21</v>
      </c>
      <c r="AL450" t="s">
        <v>428</v>
      </c>
      <c r="AM450" t="s">
        <v>531</v>
      </c>
      <c r="AN450" t="s">
        <v>748</v>
      </c>
      <c r="AO450" t="s">
        <v>703</v>
      </c>
      <c r="AP450" t="s">
        <v>704</v>
      </c>
      <c r="AQ450" t="s">
        <v>74</v>
      </c>
      <c r="AR450" t="s">
        <v>705</v>
      </c>
      <c r="AS450" t="s">
        <v>706</v>
      </c>
      <c r="AT450" t="s">
        <v>8316</v>
      </c>
      <c r="AU450">
        <v>2022</v>
      </c>
      <c r="AV450">
        <v>34</v>
      </c>
      <c r="AW450">
        <v>2</v>
      </c>
      <c r="AX450" t="s">
        <v>74</v>
      </c>
      <c r="AY450" t="s">
        <v>74</v>
      </c>
      <c r="AZ450" t="s">
        <v>74</v>
      </c>
      <c r="BA450" t="s">
        <v>74</v>
      </c>
      <c r="BB450">
        <v>191</v>
      </c>
      <c r="BC450">
        <v>204</v>
      </c>
      <c r="BD450" t="s">
        <v>9224</v>
      </c>
      <c r="BE450" t="s">
        <v>9225</v>
      </c>
      <c r="BF450" t="str">
        <f>HYPERLINK("http://dx.doi.org/10.1017/S095410202200013X","http://dx.doi.org/10.1017/S095410202200013X")</f>
        <v>http://dx.doi.org/10.1017/S095410202200013X</v>
      </c>
      <c r="BG450" t="s">
        <v>74</v>
      </c>
      <c r="BH450" t="s">
        <v>7987</v>
      </c>
      <c r="BI450">
        <v>14</v>
      </c>
      <c r="BJ450" t="s">
        <v>708</v>
      </c>
      <c r="BK450" t="s">
        <v>101</v>
      </c>
      <c r="BL450" t="s">
        <v>709</v>
      </c>
      <c r="BM450" t="s">
        <v>9226</v>
      </c>
      <c r="BN450" t="s">
        <v>74</v>
      </c>
      <c r="BO450" t="s">
        <v>9227</v>
      </c>
      <c r="BP450" t="s">
        <v>74</v>
      </c>
      <c r="BQ450" t="s">
        <v>74</v>
      </c>
      <c r="BR450" t="s">
        <v>103</v>
      </c>
      <c r="BS450" t="s">
        <v>9228</v>
      </c>
      <c r="BT450" t="str">
        <f>HYPERLINK("https%3A%2F%2Fwww.webofscience.com%2Fwos%2Fwoscc%2Ffull-record%2FWOS:000784029800001","View Full Record in Web of Science")</f>
        <v>View Full Record in Web of Science</v>
      </c>
    </row>
    <row r="451" spans="1:72" x14ac:dyDescent="0.15">
      <c r="A451" t="s">
        <v>72</v>
      </c>
      <c r="B451" t="s">
        <v>9229</v>
      </c>
      <c r="C451" t="s">
        <v>74</v>
      </c>
      <c r="D451" t="s">
        <v>74</v>
      </c>
      <c r="E451" t="s">
        <v>74</v>
      </c>
      <c r="F451" t="s">
        <v>9230</v>
      </c>
      <c r="G451" t="s">
        <v>74</v>
      </c>
      <c r="H451" t="s">
        <v>74</v>
      </c>
      <c r="I451" t="s">
        <v>9231</v>
      </c>
      <c r="J451" t="s">
        <v>493</v>
      </c>
      <c r="K451" t="s">
        <v>74</v>
      </c>
      <c r="L451" t="s">
        <v>74</v>
      </c>
      <c r="M451" t="s">
        <v>78</v>
      </c>
      <c r="N451" t="s">
        <v>79</v>
      </c>
      <c r="O451" t="s">
        <v>74</v>
      </c>
      <c r="P451" t="s">
        <v>74</v>
      </c>
      <c r="Q451" t="s">
        <v>74</v>
      </c>
      <c r="R451" t="s">
        <v>74</v>
      </c>
      <c r="S451" t="s">
        <v>74</v>
      </c>
      <c r="T451" t="s">
        <v>74</v>
      </c>
      <c r="U451" t="s">
        <v>9232</v>
      </c>
      <c r="V451" t="s">
        <v>9233</v>
      </c>
      <c r="W451" t="s">
        <v>9234</v>
      </c>
      <c r="X451" t="s">
        <v>9235</v>
      </c>
      <c r="Y451" t="s">
        <v>9236</v>
      </c>
      <c r="Z451" t="s">
        <v>9237</v>
      </c>
      <c r="AA451" t="s">
        <v>9238</v>
      </c>
      <c r="AB451" t="s">
        <v>9239</v>
      </c>
      <c r="AC451" t="s">
        <v>9240</v>
      </c>
      <c r="AD451" t="s">
        <v>9241</v>
      </c>
      <c r="AE451" t="s">
        <v>9242</v>
      </c>
      <c r="AF451" t="s">
        <v>74</v>
      </c>
      <c r="AG451">
        <v>47</v>
      </c>
      <c r="AH451">
        <v>0</v>
      </c>
      <c r="AI451">
        <v>0</v>
      </c>
      <c r="AJ451">
        <v>0</v>
      </c>
      <c r="AK451">
        <v>1</v>
      </c>
      <c r="AL451" t="s">
        <v>117</v>
      </c>
      <c r="AM451" t="s">
        <v>118</v>
      </c>
      <c r="AN451" t="s">
        <v>119</v>
      </c>
      <c r="AO451" t="s">
        <v>505</v>
      </c>
      <c r="AP451" t="s">
        <v>506</v>
      </c>
      <c r="AQ451" t="s">
        <v>74</v>
      </c>
      <c r="AR451" t="s">
        <v>507</v>
      </c>
      <c r="AS451" t="s">
        <v>508</v>
      </c>
      <c r="AT451" t="s">
        <v>9243</v>
      </c>
      <c r="AU451">
        <v>2022</v>
      </c>
      <c r="AV451">
        <v>15</v>
      </c>
      <c r="AW451">
        <v>8</v>
      </c>
      <c r="AX451" t="s">
        <v>74</v>
      </c>
      <c r="AY451" t="s">
        <v>74</v>
      </c>
      <c r="AZ451" t="s">
        <v>74</v>
      </c>
      <c r="BA451" t="s">
        <v>74</v>
      </c>
      <c r="BB451">
        <v>2361</v>
      </c>
      <c r="BC451">
        <v>2376</v>
      </c>
      <c r="BD451" t="s">
        <v>74</v>
      </c>
      <c r="BE451" t="s">
        <v>9244</v>
      </c>
      <c r="BF451" t="str">
        <f>HYPERLINK("http://dx.doi.org/10.5194/amt-15-2361-2022","http://dx.doi.org/10.5194/amt-15-2361-2022")</f>
        <v>http://dx.doi.org/10.5194/amt-15-2361-2022</v>
      </c>
      <c r="BG451" t="s">
        <v>74</v>
      </c>
      <c r="BH451" t="s">
        <v>74</v>
      </c>
      <c r="BI451">
        <v>16</v>
      </c>
      <c r="BJ451" t="s">
        <v>510</v>
      </c>
      <c r="BK451" t="s">
        <v>101</v>
      </c>
      <c r="BL451" t="s">
        <v>510</v>
      </c>
      <c r="BM451" t="s">
        <v>9245</v>
      </c>
      <c r="BN451" t="s">
        <v>74</v>
      </c>
      <c r="BO451" t="s">
        <v>2560</v>
      </c>
      <c r="BP451" t="s">
        <v>74</v>
      </c>
      <c r="BQ451" t="s">
        <v>74</v>
      </c>
      <c r="BR451" t="s">
        <v>103</v>
      </c>
      <c r="BS451" t="s">
        <v>9246</v>
      </c>
      <c r="BT451" t="str">
        <f>HYPERLINK("https%3A%2F%2Fwww.webofscience.com%2Fwos%2Fwoscc%2Ffull-record%2FWOS:000792363300001","View Full Record in Web of Science")</f>
        <v>View Full Record in Web of Science</v>
      </c>
    </row>
    <row r="452" spans="1:72" x14ac:dyDescent="0.15">
      <c r="A452" t="s">
        <v>72</v>
      </c>
      <c r="B452" t="s">
        <v>9247</v>
      </c>
      <c r="C452" t="s">
        <v>74</v>
      </c>
      <c r="D452" t="s">
        <v>74</v>
      </c>
      <c r="E452" t="s">
        <v>74</v>
      </c>
      <c r="F452" t="s">
        <v>9248</v>
      </c>
      <c r="G452" t="s">
        <v>74</v>
      </c>
      <c r="H452" t="s">
        <v>74</v>
      </c>
      <c r="I452" t="s">
        <v>9249</v>
      </c>
      <c r="J452" t="s">
        <v>9250</v>
      </c>
      <c r="K452" t="s">
        <v>74</v>
      </c>
      <c r="L452" t="s">
        <v>74</v>
      </c>
      <c r="M452" t="s">
        <v>78</v>
      </c>
      <c r="N452" t="s">
        <v>79</v>
      </c>
      <c r="O452" t="s">
        <v>74</v>
      </c>
      <c r="P452" t="s">
        <v>74</v>
      </c>
      <c r="Q452" t="s">
        <v>74</v>
      </c>
      <c r="R452" t="s">
        <v>74</v>
      </c>
      <c r="S452" t="s">
        <v>74</v>
      </c>
      <c r="T452" t="s">
        <v>74</v>
      </c>
      <c r="U452" t="s">
        <v>9251</v>
      </c>
      <c r="V452" t="s">
        <v>9252</v>
      </c>
      <c r="W452" t="s">
        <v>9253</v>
      </c>
      <c r="X452" t="s">
        <v>9254</v>
      </c>
      <c r="Y452" t="s">
        <v>9255</v>
      </c>
      <c r="Z452" t="s">
        <v>9256</v>
      </c>
      <c r="AA452" t="s">
        <v>9257</v>
      </c>
      <c r="AB452" t="s">
        <v>9258</v>
      </c>
      <c r="AC452" t="s">
        <v>9259</v>
      </c>
      <c r="AD452" t="s">
        <v>9260</v>
      </c>
      <c r="AE452" t="s">
        <v>9261</v>
      </c>
      <c r="AF452" t="s">
        <v>74</v>
      </c>
      <c r="AG452">
        <v>93</v>
      </c>
      <c r="AH452">
        <v>8</v>
      </c>
      <c r="AI452">
        <v>9</v>
      </c>
      <c r="AJ452">
        <v>3</v>
      </c>
      <c r="AK452">
        <v>7</v>
      </c>
      <c r="AL452" t="s">
        <v>117</v>
      </c>
      <c r="AM452" t="s">
        <v>118</v>
      </c>
      <c r="AN452" t="s">
        <v>119</v>
      </c>
      <c r="AO452" t="s">
        <v>9262</v>
      </c>
      <c r="AP452" t="s">
        <v>9263</v>
      </c>
      <c r="AQ452" t="s">
        <v>74</v>
      </c>
      <c r="AR452" t="s">
        <v>9264</v>
      </c>
      <c r="AS452" t="s">
        <v>9265</v>
      </c>
      <c r="AT452" t="s">
        <v>9243</v>
      </c>
      <c r="AU452">
        <v>2022</v>
      </c>
      <c r="AV452">
        <v>18</v>
      </c>
      <c r="AW452">
        <v>4</v>
      </c>
      <c r="AX452" t="s">
        <v>74</v>
      </c>
      <c r="AY452" t="s">
        <v>74</v>
      </c>
      <c r="AZ452" t="s">
        <v>74</v>
      </c>
      <c r="BA452" t="s">
        <v>74</v>
      </c>
      <c r="BB452">
        <v>845</v>
      </c>
      <c r="BC452">
        <v>862</v>
      </c>
      <c r="BD452" t="s">
        <v>74</v>
      </c>
      <c r="BE452" t="s">
        <v>9266</v>
      </c>
      <c r="BF452" t="str">
        <f>HYPERLINK("http://dx.doi.org/10.5194/cp-18-845-2022","http://dx.doi.org/10.5194/cp-18-845-2022")</f>
        <v>http://dx.doi.org/10.5194/cp-18-845-2022</v>
      </c>
      <c r="BG452" t="s">
        <v>74</v>
      </c>
      <c r="BH452" t="s">
        <v>74</v>
      </c>
      <c r="BI452">
        <v>18</v>
      </c>
      <c r="BJ452" t="s">
        <v>613</v>
      </c>
      <c r="BK452" t="s">
        <v>101</v>
      </c>
      <c r="BL452" t="s">
        <v>614</v>
      </c>
      <c r="BM452" t="s">
        <v>9267</v>
      </c>
      <c r="BN452" t="s">
        <v>74</v>
      </c>
      <c r="BO452" t="s">
        <v>2560</v>
      </c>
      <c r="BP452" t="s">
        <v>74</v>
      </c>
      <c r="BQ452" t="s">
        <v>74</v>
      </c>
      <c r="BR452" t="s">
        <v>103</v>
      </c>
      <c r="BS452" t="s">
        <v>9268</v>
      </c>
      <c r="BT452" t="str">
        <f>HYPERLINK("https%3A%2F%2Fwww.webofscience.com%2Fwos%2Fwoscc%2Ffull-record%2FWOS:000792366000001","View Full Record in Web of Science")</f>
        <v>View Full Record in Web of Science</v>
      </c>
    </row>
    <row r="453" spans="1:72" x14ac:dyDescent="0.15">
      <c r="A453" t="s">
        <v>72</v>
      </c>
      <c r="B453" t="s">
        <v>9269</v>
      </c>
      <c r="C453" t="s">
        <v>74</v>
      </c>
      <c r="D453" t="s">
        <v>74</v>
      </c>
      <c r="E453" t="s">
        <v>74</v>
      </c>
      <c r="F453" t="s">
        <v>9270</v>
      </c>
      <c r="G453" t="s">
        <v>74</v>
      </c>
      <c r="H453" t="s">
        <v>74</v>
      </c>
      <c r="I453" t="s">
        <v>9271</v>
      </c>
      <c r="J453" t="s">
        <v>692</v>
      </c>
      <c r="K453" t="s">
        <v>74</v>
      </c>
      <c r="L453" t="s">
        <v>74</v>
      </c>
      <c r="M453" t="s">
        <v>78</v>
      </c>
      <c r="N453" t="s">
        <v>79</v>
      </c>
      <c r="O453" t="s">
        <v>74</v>
      </c>
      <c r="P453" t="s">
        <v>74</v>
      </c>
      <c r="Q453" t="s">
        <v>74</v>
      </c>
      <c r="R453" t="s">
        <v>74</v>
      </c>
      <c r="S453" t="s">
        <v>74</v>
      </c>
      <c r="T453" t="s">
        <v>9272</v>
      </c>
      <c r="U453" t="s">
        <v>9273</v>
      </c>
      <c r="V453" t="s">
        <v>9274</v>
      </c>
      <c r="W453" t="s">
        <v>9275</v>
      </c>
      <c r="X453" t="s">
        <v>9276</v>
      </c>
      <c r="Y453" t="s">
        <v>9277</v>
      </c>
      <c r="Z453" t="s">
        <v>9278</v>
      </c>
      <c r="AA453" t="s">
        <v>9279</v>
      </c>
      <c r="AB453" t="s">
        <v>9280</v>
      </c>
      <c r="AC453" t="s">
        <v>74</v>
      </c>
      <c r="AD453" t="s">
        <v>74</v>
      </c>
      <c r="AE453" t="s">
        <v>74</v>
      </c>
      <c r="AF453" t="s">
        <v>74</v>
      </c>
      <c r="AG453">
        <v>45</v>
      </c>
      <c r="AH453">
        <v>0</v>
      </c>
      <c r="AI453">
        <v>0</v>
      </c>
      <c r="AJ453">
        <v>2</v>
      </c>
      <c r="AK453">
        <v>8</v>
      </c>
      <c r="AL453" t="s">
        <v>428</v>
      </c>
      <c r="AM453" t="s">
        <v>531</v>
      </c>
      <c r="AN453" t="s">
        <v>748</v>
      </c>
      <c r="AO453" t="s">
        <v>703</v>
      </c>
      <c r="AP453" t="s">
        <v>704</v>
      </c>
      <c r="AQ453" t="s">
        <v>74</v>
      </c>
      <c r="AR453" t="s">
        <v>705</v>
      </c>
      <c r="AS453" t="s">
        <v>706</v>
      </c>
      <c r="AT453" t="s">
        <v>8316</v>
      </c>
      <c r="AU453">
        <v>2022</v>
      </c>
      <c r="AV453">
        <v>34</v>
      </c>
      <c r="AW453">
        <v>2</v>
      </c>
      <c r="AX453" t="s">
        <v>74</v>
      </c>
      <c r="AY453" t="s">
        <v>74</v>
      </c>
      <c r="AZ453" t="s">
        <v>74</v>
      </c>
      <c r="BA453" t="s">
        <v>74</v>
      </c>
      <c r="BB453">
        <v>137</v>
      </c>
      <c r="BC453">
        <v>143</v>
      </c>
      <c r="BD453" t="s">
        <v>9281</v>
      </c>
      <c r="BE453" t="s">
        <v>9282</v>
      </c>
      <c r="BF453" t="str">
        <f>HYPERLINK("http://dx.doi.org/10.1017/S0954102022000104","http://dx.doi.org/10.1017/S0954102022000104")</f>
        <v>http://dx.doi.org/10.1017/S0954102022000104</v>
      </c>
      <c r="BG453" t="s">
        <v>74</v>
      </c>
      <c r="BH453" t="s">
        <v>7987</v>
      </c>
      <c r="BI453">
        <v>7</v>
      </c>
      <c r="BJ453" t="s">
        <v>708</v>
      </c>
      <c r="BK453" t="s">
        <v>956</v>
      </c>
      <c r="BL453" t="s">
        <v>709</v>
      </c>
      <c r="BM453" t="s">
        <v>9226</v>
      </c>
      <c r="BN453" t="s">
        <v>74</v>
      </c>
      <c r="BO453" t="s">
        <v>74</v>
      </c>
      <c r="BP453" t="s">
        <v>74</v>
      </c>
      <c r="BQ453" t="s">
        <v>74</v>
      </c>
      <c r="BR453" t="s">
        <v>103</v>
      </c>
      <c r="BS453" t="s">
        <v>9283</v>
      </c>
      <c r="BT453" t="str">
        <f>HYPERLINK("https%3A%2F%2Fwww.webofscience.com%2Fwos%2Fwoscc%2Ffull-record%2FWOS:000786466200001","View Full Record in Web of Science")</f>
        <v>View Full Record in Web of Science</v>
      </c>
    </row>
    <row r="454" spans="1:72" x14ac:dyDescent="0.15">
      <c r="A454" t="s">
        <v>72</v>
      </c>
      <c r="B454" t="s">
        <v>9284</v>
      </c>
      <c r="C454" t="s">
        <v>74</v>
      </c>
      <c r="D454" t="s">
        <v>74</v>
      </c>
      <c r="E454" t="s">
        <v>74</v>
      </c>
      <c r="F454" t="s">
        <v>9285</v>
      </c>
      <c r="G454" t="s">
        <v>74</v>
      </c>
      <c r="H454" t="s">
        <v>74</v>
      </c>
      <c r="I454" t="s">
        <v>9286</v>
      </c>
      <c r="J454" t="s">
        <v>9287</v>
      </c>
      <c r="K454" t="s">
        <v>74</v>
      </c>
      <c r="L454" t="s">
        <v>74</v>
      </c>
      <c r="M454" t="s">
        <v>78</v>
      </c>
      <c r="N454" t="s">
        <v>79</v>
      </c>
      <c r="O454" t="s">
        <v>74</v>
      </c>
      <c r="P454" t="s">
        <v>74</v>
      </c>
      <c r="Q454" t="s">
        <v>74</v>
      </c>
      <c r="R454" t="s">
        <v>74</v>
      </c>
      <c r="S454" t="s">
        <v>74</v>
      </c>
      <c r="T454" t="s">
        <v>74</v>
      </c>
      <c r="U454" t="s">
        <v>74</v>
      </c>
      <c r="V454" t="s">
        <v>9288</v>
      </c>
      <c r="W454" t="s">
        <v>9289</v>
      </c>
      <c r="X454" t="s">
        <v>5977</v>
      </c>
      <c r="Y454" t="s">
        <v>9290</v>
      </c>
      <c r="Z454" t="s">
        <v>5979</v>
      </c>
      <c r="AA454" t="s">
        <v>74</v>
      </c>
      <c r="AB454" t="s">
        <v>9291</v>
      </c>
      <c r="AC454" t="s">
        <v>9292</v>
      </c>
      <c r="AD454" t="s">
        <v>9293</v>
      </c>
      <c r="AE454" t="s">
        <v>9294</v>
      </c>
      <c r="AF454" t="s">
        <v>74</v>
      </c>
      <c r="AG454">
        <v>21</v>
      </c>
      <c r="AH454">
        <v>0</v>
      </c>
      <c r="AI454">
        <v>0</v>
      </c>
      <c r="AJ454">
        <v>1</v>
      </c>
      <c r="AK454">
        <v>2</v>
      </c>
      <c r="AL454" t="s">
        <v>5677</v>
      </c>
      <c r="AM454" t="s">
        <v>2043</v>
      </c>
      <c r="AN454" t="s">
        <v>5678</v>
      </c>
      <c r="AO454" t="s">
        <v>9295</v>
      </c>
      <c r="AP454" t="s">
        <v>74</v>
      </c>
      <c r="AQ454" t="s">
        <v>74</v>
      </c>
      <c r="AR454" t="s">
        <v>9296</v>
      </c>
      <c r="AS454" t="s">
        <v>9297</v>
      </c>
      <c r="AT454" t="s">
        <v>4309</v>
      </c>
      <c r="AU454">
        <v>2022</v>
      </c>
      <c r="AV454">
        <v>11</v>
      </c>
      <c r="AW454">
        <v>5</v>
      </c>
      <c r="AX454" t="s">
        <v>74</v>
      </c>
      <c r="AY454" t="s">
        <v>74</v>
      </c>
      <c r="AZ454" t="s">
        <v>74</v>
      </c>
      <c r="BA454" t="s">
        <v>74</v>
      </c>
      <c r="BB454" t="s">
        <v>74</v>
      </c>
      <c r="BC454" t="s">
        <v>74</v>
      </c>
      <c r="BD454" t="s">
        <v>74</v>
      </c>
      <c r="BE454" t="s">
        <v>9298</v>
      </c>
      <c r="BF454" t="str">
        <f>HYPERLINK("http://dx.doi.org/10.1128/mra.01192-21","http://dx.doi.org/10.1128/mra.01192-21")</f>
        <v>http://dx.doi.org/10.1128/mra.01192-21</v>
      </c>
      <c r="BG454" t="s">
        <v>74</v>
      </c>
      <c r="BH454" t="s">
        <v>7987</v>
      </c>
      <c r="BI454">
        <v>3</v>
      </c>
      <c r="BJ454" t="s">
        <v>293</v>
      </c>
      <c r="BK454" t="s">
        <v>839</v>
      </c>
      <c r="BL454" t="s">
        <v>293</v>
      </c>
      <c r="BM454" t="s">
        <v>9299</v>
      </c>
      <c r="BN454">
        <v>35442084</v>
      </c>
      <c r="BO454" t="s">
        <v>1533</v>
      </c>
      <c r="BP454" t="s">
        <v>74</v>
      </c>
      <c r="BQ454" t="s">
        <v>74</v>
      </c>
      <c r="BR454" t="s">
        <v>103</v>
      </c>
      <c r="BS454" t="s">
        <v>9300</v>
      </c>
      <c r="BT454" t="str">
        <f>HYPERLINK("https%3A%2F%2Fwww.webofscience.com%2Fwos%2Fwoscc%2Ffull-record%2FWOS:000784667800001","View Full Record in Web of Science")</f>
        <v>View Full Record in Web of Science</v>
      </c>
    </row>
    <row r="455" spans="1:72" x14ac:dyDescent="0.15">
      <c r="A455" t="s">
        <v>72</v>
      </c>
      <c r="B455" t="s">
        <v>9301</v>
      </c>
      <c r="C455" t="s">
        <v>74</v>
      </c>
      <c r="D455" t="s">
        <v>74</v>
      </c>
      <c r="E455" t="s">
        <v>74</v>
      </c>
      <c r="F455" t="s">
        <v>9302</v>
      </c>
      <c r="G455" t="s">
        <v>74</v>
      </c>
      <c r="H455" t="s">
        <v>74</v>
      </c>
      <c r="I455" t="s">
        <v>9303</v>
      </c>
      <c r="J455" t="s">
        <v>692</v>
      </c>
      <c r="K455" t="s">
        <v>74</v>
      </c>
      <c r="L455" t="s">
        <v>74</v>
      </c>
      <c r="M455" t="s">
        <v>78</v>
      </c>
      <c r="N455" t="s">
        <v>79</v>
      </c>
      <c r="O455" t="s">
        <v>74</v>
      </c>
      <c r="P455" t="s">
        <v>74</v>
      </c>
      <c r="Q455" t="s">
        <v>74</v>
      </c>
      <c r="R455" t="s">
        <v>74</v>
      </c>
      <c r="S455" t="s">
        <v>74</v>
      </c>
      <c r="T455" t="s">
        <v>9304</v>
      </c>
      <c r="U455" t="s">
        <v>9305</v>
      </c>
      <c r="V455" t="s">
        <v>9306</v>
      </c>
      <c r="W455" t="s">
        <v>9307</v>
      </c>
      <c r="X455" t="s">
        <v>9308</v>
      </c>
      <c r="Y455" t="s">
        <v>9309</v>
      </c>
      <c r="Z455" t="s">
        <v>9310</v>
      </c>
      <c r="AA455" t="s">
        <v>9311</v>
      </c>
      <c r="AB455" t="s">
        <v>9312</v>
      </c>
      <c r="AC455" t="s">
        <v>9313</v>
      </c>
      <c r="AD455" t="s">
        <v>74</v>
      </c>
      <c r="AE455" t="s">
        <v>9314</v>
      </c>
      <c r="AF455" t="s">
        <v>74</v>
      </c>
      <c r="AG455">
        <v>59</v>
      </c>
      <c r="AH455">
        <v>3</v>
      </c>
      <c r="AI455">
        <v>3</v>
      </c>
      <c r="AJ455">
        <v>0</v>
      </c>
      <c r="AK455">
        <v>2</v>
      </c>
      <c r="AL455" t="s">
        <v>428</v>
      </c>
      <c r="AM455" t="s">
        <v>531</v>
      </c>
      <c r="AN455" t="s">
        <v>748</v>
      </c>
      <c r="AO455" t="s">
        <v>703</v>
      </c>
      <c r="AP455" t="s">
        <v>704</v>
      </c>
      <c r="AQ455" t="s">
        <v>74</v>
      </c>
      <c r="AR455" t="s">
        <v>705</v>
      </c>
      <c r="AS455" t="s">
        <v>706</v>
      </c>
      <c r="AT455" t="s">
        <v>8316</v>
      </c>
      <c r="AU455">
        <v>2022</v>
      </c>
      <c r="AV455">
        <v>34</v>
      </c>
      <c r="AW455">
        <v>2</v>
      </c>
      <c r="AX455" t="s">
        <v>74</v>
      </c>
      <c r="AY455" t="s">
        <v>74</v>
      </c>
      <c r="AZ455" t="s">
        <v>74</v>
      </c>
      <c r="BA455" t="s">
        <v>74</v>
      </c>
      <c r="BB455">
        <v>144</v>
      </c>
      <c r="BC455">
        <v>171</v>
      </c>
      <c r="BD455" t="s">
        <v>9315</v>
      </c>
      <c r="BE455" t="s">
        <v>9316</v>
      </c>
      <c r="BF455" t="str">
        <f>HYPERLINK("http://dx.doi.org/10.1017/S0954102022000025","http://dx.doi.org/10.1017/S0954102022000025")</f>
        <v>http://dx.doi.org/10.1017/S0954102022000025</v>
      </c>
      <c r="BG455" t="s">
        <v>74</v>
      </c>
      <c r="BH455" t="s">
        <v>7987</v>
      </c>
      <c r="BI455">
        <v>28</v>
      </c>
      <c r="BJ455" t="s">
        <v>708</v>
      </c>
      <c r="BK455" t="s">
        <v>101</v>
      </c>
      <c r="BL455" t="s">
        <v>709</v>
      </c>
      <c r="BM455" t="s">
        <v>9226</v>
      </c>
      <c r="BN455" t="s">
        <v>74</v>
      </c>
      <c r="BO455" t="s">
        <v>267</v>
      </c>
      <c r="BP455" t="s">
        <v>74</v>
      </c>
      <c r="BQ455" t="s">
        <v>74</v>
      </c>
      <c r="BR455" t="s">
        <v>103</v>
      </c>
      <c r="BS455" t="s">
        <v>9317</v>
      </c>
      <c r="BT455" t="str">
        <f>HYPERLINK("https%3A%2F%2Fwww.webofscience.com%2Fwos%2Fwoscc%2Ffull-record%2FWOS:000784033200001","View Full Record in Web of Science")</f>
        <v>View Full Record in Web of Science</v>
      </c>
    </row>
    <row r="456" spans="1:72" x14ac:dyDescent="0.15">
      <c r="A456" t="s">
        <v>72</v>
      </c>
      <c r="B456" t="s">
        <v>9318</v>
      </c>
      <c r="C456" t="s">
        <v>74</v>
      </c>
      <c r="D456" t="s">
        <v>74</v>
      </c>
      <c r="E456" t="s">
        <v>74</v>
      </c>
      <c r="F456" t="s">
        <v>9319</v>
      </c>
      <c r="G456" t="s">
        <v>74</v>
      </c>
      <c r="H456" t="s">
        <v>74</v>
      </c>
      <c r="I456" t="s">
        <v>9320</v>
      </c>
      <c r="J456" t="s">
        <v>9321</v>
      </c>
      <c r="K456" t="s">
        <v>74</v>
      </c>
      <c r="L456" t="s">
        <v>74</v>
      </c>
      <c r="M456" t="s">
        <v>78</v>
      </c>
      <c r="N456" t="s">
        <v>79</v>
      </c>
      <c r="O456" t="s">
        <v>74</v>
      </c>
      <c r="P456" t="s">
        <v>74</v>
      </c>
      <c r="Q456" t="s">
        <v>74</v>
      </c>
      <c r="R456" t="s">
        <v>74</v>
      </c>
      <c r="S456" t="s">
        <v>74</v>
      </c>
      <c r="T456" t="s">
        <v>9322</v>
      </c>
      <c r="U456" t="s">
        <v>9323</v>
      </c>
      <c r="V456" t="s">
        <v>9324</v>
      </c>
      <c r="W456" t="s">
        <v>9325</v>
      </c>
      <c r="X456" t="s">
        <v>9326</v>
      </c>
      <c r="Y456" t="s">
        <v>9327</v>
      </c>
      <c r="Z456" t="s">
        <v>74</v>
      </c>
      <c r="AA456" t="s">
        <v>9328</v>
      </c>
      <c r="AB456" t="s">
        <v>9329</v>
      </c>
      <c r="AC456" t="s">
        <v>9330</v>
      </c>
      <c r="AD456" t="s">
        <v>9331</v>
      </c>
      <c r="AE456" t="s">
        <v>9332</v>
      </c>
      <c r="AF456" t="s">
        <v>74</v>
      </c>
      <c r="AG456">
        <v>25</v>
      </c>
      <c r="AH456">
        <v>6</v>
      </c>
      <c r="AI456">
        <v>6</v>
      </c>
      <c r="AJ456">
        <v>4</v>
      </c>
      <c r="AK456">
        <v>23</v>
      </c>
      <c r="AL456" t="s">
        <v>199</v>
      </c>
      <c r="AM456" t="s">
        <v>200</v>
      </c>
      <c r="AN456" t="s">
        <v>201</v>
      </c>
      <c r="AO456" t="s">
        <v>9333</v>
      </c>
      <c r="AP456" t="s">
        <v>9334</v>
      </c>
      <c r="AQ456" t="s">
        <v>74</v>
      </c>
      <c r="AR456" t="s">
        <v>9335</v>
      </c>
      <c r="AS456" t="s">
        <v>9336</v>
      </c>
      <c r="AT456" t="s">
        <v>8483</v>
      </c>
      <c r="AU456">
        <v>2022</v>
      </c>
      <c r="AV456">
        <v>96</v>
      </c>
      <c r="AW456" t="s">
        <v>74</v>
      </c>
      <c r="AX456" t="s">
        <v>74</v>
      </c>
      <c r="AY456" t="s">
        <v>74</v>
      </c>
      <c r="AZ456" t="s">
        <v>74</v>
      </c>
      <c r="BA456" t="s">
        <v>74</v>
      </c>
      <c r="BB456" t="s">
        <v>74</v>
      </c>
      <c r="BC456" t="s">
        <v>74</v>
      </c>
      <c r="BD456">
        <v>153778</v>
      </c>
      <c r="BE456" t="s">
        <v>9337</v>
      </c>
      <c r="BF456" t="str">
        <f>HYPERLINK("http://dx.doi.org/10.1016/j.tetlet.2022.153778","http://dx.doi.org/10.1016/j.tetlet.2022.153778")</f>
        <v>http://dx.doi.org/10.1016/j.tetlet.2022.153778</v>
      </c>
      <c r="BG456" t="s">
        <v>74</v>
      </c>
      <c r="BH456" t="s">
        <v>7987</v>
      </c>
      <c r="BI456">
        <v>4</v>
      </c>
      <c r="BJ456" t="s">
        <v>9338</v>
      </c>
      <c r="BK456" t="s">
        <v>9339</v>
      </c>
      <c r="BL456" t="s">
        <v>5724</v>
      </c>
      <c r="BM456" t="s">
        <v>9340</v>
      </c>
      <c r="BN456" t="s">
        <v>74</v>
      </c>
      <c r="BO456" t="s">
        <v>74</v>
      </c>
      <c r="BP456" t="s">
        <v>74</v>
      </c>
      <c r="BQ456" t="s">
        <v>74</v>
      </c>
      <c r="BR456" t="s">
        <v>103</v>
      </c>
      <c r="BS456" t="s">
        <v>9341</v>
      </c>
      <c r="BT456" t="str">
        <f>HYPERLINK("https%3A%2F%2Fwww.webofscience.com%2Fwos%2Fwoscc%2Ffull-record%2FWOS:000803841500003","View Full Record in Web of Science")</f>
        <v>View Full Record in Web of Science</v>
      </c>
    </row>
    <row r="457" spans="1:72" x14ac:dyDescent="0.15">
      <c r="A457" t="s">
        <v>72</v>
      </c>
      <c r="B457" t="s">
        <v>9342</v>
      </c>
      <c r="C457" t="s">
        <v>74</v>
      </c>
      <c r="D457" t="s">
        <v>74</v>
      </c>
      <c r="E457" t="s">
        <v>74</v>
      </c>
      <c r="F457" t="s">
        <v>9343</v>
      </c>
      <c r="G457" t="s">
        <v>74</v>
      </c>
      <c r="H457" t="s">
        <v>74</v>
      </c>
      <c r="I457" t="s">
        <v>9344</v>
      </c>
      <c r="J457" t="s">
        <v>9345</v>
      </c>
      <c r="K457" t="s">
        <v>74</v>
      </c>
      <c r="L457" t="s">
        <v>74</v>
      </c>
      <c r="M457" t="s">
        <v>78</v>
      </c>
      <c r="N457" t="s">
        <v>79</v>
      </c>
      <c r="O457" t="s">
        <v>74</v>
      </c>
      <c r="P457" t="s">
        <v>74</v>
      </c>
      <c r="Q457" t="s">
        <v>74</v>
      </c>
      <c r="R457" t="s">
        <v>74</v>
      </c>
      <c r="S457" t="s">
        <v>74</v>
      </c>
      <c r="T457" t="s">
        <v>9346</v>
      </c>
      <c r="U457" t="s">
        <v>9347</v>
      </c>
      <c r="V457" t="s">
        <v>9348</v>
      </c>
      <c r="W457" t="s">
        <v>9349</v>
      </c>
      <c r="X457" t="s">
        <v>4734</v>
      </c>
      <c r="Y457" t="s">
        <v>9350</v>
      </c>
      <c r="Z457" t="s">
        <v>4736</v>
      </c>
      <c r="AA457" t="s">
        <v>4737</v>
      </c>
      <c r="AB457" t="s">
        <v>4738</v>
      </c>
      <c r="AC457" t="s">
        <v>74</v>
      </c>
      <c r="AD457" t="s">
        <v>74</v>
      </c>
      <c r="AE457" t="s">
        <v>74</v>
      </c>
      <c r="AF457" t="s">
        <v>74</v>
      </c>
      <c r="AG457">
        <v>40</v>
      </c>
      <c r="AH457">
        <v>7</v>
      </c>
      <c r="AI457">
        <v>7</v>
      </c>
      <c r="AJ457">
        <v>7</v>
      </c>
      <c r="AK457">
        <v>45</v>
      </c>
      <c r="AL457" t="s">
        <v>3228</v>
      </c>
      <c r="AM457" t="s">
        <v>200</v>
      </c>
      <c r="AN457" t="s">
        <v>3229</v>
      </c>
      <c r="AO457" t="s">
        <v>9351</v>
      </c>
      <c r="AP457" t="s">
        <v>9352</v>
      </c>
      <c r="AQ457" t="s">
        <v>74</v>
      </c>
      <c r="AR457" t="s">
        <v>9353</v>
      </c>
      <c r="AS457" t="s">
        <v>9354</v>
      </c>
      <c r="AT457" t="s">
        <v>1146</v>
      </c>
      <c r="AU457">
        <v>2022</v>
      </c>
      <c r="AV457">
        <v>388</v>
      </c>
      <c r="AW457" t="s">
        <v>74</v>
      </c>
      <c r="AX457" t="s">
        <v>74</v>
      </c>
      <c r="AY457" t="s">
        <v>74</v>
      </c>
      <c r="AZ457" t="s">
        <v>74</v>
      </c>
      <c r="BA457" t="s">
        <v>74</v>
      </c>
      <c r="BB457" t="s">
        <v>74</v>
      </c>
      <c r="BC457" t="s">
        <v>74</v>
      </c>
      <c r="BD457">
        <v>132995</v>
      </c>
      <c r="BE457" t="s">
        <v>9355</v>
      </c>
      <c r="BF457" t="str">
        <f>HYPERLINK("http://dx.doi.org/10.1016/j.foodchem.2022.132995","http://dx.doi.org/10.1016/j.foodchem.2022.132995")</f>
        <v>http://dx.doi.org/10.1016/j.foodchem.2022.132995</v>
      </c>
      <c r="BG457" t="s">
        <v>74</v>
      </c>
      <c r="BH457" t="s">
        <v>7987</v>
      </c>
      <c r="BI457">
        <v>9</v>
      </c>
      <c r="BJ457" t="s">
        <v>9356</v>
      </c>
      <c r="BK457" t="s">
        <v>101</v>
      </c>
      <c r="BL457" t="s">
        <v>9357</v>
      </c>
      <c r="BM457" t="s">
        <v>9358</v>
      </c>
      <c r="BN457">
        <v>35453014</v>
      </c>
      <c r="BO457" t="s">
        <v>74</v>
      </c>
      <c r="BP457" t="s">
        <v>74</v>
      </c>
      <c r="BQ457" t="s">
        <v>74</v>
      </c>
      <c r="BR457" t="s">
        <v>103</v>
      </c>
      <c r="BS457" t="s">
        <v>9359</v>
      </c>
      <c r="BT457" t="str">
        <f>HYPERLINK("https%3A%2F%2Fwww.webofscience.com%2Fwos%2Fwoscc%2Ffull-record%2FWOS:000803076600004","View Full Record in Web of Science")</f>
        <v>View Full Record in Web of Science</v>
      </c>
    </row>
    <row r="458" spans="1:72" x14ac:dyDescent="0.15">
      <c r="A458" t="s">
        <v>72</v>
      </c>
      <c r="B458" t="s">
        <v>9360</v>
      </c>
      <c r="C458" t="s">
        <v>74</v>
      </c>
      <c r="D458" t="s">
        <v>74</v>
      </c>
      <c r="E458" t="s">
        <v>74</v>
      </c>
      <c r="F458" t="s">
        <v>9361</v>
      </c>
      <c r="G458" t="s">
        <v>74</v>
      </c>
      <c r="H458" t="s">
        <v>74</v>
      </c>
      <c r="I458" t="s">
        <v>9362</v>
      </c>
      <c r="J458" t="s">
        <v>8210</v>
      </c>
      <c r="K458" t="s">
        <v>74</v>
      </c>
      <c r="L458" t="s">
        <v>74</v>
      </c>
      <c r="M458" t="s">
        <v>78</v>
      </c>
      <c r="N458" t="s">
        <v>161</v>
      </c>
      <c r="O458" t="s">
        <v>74</v>
      </c>
      <c r="P458" t="s">
        <v>74</v>
      </c>
      <c r="Q458" t="s">
        <v>74</v>
      </c>
      <c r="R458" t="s">
        <v>74</v>
      </c>
      <c r="S458" t="s">
        <v>74</v>
      </c>
      <c r="T458" t="s">
        <v>9363</v>
      </c>
      <c r="U458" t="s">
        <v>9364</v>
      </c>
      <c r="V458" t="s">
        <v>9365</v>
      </c>
      <c r="W458" t="s">
        <v>9366</v>
      </c>
      <c r="X458" t="s">
        <v>9367</v>
      </c>
      <c r="Y458" t="s">
        <v>9368</v>
      </c>
      <c r="Z458" t="s">
        <v>9369</v>
      </c>
      <c r="AA458" t="s">
        <v>9370</v>
      </c>
      <c r="AB458" t="s">
        <v>9371</v>
      </c>
      <c r="AC458" t="s">
        <v>9372</v>
      </c>
      <c r="AD458" t="s">
        <v>9373</v>
      </c>
      <c r="AE458" t="s">
        <v>9374</v>
      </c>
      <c r="AF458" t="s">
        <v>74</v>
      </c>
      <c r="AG458">
        <v>427</v>
      </c>
      <c r="AH458">
        <v>11</v>
      </c>
      <c r="AI458">
        <v>11</v>
      </c>
      <c r="AJ458">
        <v>7</v>
      </c>
      <c r="AK458">
        <v>40</v>
      </c>
      <c r="AL458" t="s">
        <v>8223</v>
      </c>
      <c r="AM458" t="s">
        <v>8224</v>
      </c>
      <c r="AN458" t="s">
        <v>8225</v>
      </c>
      <c r="AO458" t="s">
        <v>8226</v>
      </c>
      <c r="AP458" t="s">
        <v>8227</v>
      </c>
      <c r="AQ458" t="s">
        <v>74</v>
      </c>
      <c r="AR458" t="s">
        <v>8228</v>
      </c>
      <c r="AS458" t="s">
        <v>8229</v>
      </c>
      <c r="AT458" t="s">
        <v>9375</v>
      </c>
      <c r="AU458">
        <v>2022</v>
      </c>
      <c r="AV458">
        <v>41</v>
      </c>
      <c r="AW458" t="s">
        <v>74</v>
      </c>
      <c r="AX458" t="s">
        <v>74</v>
      </c>
      <c r="AY458" t="s">
        <v>74</v>
      </c>
      <c r="AZ458" t="s">
        <v>74</v>
      </c>
      <c r="BA458" t="s">
        <v>74</v>
      </c>
      <c r="BB458" t="s">
        <v>74</v>
      </c>
      <c r="BC458" t="s">
        <v>74</v>
      </c>
      <c r="BD458">
        <v>6310</v>
      </c>
      <c r="BE458" t="s">
        <v>9376</v>
      </c>
      <c r="BF458" t="str">
        <f>HYPERLINK("http://dx.doi.org/10.33265/polar.v41.6310","http://dx.doi.org/10.33265/polar.v41.6310")</f>
        <v>http://dx.doi.org/10.33265/polar.v41.6310</v>
      </c>
      <c r="BG458" t="s">
        <v>74</v>
      </c>
      <c r="BH458" t="s">
        <v>74</v>
      </c>
      <c r="BI458">
        <v>39</v>
      </c>
      <c r="BJ458" t="s">
        <v>8231</v>
      </c>
      <c r="BK458" t="s">
        <v>101</v>
      </c>
      <c r="BL458" t="s">
        <v>8232</v>
      </c>
      <c r="BM458" t="s">
        <v>9377</v>
      </c>
      <c r="BN458" t="s">
        <v>74</v>
      </c>
      <c r="BO458" t="s">
        <v>9378</v>
      </c>
      <c r="BP458" t="s">
        <v>74</v>
      </c>
      <c r="BQ458" t="s">
        <v>74</v>
      </c>
      <c r="BR458" t="s">
        <v>103</v>
      </c>
      <c r="BS458" t="s">
        <v>9379</v>
      </c>
      <c r="BT458" t="str">
        <f>HYPERLINK("https%3A%2F%2Fwww.webofscience.com%2Fwos%2Fwoscc%2Ffull-record%2FWOS:000795079800001","View Full Record in Web of Science")</f>
        <v>View Full Record in Web of Science</v>
      </c>
    </row>
    <row r="459" spans="1:72" x14ac:dyDescent="0.15">
      <c r="A459" t="s">
        <v>72</v>
      </c>
      <c r="B459" t="s">
        <v>9380</v>
      </c>
      <c r="C459" t="s">
        <v>74</v>
      </c>
      <c r="D459" t="s">
        <v>74</v>
      </c>
      <c r="E459" t="s">
        <v>74</v>
      </c>
      <c r="F459" t="s">
        <v>9381</v>
      </c>
      <c r="G459" t="s">
        <v>74</v>
      </c>
      <c r="H459" t="s">
        <v>74</v>
      </c>
      <c r="I459" t="s">
        <v>9382</v>
      </c>
      <c r="J459" t="s">
        <v>9383</v>
      </c>
      <c r="K459" t="s">
        <v>74</v>
      </c>
      <c r="L459" t="s">
        <v>74</v>
      </c>
      <c r="M459" t="s">
        <v>78</v>
      </c>
      <c r="N459" t="s">
        <v>79</v>
      </c>
      <c r="O459" t="s">
        <v>74</v>
      </c>
      <c r="P459" t="s">
        <v>74</v>
      </c>
      <c r="Q459" t="s">
        <v>74</v>
      </c>
      <c r="R459" t="s">
        <v>74</v>
      </c>
      <c r="S459" t="s">
        <v>74</v>
      </c>
      <c r="T459" t="s">
        <v>9384</v>
      </c>
      <c r="U459" t="s">
        <v>9385</v>
      </c>
      <c r="V459" t="s">
        <v>9386</v>
      </c>
      <c r="W459" t="s">
        <v>9387</v>
      </c>
      <c r="X459" t="s">
        <v>9388</v>
      </c>
      <c r="Y459" t="s">
        <v>9389</v>
      </c>
      <c r="Z459" t="s">
        <v>9390</v>
      </c>
      <c r="AA459" t="s">
        <v>9391</v>
      </c>
      <c r="AB459" t="s">
        <v>9392</v>
      </c>
      <c r="AC459" t="s">
        <v>9393</v>
      </c>
      <c r="AD459" t="s">
        <v>9394</v>
      </c>
      <c r="AE459" t="s">
        <v>9395</v>
      </c>
      <c r="AF459" t="s">
        <v>74</v>
      </c>
      <c r="AG459">
        <v>52</v>
      </c>
      <c r="AH459">
        <v>20</v>
      </c>
      <c r="AI459">
        <v>22</v>
      </c>
      <c r="AJ459">
        <v>10</v>
      </c>
      <c r="AK459">
        <v>88</v>
      </c>
      <c r="AL459" t="s">
        <v>257</v>
      </c>
      <c r="AM459" t="s">
        <v>258</v>
      </c>
      <c r="AN459" t="s">
        <v>259</v>
      </c>
      <c r="AO459" t="s">
        <v>9396</v>
      </c>
      <c r="AP459" t="s">
        <v>9397</v>
      </c>
      <c r="AQ459" t="s">
        <v>74</v>
      </c>
      <c r="AR459" t="s">
        <v>9398</v>
      </c>
      <c r="AS459" t="s">
        <v>9399</v>
      </c>
      <c r="AT459" t="s">
        <v>1171</v>
      </c>
      <c r="AU459">
        <v>2022</v>
      </c>
      <c r="AV459">
        <v>434</v>
      </c>
      <c r="AW459" t="s">
        <v>74</v>
      </c>
      <c r="AX459" t="s">
        <v>74</v>
      </c>
      <c r="AY459" t="s">
        <v>74</v>
      </c>
      <c r="AZ459" t="s">
        <v>74</v>
      </c>
      <c r="BA459" t="s">
        <v>74</v>
      </c>
      <c r="BB459" t="s">
        <v>74</v>
      </c>
      <c r="BC459" t="s">
        <v>74</v>
      </c>
      <c r="BD459">
        <v>128900</v>
      </c>
      <c r="BE459" t="s">
        <v>9400</v>
      </c>
      <c r="BF459" t="str">
        <f>HYPERLINK("http://dx.doi.org/10.1016/j.jhazmat.2022.128900","http://dx.doi.org/10.1016/j.jhazmat.2022.128900")</f>
        <v>http://dx.doi.org/10.1016/j.jhazmat.2022.128900</v>
      </c>
      <c r="BG459" t="s">
        <v>74</v>
      </c>
      <c r="BH459" t="s">
        <v>7987</v>
      </c>
      <c r="BI459">
        <v>12</v>
      </c>
      <c r="BJ459" t="s">
        <v>4518</v>
      </c>
      <c r="BK459" t="s">
        <v>101</v>
      </c>
      <c r="BL459" t="s">
        <v>4519</v>
      </c>
      <c r="BM459" t="s">
        <v>9401</v>
      </c>
      <c r="BN459">
        <v>35452981</v>
      </c>
      <c r="BO459" t="s">
        <v>74</v>
      </c>
      <c r="BP459" t="s">
        <v>74</v>
      </c>
      <c r="BQ459" t="s">
        <v>74</v>
      </c>
      <c r="BR459" t="s">
        <v>103</v>
      </c>
      <c r="BS459" t="s">
        <v>9402</v>
      </c>
      <c r="BT459" t="str">
        <f>HYPERLINK("https%3A%2F%2Fwww.webofscience.com%2Fwos%2Fwoscc%2Ffull-record%2FWOS:000793529700003","View Full Record in Web of Science")</f>
        <v>View Full Record in Web of Science</v>
      </c>
    </row>
    <row r="460" spans="1:72" x14ac:dyDescent="0.15">
      <c r="A460" t="s">
        <v>72</v>
      </c>
      <c r="B460" t="s">
        <v>9403</v>
      </c>
      <c r="C460" t="s">
        <v>74</v>
      </c>
      <c r="D460" t="s">
        <v>74</v>
      </c>
      <c r="E460" t="s">
        <v>74</v>
      </c>
      <c r="F460" t="s">
        <v>9404</v>
      </c>
      <c r="G460" t="s">
        <v>74</v>
      </c>
      <c r="H460" t="s">
        <v>74</v>
      </c>
      <c r="I460" t="s">
        <v>9405</v>
      </c>
      <c r="J460" t="s">
        <v>9406</v>
      </c>
      <c r="K460" t="s">
        <v>74</v>
      </c>
      <c r="L460" t="s">
        <v>74</v>
      </c>
      <c r="M460" t="s">
        <v>78</v>
      </c>
      <c r="N460" t="s">
        <v>79</v>
      </c>
      <c r="O460" t="s">
        <v>74</v>
      </c>
      <c r="P460" t="s">
        <v>74</v>
      </c>
      <c r="Q460" t="s">
        <v>74</v>
      </c>
      <c r="R460" t="s">
        <v>74</v>
      </c>
      <c r="S460" t="s">
        <v>74</v>
      </c>
      <c r="T460" t="s">
        <v>9407</v>
      </c>
      <c r="U460" t="s">
        <v>9408</v>
      </c>
      <c r="V460" t="s">
        <v>9409</v>
      </c>
      <c r="W460" t="s">
        <v>9410</v>
      </c>
      <c r="X460" t="s">
        <v>9411</v>
      </c>
      <c r="Y460" t="s">
        <v>9412</v>
      </c>
      <c r="Z460" t="s">
        <v>9413</v>
      </c>
      <c r="AA460" t="s">
        <v>9414</v>
      </c>
      <c r="AB460" t="s">
        <v>9415</v>
      </c>
      <c r="AC460" t="s">
        <v>9416</v>
      </c>
      <c r="AD460" t="s">
        <v>9417</v>
      </c>
      <c r="AE460" t="s">
        <v>9418</v>
      </c>
      <c r="AF460" t="s">
        <v>74</v>
      </c>
      <c r="AG460">
        <v>68</v>
      </c>
      <c r="AH460">
        <v>26</v>
      </c>
      <c r="AI460">
        <v>26</v>
      </c>
      <c r="AJ460">
        <v>21</v>
      </c>
      <c r="AK460">
        <v>109</v>
      </c>
      <c r="AL460" t="s">
        <v>199</v>
      </c>
      <c r="AM460" t="s">
        <v>200</v>
      </c>
      <c r="AN460" t="s">
        <v>201</v>
      </c>
      <c r="AO460" t="s">
        <v>9419</v>
      </c>
      <c r="AP460" t="s">
        <v>9420</v>
      </c>
      <c r="AQ460" t="s">
        <v>74</v>
      </c>
      <c r="AR460" t="s">
        <v>9421</v>
      </c>
      <c r="AS460" t="s">
        <v>9422</v>
      </c>
      <c r="AT460" t="s">
        <v>3999</v>
      </c>
      <c r="AU460">
        <v>2022</v>
      </c>
      <c r="AV460">
        <v>217</v>
      </c>
      <c r="AW460" t="s">
        <v>74</v>
      </c>
      <c r="AX460" t="s">
        <v>74</v>
      </c>
      <c r="AY460" t="s">
        <v>74</v>
      </c>
      <c r="AZ460" t="s">
        <v>74</v>
      </c>
      <c r="BA460" t="s">
        <v>74</v>
      </c>
      <c r="BB460" t="s">
        <v>74</v>
      </c>
      <c r="BC460" t="s">
        <v>74</v>
      </c>
      <c r="BD460">
        <v>118439</v>
      </c>
      <c r="BE460" t="s">
        <v>9423</v>
      </c>
      <c r="BF460" t="str">
        <f>HYPERLINK("http://dx.doi.org/10.1016/j.watres.2022.118439","http://dx.doi.org/10.1016/j.watres.2022.118439")</f>
        <v>http://dx.doi.org/10.1016/j.watres.2022.118439</v>
      </c>
      <c r="BG460" t="s">
        <v>74</v>
      </c>
      <c r="BH460" t="s">
        <v>7987</v>
      </c>
      <c r="BI460">
        <v>9</v>
      </c>
      <c r="BJ460" t="s">
        <v>9424</v>
      </c>
      <c r="BK460" t="s">
        <v>101</v>
      </c>
      <c r="BL460" t="s">
        <v>9425</v>
      </c>
      <c r="BM460" t="s">
        <v>9426</v>
      </c>
      <c r="BN460">
        <v>35452973</v>
      </c>
      <c r="BO460" t="s">
        <v>74</v>
      </c>
      <c r="BP460" t="s">
        <v>74</v>
      </c>
      <c r="BQ460" t="s">
        <v>74</v>
      </c>
      <c r="BR460" t="s">
        <v>103</v>
      </c>
      <c r="BS460" t="s">
        <v>9427</v>
      </c>
      <c r="BT460" t="str">
        <f>HYPERLINK("https%3A%2F%2Fwww.webofscience.com%2Fwos%2Fwoscc%2Ffull-record%2FWOS:000794190800002","View Full Record in Web of Science")</f>
        <v>View Full Record in Web of Science</v>
      </c>
    </row>
    <row r="461" spans="1:72" x14ac:dyDescent="0.15">
      <c r="A461" t="s">
        <v>72</v>
      </c>
      <c r="B461" t="s">
        <v>9428</v>
      </c>
      <c r="C461" t="s">
        <v>74</v>
      </c>
      <c r="D461" t="s">
        <v>74</v>
      </c>
      <c r="E461" t="s">
        <v>74</v>
      </c>
      <c r="F461" t="s">
        <v>9429</v>
      </c>
      <c r="G461" t="s">
        <v>74</v>
      </c>
      <c r="H461" t="s">
        <v>74</v>
      </c>
      <c r="I461" t="s">
        <v>9430</v>
      </c>
      <c r="J461" t="s">
        <v>648</v>
      </c>
      <c r="K461" t="s">
        <v>74</v>
      </c>
      <c r="L461" t="s">
        <v>74</v>
      </c>
      <c r="M461" t="s">
        <v>78</v>
      </c>
      <c r="N461" t="s">
        <v>79</v>
      </c>
      <c r="O461" t="s">
        <v>74</v>
      </c>
      <c r="P461" t="s">
        <v>74</v>
      </c>
      <c r="Q461" t="s">
        <v>74</v>
      </c>
      <c r="R461" t="s">
        <v>74</v>
      </c>
      <c r="S461" t="s">
        <v>74</v>
      </c>
      <c r="T461" t="s">
        <v>74</v>
      </c>
      <c r="U461" t="s">
        <v>9431</v>
      </c>
      <c r="V461" t="s">
        <v>9432</v>
      </c>
      <c r="W461" t="s">
        <v>9433</v>
      </c>
      <c r="X461" t="s">
        <v>9434</v>
      </c>
      <c r="Y461" t="s">
        <v>9435</v>
      </c>
      <c r="Z461" t="s">
        <v>9436</v>
      </c>
      <c r="AA461" t="s">
        <v>9437</v>
      </c>
      <c r="AB461" t="s">
        <v>9438</v>
      </c>
      <c r="AC461" t="s">
        <v>9439</v>
      </c>
      <c r="AD461" t="s">
        <v>9440</v>
      </c>
      <c r="AE461" t="s">
        <v>9441</v>
      </c>
      <c r="AF461" t="s">
        <v>74</v>
      </c>
      <c r="AG461">
        <v>83</v>
      </c>
      <c r="AH461">
        <v>11</v>
      </c>
      <c r="AI461">
        <v>15</v>
      </c>
      <c r="AJ461">
        <v>7</v>
      </c>
      <c r="AK461">
        <v>28</v>
      </c>
      <c r="AL461" t="s">
        <v>455</v>
      </c>
      <c r="AM461" t="s">
        <v>456</v>
      </c>
      <c r="AN461" t="s">
        <v>457</v>
      </c>
      <c r="AO461" t="s">
        <v>74</v>
      </c>
      <c r="AP461" t="s">
        <v>652</v>
      </c>
      <c r="AQ461" t="s">
        <v>74</v>
      </c>
      <c r="AR461" t="s">
        <v>653</v>
      </c>
      <c r="AS461" t="s">
        <v>654</v>
      </c>
      <c r="AT461" t="s">
        <v>9375</v>
      </c>
      <c r="AU461">
        <v>2022</v>
      </c>
      <c r="AV461">
        <v>13</v>
      </c>
      <c r="AW461">
        <v>1</v>
      </c>
      <c r="AX461" t="s">
        <v>74</v>
      </c>
      <c r="AY461" t="s">
        <v>74</v>
      </c>
      <c r="AZ461" t="s">
        <v>74</v>
      </c>
      <c r="BA461" t="s">
        <v>74</v>
      </c>
      <c r="BB461" t="s">
        <v>74</v>
      </c>
      <c r="BC461" t="s">
        <v>74</v>
      </c>
      <c r="BD461">
        <v>2044</v>
      </c>
      <c r="BE461" t="s">
        <v>9442</v>
      </c>
      <c r="BF461" t="str">
        <f>HYPERLINK("http://dx.doi.org/10.1038/s41467-022-29642-5","http://dx.doi.org/10.1038/s41467-022-29642-5")</f>
        <v>http://dx.doi.org/10.1038/s41467-022-29642-5</v>
      </c>
      <c r="BG461" t="s">
        <v>74</v>
      </c>
      <c r="BH461" t="s">
        <v>74</v>
      </c>
      <c r="BI461">
        <v>18</v>
      </c>
      <c r="BJ461" t="s">
        <v>657</v>
      </c>
      <c r="BK461" t="s">
        <v>101</v>
      </c>
      <c r="BL461" t="s">
        <v>658</v>
      </c>
      <c r="BM461" t="s">
        <v>9443</v>
      </c>
      <c r="BN461">
        <v>35440628</v>
      </c>
      <c r="BO461" t="s">
        <v>5588</v>
      </c>
      <c r="BP461" t="s">
        <v>74</v>
      </c>
      <c r="BQ461" t="s">
        <v>74</v>
      </c>
      <c r="BR461" t="s">
        <v>103</v>
      </c>
      <c r="BS461" t="s">
        <v>9444</v>
      </c>
      <c r="BT461" t="str">
        <f>HYPERLINK("https%3A%2F%2Fwww.webofscience.com%2Fwos%2Fwoscc%2Ffull-record%2FWOS:000784997300019","View Full Record in Web of Science")</f>
        <v>View Full Record in Web of Science</v>
      </c>
    </row>
    <row r="462" spans="1:72" x14ac:dyDescent="0.15">
      <c r="A462" t="s">
        <v>72</v>
      </c>
      <c r="B462" t="s">
        <v>9445</v>
      </c>
      <c r="C462" t="s">
        <v>74</v>
      </c>
      <c r="D462" t="s">
        <v>74</v>
      </c>
      <c r="E462" t="s">
        <v>74</v>
      </c>
      <c r="F462" t="s">
        <v>9446</v>
      </c>
      <c r="G462" t="s">
        <v>74</v>
      </c>
      <c r="H462" t="s">
        <v>74</v>
      </c>
      <c r="I462" t="s">
        <v>9447</v>
      </c>
      <c r="J462" t="s">
        <v>648</v>
      </c>
      <c r="K462" t="s">
        <v>74</v>
      </c>
      <c r="L462" t="s">
        <v>74</v>
      </c>
      <c r="M462" t="s">
        <v>78</v>
      </c>
      <c r="N462" t="s">
        <v>79</v>
      </c>
      <c r="O462" t="s">
        <v>74</v>
      </c>
      <c r="P462" t="s">
        <v>74</v>
      </c>
      <c r="Q462" t="s">
        <v>74</v>
      </c>
      <c r="R462" t="s">
        <v>74</v>
      </c>
      <c r="S462" t="s">
        <v>74</v>
      </c>
      <c r="T462" t="s">
        <v>74</v>
      </c>
      <c r="U462" t="s">
        <v>9448</v>
      </c>
      <c r="V462" t="s">
        <v>9449</v>
      </c>
      <c r="W462" t="s">
        <v>9450</v>
      </c>
      <c r="X462" t="s">
        <v>9451</v>
      </c>
      <c r="Y462" t="s">
        <v>9452</v>
      </c>
      <c r="Z462" t="s">
        <v>9453</v>
      </c>
      <c r="AA462" t="s">
        <v>9454</v>
      </c>
      <c r="AB462" t="s">
        <v>9455</v>
      </c>
      <c r="AC462" t="s">
        <v>9456</v>
      </c>
      <c r="AD462" t="s">
        <v>9457</v>
      </c>
      <c r="AE462" t="s">
        <v>9458</v>
      </c>
      <c r="AF462" t="s">
        <v>74</v>
      </c>
      <c r="AG462">
        <v>32</v>
      </c>
      <c r="AH462">
        <v>11</v>
      </c>
      <c r="AI462">
        <v>11</v>
      </c>
      <c r="AJ462">
        <v>3</v>
      </c>
      <c r="AK462">
        <v>35</v>
      </c>
      <c r="AL462" t="s">
        <v>455</v>
      </c>
      <c r="AM462" t="s">
        <v>456</v>
      </c>
      <c r="AN462" t="s">
        <v>457</v>
      </c>
      <c r="AO462" t="s">
        <v>74</v>
      </c>
      <c r="AP462" t="s">
        <v>652</v>
      </c>
      <c r="AQ462" t="s">
        <v>74</v>
      </c>
      <c r="AR462" t="s">
        <v>653</v>
      </c>
      <c r="AS462" t="s">
        <v>654</v>
      </c>
      <c r="AT462" t="s">
        <v>9375</v>
      </c>
      <c r="AU462">
        <v>2022</v>
      </c>
      <c r="AV462">
        <v>13</v>
      </c>
      <c r="AW462">
        <v>1</v>
      </c>
      <c r="AX462" t="s">
        <v>74</v>
      </c>
      <c r="AY462" t="s">
        <v>74</v>
      </c>
      <c r="AZ462" t="s">
        <v>74</v>
      </c>
      <c r="BA462" t="s">
        <v>74</v>
      </c>
      <c r="BB462" t="s">
        <v>74</v>
      </c>
      <c r="BC462" t="s">
        <v>74</v>
      </c>
      <c r="BD462">
        <v>2093</v>
      </c>
      <c r="BE462" t="s">
        <v>9459</v>
      </c>
      <c r="BF462" t="str">
        <f>HYPERLINK("http://dx.doi.org/10.1038/s41467-022-29617-6","http://dx.doi.org/10.1038/s41467-022-29617-6")</f>
        <v>http://dx.doi.org/10.1038/s41467-022-29617-6</v>
      </c>
      <c r="BG462" t="s">
        <v>74</v>
      </c>
      <c r="BH462" t="s">
        <v>74</v>
      </c>
      <c r="BI462">
        <v>8</v>
      </c>
      <c r="BJ462" t="s">
        <v>657</v>
      </c>
      <c r="BK462" t="s">
        <v>101</v>
      </c>
      <c r="BL462" t="s">
        <v>658</v>
      </c>
      <c r="BM462" t="s">
        <v>9443</v>
      </c>
      <c r="BN462">
        <v>35440619</v>
      </c>
      <c r="BO462" t="s">
        <v>1533</v>
      </c>
      <c r="BP462" t="s">
        <v>74</v>
      </c>
      <c r="BQ462" t="s">
        <v>74</v>
      </c>
      <c r="BR462" t="s">
        <v>103</v>
      </c>
      <c r="BS462" t="s">
        <v>9460</v>
      </c>
      <c r="BT462" t="str">
        <f>HYPERLINK("https%3A%2F%2Fwww.webofscience.com%2Fwos%2Fwoscc%2Ffull-record%2FWOS:000784997300069","View Full Record in Web of Science")</f>
        <v>View Full Record in Web of Science</v>
      </c>
    </row>
    <row r="463" spans="1:72" x14ac:dyDescent="0.15">
      <c r="A463" t="s">
        <v>72</v>
      </c>
      <c r="B463" t="s">
        <v>9461</v>
      </c>
      <c r="C463" t="s">
        <v>74</v>
      </c>
      <c r="D463" t="s">
        <v>74</v>
      </c>
      <c r="E463" t="s">
        <v>74</v>
      </c>
      <c r="F463" t="s">
        <v>9462</v>
      </c>
      <c r="G463" t="s">
        <v>74</v>
      </c>
      <c r="H463" t="s">
        <v>74</v>
      </c>
      <c r="I463" t="s">
        <v>9463</v>
      </c>
      <c r="J463" t="s">
        <v>9464</v>
      </c>
      <c r="K463" t="s">
        <v>74</v>
      </c>
      <c r="L463" t="s">
        <v>74</v>
      </c>
      <c r="M463" t="s">
        <v>78</v>
      </c>
      <c r="N463" t="s">
        <v>190</v>
      </c>
      <c r="O463" t="s">
        <v>74</v>
      </c>
      <c r="P463" t="s">
        <v>74</v>
      </c>
      <c r="Q463" t="s">
        <v>74</v>
      </c>
      <c r="R463" t="s">
        <v>74</v>
      </c>
      <c r="S463" t="s">
        <v>74</v>
      </c>
      <c r="T463" t="s">
        <v>9465</v>
      </c>
      <c r="U463" t="s">
        <v>9466</v>
      </c>
      <c r="V463" t="s">
        <v>9467</v>
      </c>
      <c r="W463" t="s">
        <v>9468</v>
      </c>
      <c r="X463" t="s">
        <v>9469</v>
      </c>
      <c r="Y463" t="s">
        <v>5371</v>
      </c>
      <c r="Z463" t="s">
        <v>5372</v>
      </c>
      <c r="AA463" t="s">
        <v>9470</v>
      </c>
      <c r="AB463" t="s">
        <v>9471</v>
      </c>
      <c r="AC463" t="s">
        <v>9472</v>
      </c>
      <c r="AD463" t="s">
        <v>9473</v>
      </c>
      <c r="AE463" t="s">
        <v>9474</v>
      </c>
      <c r="AF463" t="s">
        <v>74</v>
      </c>
      <c r="AG463">
        <v>39</v>
      </c>
      <c r="AH463">
        <v>28</v>
      </c>
      <c r="AI463">
        <v>32</v>
      </c>
      <c r="AJ463">
        <v>7</v>
      </c>
      <c r="AK463">
        <v>32</v>
      </c>
      <c r="AL463" t="s">
        <v>7201</v>
      </c>
      <c r="AM463" t="s">
        <v>2859</v>
      </c>
      <c r="AN463" t="s">
        <v>7202</v>
      </c>
      <c r="AO463" t="s">
        <v>9475</v>
      </c>
      <c r="AP463" t="s">
        <v>9476</v>
      </c>
      <c r="AQ463" t="s">
        <v>74</v>
      </c>
      <c r="AR463" t="s">
        <v>9477</v>
      </c>
      <c r="AS463" t="s">
        <v>9478</v>
      </c>
      <c r="AT463" t="s">
        <v>484</v>
      </c>
      <c r="AU463">
        <v>2022</v>
      </c>
      <c r="AV463">
        <v>39</v>
      </c>
      <c r="AW463">
        <v>10</v>
      </c>
      <c r="AX463" t="s">
        <v>74</v>
      </c>
      <c r="AY463" t="s">
        <v>74</v>
      </c>
      <c r="AZ463" t="s">
        <v>74</v>
      </c>
      <c r="BA463" t="s">
        <v>74</v>
      </c>
      <c r="BB463">
        <v>1591</v>
      </c>
      <c r="BC463">
        <v>1597</v>
      </c>
      <c r="BD463" t="s">
        <v>74</v>
      </c>
      <c r="BE463" t="s">
        <v>9479</v>
      </c>
      <c r="BF463" t="str">
        <f>HYPERLINK("http://dx.doi.org/10.1007/s00376-022-2087-1","http://dx.doi.org/10.1007/s00376-022-2087-1")</f>
        <v>http://dx.doi.org/10.1007/s00376-022-2087-1</v>
      </c>
      <c r="BG463" t="s">
        <v>74</v>
      </c>
      <c r="BH463" t="s">
        <v>7987</v>
      </c>
      <c r="BI463">
        <v>7</v>
      </c>
      <c r="BJ463" t="s">
        <v>510</v>
      </c>
      <c r="BK463" t="s">
        <v>101</v>
      </c>
      <c r="BL463" t="s">
        <v>510</v>
      </c>
      <c r="BM463" t="s">
        <v>9480</v>
      </c>
      <c r="BN463" t="s">
        <v>74</v>
      </c>
      <c r="BO463" t="s">
        <v>1483</v>
      </c>
      <c r="BP463" t="s">
        <v>74</v>
      </c>
      <c r="BQ463" t="s">
        <v>74</v>
      </c>
      <c r="BR463" t="s">
        <v>103</v>
      </c>
      <c r="BS463" t="s">
        <v>9481</v>
      </c>
      <c r="BT463" t="str">
        <f>HYPERLINK("https%3A%2F%2Fwww.webofscience.com%2Fwos%2Fwoscc%2Ffull-record%2FWOS:000784870700008","View Full Record in Web of Science")</f>
        <v>View Full Record in Web of Science</v>
      </c>
    </row>
    <row r="464" spans="1:72" x14ac:dyDescent="0.15">
      <c r="A464" t="s">
        <v>72</v>
      </c>
      <c r="B464" t="s">
        <v>9482</v>
      </c>
      <c r="C464" t="s">
        <v>74</v>
      </c>
      <c r="D464" t="s">
        <v>74</v>
      </c>
      <c r="E464" t="s">
        <v>74</v>
      </c>
      <c r="F464" t="s">
        <v>9483</v>
      </c>
      <c r="G464" t="s">
        <v>74</v>
      </c>
      <c r="H464" t="s">
        <v>74</v>
      </c>
      <c r="I464" t="s">
        <v>9484</v>
      </c>
      <c r="J464" t="s">
        <v>517</v>
      </c>
      <c r="K464" t="s">
        <v>74</v>
      </c>
      <c r="L464" t="s">
        <v>74</v>
      </c>
      <c r="M464" t="s">
        <v>78</v>
      </c>
      <c r="N464" t="s">
        <v>79</v>
      </c>
      <c r="O464" t="s">
        <v>74</v>
      </c>
      <c r="P464" t="s">
        <v>74</v>
      </c>
      <c r="Q464" t="s">
        <v>74</v>
      </c>
      <c r="R464" t="s">
        <v>74</v>
      </c>
      <c r="S464" t="s">
        <v>74</v>
      </c>
      <c r="T464" t="s">
        <v>9485</v>
      </c>
      <c r="U464" t="s">
        <v>9486</v>
      </c>
      <c r="V464" t="s">
        <v>9487</v>
      </c>
      <c r="W464" t="s">
        <v>9488</v>
      </c>
      <c r="X464" t="s">
        <v>9489</v>
      </c>
      <c r="Y464" t="s">
        <v>9490</v>
      </c>
      <c r="Z464" t="s">
        <v>9491</v>
      </c>
      <c r="AA464" t="s">
        <v>9492</v>
      </c>
      <c r="AB464" t="s">
        <v>9493</v>
      </c>
      <c r="AC464" t="s">
        <v>9494</v>
      </c>
      <c r="AD464" t="s">
        <v>9495</v>
      </c>
      <c r="AE464" t="s">
        <v>9496</v>
      </c>
      <c r="AF464" t="s">
        <v>74</v>
      </c>
      <c r="AG464">
        <v>92</v>
      </c>
      <c r="AH464">
        <v>3</v>
      </c>
      <c r="AI464">
        <v>3</v>
      </c>
      <c r="AJ464">
        <v>1</v>
      </c>
      <c r="AK464">
        <v>11</v>
      </c>
      <c r="AL464" t="s">
        <v>530</v>
      </c>
      <c r="AM464" t="s">
        <v>531</v>
      </c>
      <c r="AN464" t="s">
        <v>532</v>
      </c>
      <c r="AO464" t="s">
        <v>533</v>
      </c>
      <c r="AP464" t="s">
        <v>534</v>
      </c>
      <c r="AQ464" t="s">
        <v>74</v>
      </c>
      <c r="AR464" t="s">
        <v>535</v>
      </c>
      <c r="AS464" t="s">
        <v>536</v>
      </c>
      <c r="AT464" t="s">
        <v>5076</v>
      </c>
      <c r="AU464">
        <v>2022</v>
      </c>
      <c r="AV464">
        <v>45</v>
      </c>
      <c r="AW464">
        <v>5</v>
      </c>
      <c r="AX464" t="s">
        <v>74</v>
      </c>
      <c r="AY464" t="s">
        <v>74</v>
      </c>
      <c r="AZ464" t="s">
        <v>74</v>
      </c>
      <c r="BA464" t="s">
        <v>74</v>
      </c>
      <c r="BB464">
        <v>873</v>
      </c>
      <c r="BC464">
        <v>894</v>
      </c>
      <c r="BD464" t="s">
        <v>74</v>
      </c>
      <c r="BE464" t="s">
        <v>9497</v>
      </c>
      <c r="BF464" t="str">
        <f>HYPERLINK("http://dx.doi.org/10.1007/s00300-022-03038-z","http://dx.doi.org/10.1007/s00300-022-03038-z")</f>
        <v>http://dx.doi.org/10.1007/s00300-022-03038-z</v>
      </c>
      <c r="BG464" t="s">
        <v>74</v>
      </c>
      <c r="BH464" t="s">
        <v>7987</v>
      </c>
      <c r="BI464">
        <v>22</v>
      </c>
      <c r="BJ464" t="s">
        <v>539</v>
      </c>
      <c r="BK464" t="s">
        <v>101</v>
      </c>
      <c r="BL464" t="s">
        <v>540</v>
      </c>
      <c r="BM464" t="s">
        <v>8883</v>
      </c>
      <c r="BN464" t="s">
        <v>74</v>
      </c>
      <c r="BO464" t="s">
        <v>74</v>
      </c>
      <c r="BP464" t="s">
        <v>74</v>
      </c>
      <c r="BQ464" t="s">
        <v>74</v>
      </c>
      <c r="BR464" t="s">
        <v>103</v>
      </c>
      <c r="BS464" t="s">
        <v>9498</v>
      </c>
      <c r="BT464" t="str">
        <f>HYPERLINK("https%3A%2F%2Fwww.webofscience.com%2Fwos%2Fwoscc%2Ffull-record%2FWOS:000784279000001","View Full Record in Web of Science")</f>
        <v>View Full Record in Web of Science</v>
      </c>
    </row>
    <row r="465" spans="1:72" x14ac:dyDescent="0.15">
      <c r="A465" t="s">
        <v>72</v>
      </c>
      <c r="B465" t="s">
        <v>9499</v>
      </c>
      <c r="C465" t="s">
        <v>74</v>
      </c>
      <c r="D465" t="s">
        <v>74</v>
      </c>
      <c r="E465" t="s">
        <v>74</v>
      </c>
      <c r="F465" t="s">
        <v>9500</v>
      </c>
      <c r="G465" t="s">
        <v>74</v>
      </c>
      <c r="H465" t="s">
        <v>74</v>
      </c>
      <c r="I465" t="s">
        <v>9501</v>
      </c>
      <c r="J465" t="s">
        <v>9502</v>
      </c>
      <c r="K465" t="s">
        <v>74</v>
      </c>
      <c r="L465" t="s">
        <v>74</v>
      </c>
      <c r="M465" t="s">
        <v>78</v>
      </c>
      <c r="N465" t="s">
        <v>79</v>
      </c>
      <c r="O465" t="s">
        <v>74</v>
      </c>
      <c r="P465" t="s">
        <v>74</v>
      </c>
      <c r="Q465" t="s">
        <v>74</v>
      </c>
      <c r="R465" t="s">
        <v>74</v>
      </c>
      <c r="S465" t="s">
        <v>74</v>
      </c>
      <c r="T465" t="s">
        <v>9503</v>
      </c>
      <c r="U465" t="s">
        <v>9504</v>
      </c>
      <c r="V465" t="s">
        <v>9505</v>
      </c>
      <c r="W465" t="s">
        <v>9506</v>
      </c>
      <c r="X465" t="s">
        <v>9507</v>
      </c>
      <c r="Y465" t="s">
        <v>9508</v>
      </c>
      <c r="Z465" t="s">
        <v>9509</v>
      </c>
      <c r="AA465" t="s">
        <v>74</v>
      </c>
      <c r="AB465" t="s">
        <v>9510</v>
      </c>
      <c r="AC465" t="s">
        <v>9511</v>
      </c>
      <c r="AD465" t="s">
        <v>9512</v>
      </c>
      <c r="AE465" t="s">
        <v>9513</v>
      </c>
      <c r="AF465" t="s">
        <v>74</v>
      </c>
      <c r="AG465">
        <v>85</v>
      </c>
      <c r="AH465">
        <v>5</v>
      </c>
      <c r="AI465">
        <v>6</v>
      </c>
      <c r="AJ465">
        <v>7</v>
      </c>
      <c r="AK465">
        <v>40</v>
      </c>
      <c r="AL465" t="s">
        <v>199</v>
      </c>
      <c r="AM465" t="s">
        <v>200</v>
      </c>
      <c r="AN465" t="s">
        <v>201</v>
      </c>
      <c r="AO465" t="s">
        <v>9514</v>
      </c>
      <c r="AP465" t="s">
        <v>9515</v>
      </c>
      <c r="AQ465" t="s">
        <v>74</v>
      </c>
      <c r="AR465" t="s">
        <v>9516</v>
      </c>
      <c r="AS465" t="s">
        <v>9517</v>
      </c>
      <c r="AT465" t="s">
        <v>2579</v>
      </c>
      <c r="AU465">
        <v>2022</v>
      </c>
      <c r="AV465">
        <v>230</v>
      </c>
      <c r="AW465" t="s">
        <v>74</v>
      </c>
      <c r="AX465" t="s">
        <v>74</v>
      </c>
      <c r="AY465" t="s">
        <v>74</v>
      </c>
      <c r="AZ465" t="s">
        <v>74</v>
      </c>
      <c r="BA465" t="s">
        <v>74</v>
      </c>
      <c r="BB465" t="s">
        <v>74</v>
      </c>
      <c r="BC465" t="s">
        <v>74</v>
      </c>
      <c r="BD465">
        <v>105202</v>
      </c>
      <c r="BE465" t="s">
        <v>9518</v>
      </c>
      <c r="BF465" t="str">
        <f>HYPERLINK("http://dx.doi.org/10.1016/j.jseaes.2022.105202","http://dx.doi.org/10.1016/j.jseaes.2022.105202")</f>
        <v>http://dx.doi.org/10.1016/j.jseaes.2022.105202</v>
      </c>
      <c r="BG465" t="s">
        <v>74</v>
      </c>
      <c r="BH465" t="s">
        <v>7987</v>
      </c>
      <c r="BI465">
        <v>14</v>
      </c>
      <c r="BJ465" t="s">
        <v>265</v>
      </c>
      <c r="BK465" t="s">
        <v>101</v>
      </c>
      <c r="BL465" t="s">
        <v>100</v>
      </c>
      <c r="BM465" t="s">
        <v>9519</v>
      </c>
      <c r="BN465" t="s">
        <v>74</v>
      </c>
      <c r="BO465" t="s">
        <v>74</v>
      </c>
      <c r="BP465" t="s">
        <v>74</v>
      </c>
      <c r="BQ465" t="s">
        <v>74</v>
      </c>
      <c r="BR465" t="s">
        <v>103</v>
      </c>
      <c r="BS465" t="s">
        <v>9520</v>
      </c>
      <c r="BT465" t="str">
        <f>HYPERLINK("https%3A%2F%2Fwww.webofscience.com%2Fwos%2Fwoscc%2Ffull-record%2FWOS:000796550300001","View Full Record in Web of Science")</f>
        <v>View Full Record in Web of Science</v>
      </c>
    </row>
    <row r="466" spans="1:72" x14ac:dyDescent="0.15">
      <c r="A466" t="s">
        <v>72</v>
      </c>
      <c r="B466" t="s">
        <v>9521</v>
      </c>
      <c r="C466" t="s">
        <v>74</v>
      </c>
      <c r="D466" t="s">
        <v>74</v>
      </c>
      <c r="E466" t="s">
        <v>74</v>
      </c>
      <c r="F466" t="s">
        <v>9522</v>
      </c>
      <c r="G466" t="s">
        <v>74</v>
      </c>
      <c r="H466" t="s">
        <v>74</v>
      </c>
      <c r="I466" t="s">
        <v>9523</v>
      </c>
      <c r="J466" t="s">
        <v>8210</v>
      </c>
      <c r="K466" t="s">
        <v>74</v>
      </c>
      <c r="L466" t="s">
        <v>74</v>
      </c>
      <c r="M466" t="s">
        <v>78</v>
      </c>
      <c r="N466" t="s">
        <v>9524</v>
      </c>
      <c r="O466" t="s">
        <v>74</v>
      </c>
      <c r="P466" t="s">
        <v>74</v>
      </c>
      <c r="Q466" t="s">
        <v>74</v>
      </c>
      <c r="R466" t="s">
        <v>74</v>
      </c>
      <c r="S466" t="s">
        <v>74</v>
      </c>
      <c r="T466" t="s">
        <v>74</v>
      </c>
      <c r="U466" t="s">
        <v>74</v>
      </c>
      <c r="V466" t="s">
        <v>74</v>
      </c>
      <c r="W466" t="s">
        <v>9525</v>
      </c>
      <c r="X466" t="s">
        <v>9526</v>
      </c>
      <c r="Y466" t="s">
        <v>9527</v>
      </c>
      <c r="Z466" t="s">
        <v>9528</v>
      </c>
      <c r="AA466" t="s">
        <v>74</v>
      </c>
      <c r="AB466" t="s">
        <v>74</v>
      </c>
      <c r="AC466" t="s">
        <v>74</v>
      </c>
      <c r="AD466" t="s">
        <v>74</v>
      </c>
      <c r="AE466" t="s">
        <v>74</v>
      </c>
      <c r="AF466" t="s">
        <v>74</v>
      </c>
      <c r="AG466">
        <v>1</v>
      </c>
      <c r="AH466">
        <v>0</v>
      </c>
      <c r="AI466">
        <v>0</v>
      </c>
      <c r="AJ466">
        <v>0</v>
      </c>
      <c r="AK466">
        <v>3</v>
      </c>
      <c r="AL466" t="s">
        <v>8223</v>
      </c>
      <c r="AM466" t="s">
        <v>8224</v>
      </c>
      <c r="AN466" t="s">
        <v>8225</v>
      </c>
      <c r="AO466" t="s">
        <v>8226</v>
      </c>
      <c r="AP466" t="s">
        <v>8227</v>
      </c>
      <c r="AQ466" t="s">
        <v>74</v>
      </c>
      <c r="AR466" t="s">
        <v>8228</v>
      </c>
      <c r="AS466" t="s">
        <v>8229</v>
      </c>
      <c r="AT466" t="s">
        <v>9529</v>
      </c>
      <c r="AU466">
        <v>2022</v>
      </c>
      <c r="AV466">
        <v>41</v>
      </c>
      <c r="AW466" t="s">
        <v>74</v>
      </c>
      <c r="AX466" t="s">
        <v>74</v>
      </c>
      <c r="AY466" t="s">
        <v>74</v>
      </c>
      <c r="AZ466" t="s">
        <v>74</v>
      </c>
      <c r="BA466" t="s">
        <v>74</v>
      </c>
      <c r="BB466" t="s">
        <v>74</v>
      </c>
      <c r="BC466" t="s">
        <v>74</v>
      </c>
      <c r="BD466">
        <v>8487</v>
      </c>
      <c r="BE466" t="s">
        <v>9530</v>
      </c>
      <c r="BF466" t="str">
        <f>HYPERLINK("http://dx.doi.org/10.33265/polar.v41.8487","http://dx.doi.org/10.33265/polar.v41.8487")</f>
        <v>http://dx.doi.org/10.33265/polar.v41.8487</v>
      </c>
      <c r="BG466" t="s">
        <v>74</v>
      </c>
      <c r="BH466" t="s">
        <v>74</v>
      </c>
      <c r="BI466">
        <v>2</v>
      </c>
      <c r="BJ466" t="s">
        <v>8231</v>
      </c>
      <c r="BK466" t="s">
        <v>101</v>
      </c>
      <c r="BL466" t="s">
        <v>8232</v>
      </c>
      <c r="BM466" t="s">
        <v>9531</v>
      </c>
      <c r="BN466" t="s">
        <v>74</v>
      </c>
      <c r="BO466" t="s">
        <v>438</v>
      </c>
      <c r="BP466" t="s">
        <v>74</v>
      </c>
      <c r="BQ466" t="s">
        <v>74</v>
      </c>
      <c r="BR466" t="s">
        <v>103</v>
      </c>
      <c r="BS466" t="s">
        <v>9532</v>
      </c>
      <c r="BT466" t="str">
        <f>HYPERLINK("https%3A%2F%2Fwww.webofscience.com%2Fwos%2Fwoscc%2Ffull-record%2FWOS:000791835900001","View Full Record in Web of Science")</f>
        <v>View Full Record in Web of Science</v>
      </c>
    </row>
    <row r="467" spans="1:72" x14ac:dyDescent="0.15">
      <c r="A467" t="s">
        <v>72</v>
      </c>
      <c r="B467" t="s">
        <v>9533</v>
      </c>
      <c r="C467" t="s">
        <v>74</v>
      </c>
      <c r="D467" t="s">
        <v>74</v>
      </c>
      <c r="E467" t="s">
        <v>74</v>
      </c>
      <c r="F467" t="s">
        <v>9534</v>
      </c>
      <c r="G467" t="s">
        <v>74</v>
      </c>
      <c r="H467" t="s">
        <v>74</v>
      </c>
      <c r="I467" t="s">
        <v>9535</v>
      </c>
      <c r="J467" t="s">
        <v>9536</v>
      </c>
      <c r="K467" t="s">
        <v>74</v>
      </c>
      <c r="L467" t="s">
        <v>74</v>
      </c>
      <c r="M467" t="s">
        <v>78</v>
      </c>
      <c r="N467" t="s">
        <v>79</v>
      </c>
      <c r="O467" t="s">
        <v>74</v>
      </c>
      <c r="P467" t="s">
        <v>74</v>
      </c>
      <c r="Q467" t="s">
        <v>74</v>
      </c>
      <c r="R467" t="s">
        <v>74</v>
      </c>
      <c r="S467" t="s">
        <v>74</v>
      </c>
      <c r="T467" t="s">
        <v>9537</v>
      </c>
      <c r="U467" t="s">
        <v>9538</v>
      </c>
      <c r="V467" t="s">
        <v>9539</v>
      </c>
      <c r="W467" t="s">
        <v>9540</v>
      </c>
      <c r="X467" t="s">
        <v>9541</v>
      </c>
      <c r="Y467" t="s">
        <v>9542</v>
      </c>
      <c r="Z467" t="s">
        <v>9543</v>
      </c>
      <c r="AA467" t="s">
        <v>9544</v>
      </c>
      <c r="AB467" t="s">
        <v>9545</v>
      </c>
      <c r="AC467" t="s">
        <v>9546</v>
      </c>
      <c r="AD467" t="s">
        <v>9547</v>
      </c>
      <c r="AE467" t="s">
        <v>9548</v>
      </c>
      <c r="AF467" t="s">
        <v>74</v>
      </c>
      <c r="AG467">
        <v>101</v>
      </c>
      <c r="AH467">
        <v>16</v>
      </c>
      <c r="AI467">
        <v>19</v>
      </c>
      <c r="AJ467">
        <v>5</v>
      </c>
      <c r="AK467">
        <v>26</v>
      </c>
      <c r="AL467" t="s">
        <v>9549</v>
      </c>
      <c r="AM467" t="s">
        <v>9550</v>
      </c>
      <c r="AN467" t="s">
        <v>9551</v>
      </c>
      <c r="AO467" t="s">
        <v>9552</v>
      </c>
      <c r="AP467" t="s">
        <v>74</v>
      </c>
      <c r="AQ467" t="s">
        <v>74</v>
      </c>
      <c r="AR467" t="s">
        <v>9553</v>
      </c>
      <c r="AS467" t="s">
        <v>9554</v>
      </c>
      <c r="AT467" t="s">
        <v>9529</v>
      </c>
      <c r="AU467">
        <v>2022</v>
      </c>
      <c r="AV467">
        <v>10</v>
      </c>
      <c r="AW467">
        <v>1</v>
      </c>
      <c r="AX467" t="s">
        <v>74</v>
      </c>
      <c r="AY467" t="s">
        <v>74</v>
      </c>
      <c r="AZ467" t="s">
        <v>74</v>
      </c>
      <c r="BA467" t="s">
        <v>74</v>
      </c>
      <c r="BB467" t="s">
        <v>74</v>
      </c>
      <c r="BC467" t="s">
        <v>74</v>
      </c>
      <c r="BD467" t="s">
        <v>74</v>
      </c>
      <c r="BE467" t="s">
        <v>9555</v>
      </c>
      <c r="BF467" t="str">
        <f>HYPERLINK("http://dx.doi.org/10.1525/elementa.2021.00074","http://dx.doi.org/10.1525/elementa.2021.00074")</f>
        <v>http://dx.doi.org/10.1525/elementa.2021.00074</v>
      </c>
      <c r="BG467" t="s">
        <v>74</v>
      </c>
      <c r="BH467" t="s">
        <v>74</v>
      </c>
      <c r="BI467">
        <v>27</v>
      </c>
      <c r="BJ467" t="s">
        <v>1797</v>
      </c>
      <c r="BK467" t="s">
        <v>101</v>
      </c>
      <c r="BL467" t="s">
        <v>957</v>
      </c>
      <c r="BM467" t="s">
        <v>9556</v>
      </c>
      <c r="BN467" t="s">
        <v>74</v>
      </c>
      <c r="BO467" t="s">
        <v>2560</v>
      </c>
      <c r="BP467" t="s">
        <v>74</v>
      </c>
      <c r="BQ467" t="s">
        <v>74</v>
      </c>
      <c r="BR467" t="s">
        <v>103</v>
      </c>
      <c r="BS467" t="s">
        <v>9557</v>
      </c>
      <c r="BT467" t="str">
        <f>HYPERLINK("https%3A%2F%2Fwww.webofscience.com%2Fwos%2Fwoscc%2Ffull-record%2FWOS:000786302600001","View Full Record in Web of Science")</f>
        <v>View Full Record in Web of Science</v>
      </c>
    </row>
    <row r="468" spans="1:72" x14ac:dyDescent="0.15">
      <c r="A468" t="s">
        <v>72</v>
      </c>
      <c r="B468" t="s">
        <v>9558</v>
      </c>
      <c r="C468" t="s">
        <v>74</v>
      </c>
      <c r="D468" t="s">
        <v>74</v>
      </c>
      <c r="E468" t="s">
        <v>74</v>
      </c>
      <c r="F468" t="s">
        <v>9559</v>
      </c>
      <c r="G468" t="s">
        <v>74</v>
      </c>
      <c r="H468" t="s">
        <v>74</v>
      </c>
      <c r="I468" t="s">
        <v>9560</v>
      </c>
      <c r="J468" t="s">
        <v>9561</v>
      </c>
      <c r="K468" t="s">
        <v>74</v>
      </c>
      <c r="L468" t="s">
        <v>74</v>
      </c>
      <c r="M468" t="s">
        <v>78</v>
      </c>
      <c r="N468" t="s">
        <v>79</v>
      </c>
      <c r="O468" t="s">
        <v>74</v>
      </c>
      <c r="P468" t="s">
        <v>74</v>
      </c>
      <c r="Q468" t="s">
        <v>74</v>
      </c>
      <c r="R468" t="s">
        <v>74</v>
      </c>
      <c r="S468" t="s">
        <v>74</v>
      </c>
      <c r="T468" t="s">
        <v>9562</v>
      </c>
      <c r="U468" t="s">
        <v>9563</v>
      </c>
      <c r="V468" t="s">
        <v>9564</v>
      </c>
      <c r="W468" t="s">
        <v>9565</v>
      </c>
      <c r="X468" t="s">
        <v>9566</v>
      </c>
      <c r="Y468" t="s">
        <v>9567</v>
      </c>
      <c r="Z468" t="s">
        <v>9568</v>
      </c>
      <c r="AA468" t="s">
        <v>9569</v>
      </c>
      <c r="AB468" t="s">
        <v>9570</v>
      </c>
      <c r="AC468" t="s">
        <v>9571</v>
      </c>
      <c r="AD468" t="s">
        <v>9572</v>
      </c>
      <c r="AE468" t="s">
        <v>9573</v>
      </c>
      <c r="AF468" t="s">
        <v>74</v>
      </c>
      <c r="AG468">
        <v>109</v>
      </c>
      <c r="AH468">
        <v>6</v>
      </c>
      <c r="AI468">
        <v>7</v>
      </c>
      <c r="AJ468">
        <v>4</v>
      </c>
      <c r="AK468">
        <v>16</v>
      </c>
      <c r="AL468" t="s">
        <v>91</v>
      </c>
      <c r="AM468" t="s">
        <v>92</v>
      </c>
      <c r="AN468" t="s">
        <v>93</v>
      </c>
      <c r="AO468" t="s">
        <v>9574</v>
      </c>
      <c r="AP468" t="s">
        <v>9575</v>
      </c>
      <c r="AQ468" t="s">
        <v>74</v>
      </c>
      <c r="AR468" t="s">
        <v>9561</v>
      </c>
      <c r="AS468" t="s">
        <v>9576</v>
      </c>
      <c r="AT468" t="s">
        <v>537</v>
      </c>
      <c r="AU468">
        <v>2022</v>
      </c>
      <c r="AV468">
        <v>2022</v>
      </c>
      <c r="AW468">
        <v>6</v>
      </c>
      <c r="AX468" t="s">
        <v>74</v>
      </c>
      <c r="AY468" t="s">
        <v>74</v>
      </c>
      <c r="AZ468" t="s">
        <v>74</v>
      </c>
      <c r="BA468" t="s">
        <v>74</v>
      </c>
      <c r="BB468" t="s">
        <v>74</v>
      </c>
      <c r="BC468" t="s">
        <v>74</v>
      </c>
      <c r="BD468" t="s">
        <v>9577</v>
      </c>
      <c r="BE468" t="s">
        <v>9578</v>
      </c>
      <c r="BF468" t="str">
        <f>HYPERLINK("http://dx.doi.org/10.1111/oik.09057","http://dx.doi.org/10.1111/oik.09057")</f>
        <v>http://dx.doi.org/10.1111/oik.09057</v>
      </c>
      <c r="BG468" t="s">
        <v>74</v>
      </c>
      <c r="BH468" t="s">
        <v>7987</v>
      </c>
      <c r="BI468">
        <v>12</v>
      </c>
      <c r="BJ468" t="s">
        <v>2647</v>
      </c>
      <c r="BK468" t="s">
        <v>101</v>
      </c>
      <c r="BL468" t="s">
        <v>840</v>
      </c>
      <c r="BM468" t="s">
        <v>9579</v>
      </c>
      <c r="BN468" t="s">
        <v>74</v>
      </c>
      <c r="BO468" t="s">
        <v>883</v>
      </c>
      <c r="BP468" t="s">
        <v>74</v>
      </c>
      <c r="BQ468" t="s">
        <v>74</v>
      </c>
      <c r="BR468" t="s">
        <v>103</v>
      </c>
      <c r="BS468" t="s">
        <v>9580</v>
      </c>
      <c r="BT468" t="str">
        <f>HYPERLINK("https%3A%2F%2Fwww.webofscience.com%2Fwos%2Fwoscc%2Ffull-record%2FWOS:000783163000001","View Full Record in Web of Science")</f>
        <v>View Full Record in Web of Science</v>
      </c>
    </row>
    <row r="469" spans="1:72" x14ac:dyDescent="0.15">
      <c r="A469" t="s">
        <v>72</v>
      </c>
      <c r="B469" t="s">
        <v>9581</v>
      </c>
      <c r="C469" t="s">
        <v>74</v>
      </c>
      <c r="D469" t="s">
        <v>74</v>
      </c>
      <c r="E469" t="s">
        <v>74</v>
      </c>
      <c r="F469" t="s">
        <v>9582</v>
      </c>
      <c r="G469" t="s">
        <v>74</v>
      </c>
      <c r="H469" t="s">
        <v>74</v>
      </c>
      <c r="I469" t="s">
        <v>9583</v>
      </c>
      <c r="J469" t="s">
        <v>9584</v>
      </c>
      <c r="K469" t="s">
        <v>74</v>
      </c>
      <c r="L469" t="s">
        <v>74</v>
      </c>
      <c r="M469" t="s">
        <v>78</v>
      </c>
      <c r="N469" t="s">
        <v>161</v>
      </c>
      <c r="O469" t="s">
        <v>74</v>
      </c>
      <c r="P469" t="s">
        <v>74</v>
      </c>
      <c r="Q469" t="s">
        <v>74</v>
      </c>
      <c r="R469" t="s">
        <v>74</v>
      </c>
      <c r="S469" t="s">
        <v>74</v>
      </c>
      <c r="T469" t="s">
        <v>9585</v>
      </c>
      <c r="U469" t="s">
        <v>9586</v>
      </c>
      <c r="V469" t="s">
        <v>9587</v>
      </c>
      <c r="W469" t="s">
        <v>9588</v>
      </c>
      <c r="X469" t="s">
        <v>9589</v>
      </c>
      <c r="Y469" t="s">
        <v>9590</v>
      </c>
      <c r="Z469" t="s">
        <v>9591</v>
      </c>
      <c r="AA469" t="s">
        <v>9592</v>
      </c>
      <c r="AB469" t="s">
        <v>9593</v>
      </c>
      <c r="AC469" t="s">
        <v>9594</v>
      </c>
      <c r="AD469" t="s">
        <v>9595</v>
      </c>
      <c r="AE469" t="s">
        <v>9596</v>
      </c>
      <c r="AF469" t="s">
        <v>74</v>
      </c>
      <c r="AG469">
        <v>148</v>
      </c>
      <c r="AH469">
        <v>16</v>
      </c>
      <c r="AI469">
        <v>16</v>
      </c>
      <c r="AJ469">
        <v>7</v>
      </c>
      <c r="AK469">
        <v>54</v>
      </c>
      <c r="AL469" t="s">
        <v>91</v>
      </c>
      <c r="AM469" t="s">
        <v>92</v>
      </c>
      <c r="AN469" t="s">
        <v>93</v>
      </c>
      <c r="AO469" t="s">
        <v>9597</v>
      </c>
      <c r="AP469" t="s">
        <v>9598</v>
      </c>
      <c r="AQ469" t="s">
        <v>74</v>
      </c>
      <c r="AR469" t="s">
        <v>9599</v>
      </c>
      <c r="AS469" t="s">
        <v>9600</v>
      </c>
      <c r="AT469" t="s">
        <v>206</v>
      </c>
      <c r="AU469">
        <v>2022</v>
      </c>
      <c r="AV469">
        <v>91</v>
      </c>
      <c r="AW469">
        <v>7</v>
      </c>
      <c r="AX469" t="s">
        <v>74</v>
      </c>
      <c r="AY469" t="s">
        <v>74</v>
      </c>
      <c r="AZ469" t="s">
        <v>74</v>
      </c>
      <c r="BA469" t="s">
        <v>74</v>
      </c>
      <c r="BB469">
        <v>1416</v>
      </c>
      <c r="BC469">
        <v>1430</v>
      </c>
      <c r="BD469" t="s">
        <v>74</v>
      </c>
      <c r="BE469" t="s">
        <v>9601</v>
      </c>
      <c r="BF469" t="str">
        <f>HYPERLINK("http://dx.doi.org/10.1111/1365-2656.13697","http://dx.doi.org/10.1111/1365-2656.13697")</f>
        <v>http://dx.doi.org/10.1111/1365-2656.13697</v>
      </c>
      <c r="BG469" t="s">
        <v>74</v>
      </c>
      <c r="BH469" t="s">
        <v>7987</v>
      </c>
      <c r="BI469">
        <v>15</v>
      </c>
      <c r="BJ469" t="s">
        <v>9602</v>
      </c>
      <c r="BK469" t="s">
        <v>101</v>
      </c>
      <c r="BL469" t="s">
        <v>9603</v>
      </c>
      <c r="BM469" t="s">
        <v>9604</v>
      </c>
      <c r="BN469">
        <v>35385132</v>
      </c>
      <c r="BO469" t="s">
        <v>9227</v>
      </c>
      <c r="BP469" t="s">
        <v>74</v>
      </c>
      <c r="BQ469" t="s">
        <v>74</v>
      </c>
      <c r="BR469" t="s">
        <v>103</v>
      </c>
      <c r="BS469" t="s">
        <v>9605</v>
      </c>
      <c r="BT469" t="str">
        <f>HYPERLINK("https%3A%2F%2Fwww.webofscience.com%2Fwos%2Fwoscc%2Ffull-record%2FWOS:000783366700001","View Full Record in Web of Science")</f>
        <v>View Full Record in Web of Science</v>
      </c>
    </row>
    <row r="470" spans="1:72" x14ac:dyDescent="0.15">
      <c r="A470" t="s">
        <v>72</v>
      </c>
      <c r="B470" t="s">
        <v>9606</v>
      </c>
      <c r="C470" t="s">
        <v>74</v>
      </c>
      <c r="D470" t="s">
        <v>74</v>
      </c>
      <c r="E470" t="s">
        <v>74</v>
      </c>
      <c r="F470" t="s">
        <v>9607</v>
      </c>
      <c r="G470" t="s">
        <v>74</v>
      </c>
      <c r="H470" t="s">
        <v>74</v>
      </c>
      <c r="I470" t="s">
        <v>9608</v>
      </c>
      <c r="J470" t="s">
        <v>3419</v>
      </c>
      <c r="K470" t="s">
        <v>74</v>
      </c>
      <c r="L470" t="s">
        <v>74</v>
      </c>
      <c r="M470" t="s">
        <v>78</v>
      </c>
      <c r="N470" t="s">
        <v>79</v>
      </c>
      <c r="O470" t="s">
        <v>74</v>
      </c>
      <c r="P470" t="s">
        <v>74</v>
      </c>
      <c r="Q470" t="s">
        <v>74</v>
      </c>
      <c r="R470" t="s">
        <v>74</v>
      </c>
      <c r="S470" t="s">
        <v>74</v>
      </c>
      <c r="T470" t="s">
        <v>9609</v>
      </c>
      <c r="U470" t="s">
        <v>9610</v>
      </c>
      <c r="V470" t="s">
        <v>9611</v>
      </c>
      <c r="W470" t="s">
        <v>9612</v>
      </c>
      <c r="X470" t="s">
        <v>9613</v>
      </c>
      <c r="Y470" t="s">
        <v>9614</v>
      </c>
      <c r="Z470" t="s">
        <v>9615</v>
      </c>
      <c r="AA470" t="s">
        <v>9616</v>
      </c>
      <c r="AB470" t="s">
        <v>9617</v>
      </c>
      <c r="AC470" t="s">
        <v>9618</v>
      </c>
      <c r="AD470" t="s">
        <v>9619</v>
      </c>
      <c r="AE470" t="s">
        <v>9620</v>
      </c>
      <c r="AF470" t="s">
        <v>74</v>
      </c>
      <c r="AG470">
        <v>55</v>
      </c>
      <c r="AH470">
        <v>29</v>
      </c>
      <c r="AI470">
        <v>31</v>
      </c>
      <c r="AJ470">
        <v>6</v>
      </c>
      <c r="AK470">
        <v>27</v>
      </c>
      <c r="AL470" t="s">
        <v>2042</v>
      </c>
      <c r="AM470" t="s">
        <v>2043</v>
      </c>
      <c r="AN470" t="s">
        <v>2044</v>
      </c>
      <c r="AO470" t="s">
        <v>3432</v>
      </c>
      <c r="AP470" t="s">
        <v>3433</v>
      </c>
      <c r="AQ470" t="s">
        <v>74</v>
      </c>
      <c r="AR470" t="s">
        <v>3434</v>
      </c>
      <c r="AS470" t="s">
        <v>3435</v>
      </c>
      <c r="AT470" t="s">
        <v>9621</v>
      </c>
      <c r="AU470">
        <v>2022</v>
      </c>
      <c r="AV470">
        <v>49</v>
      </c>
      <c r="AW470">
        <v>7</v>
      </c>
      <c r="AX470" t="s">
        <v>74</v>
      </c>
      <c r="AY470" t="s">
        <v>74</v>
      </c>
      <c r="AZ470" t="s">
        <v>74</v>
      </c>
      <c r="BA470" t="s">
        <v>74</v>
      </c>
      <c r="BB470" t="s">
        <v>74</v>
      </c>
      <c r="BC470" t="s">
        <v>74</v>
      </c>
      <c r="BD470" t="s">
        <v>9622</v>
      </c>
      <c r="BE470" t="s">
        <v>9623</v>
      </c>
      <c r="BF470" t="str">
        <f>HYPERLINK("http://dx.doi.org/10.1029/2021GL097211","http://dx.doi.org/10.1029/2021GL097211")</f>
        <v>http://dx.doi.org/10.1029/2021GL097211</v>
      </c>
      <c r="BG470" t="s">
        <v>74</v>
      </c>
      <c r="BH470" t="s">
        <v>74</v>
      </c>
      <c r="BI470">
        <v>11</v>
      </c>
      <c r="BJ470" t="s">
        <v>265</v>
      </c>
      <c r="BK470" t="s">
        <v>101</v>
      </c>
      <c r="BL470" t="s">
        <v>100</v>
      </c>
      <c r="BM470" t="s">
        <v>9624</v>
      </c>
      <c r="BN470" t="s">
        <v>74</v>
      </c>
      <c r="BO470" t="s">
        <v>986</v>
      </c>
      <c r="BP470" t="s">
        <v>74</v>
      </c>
      <c r="BQ470" t="s">
        <v>74</v>
      </c>
      <c r="BR470" t="s">
        <v>103</v>
      </c>
      <c r="BS470" t="s">
        <v>9625</v>
      </c>
      <c r="BT470" t="str">
        <f>HYPERLINK("https%3A%2F%2Fwww.webofscience.com%2Fwos%2Fwoscc%2Ffull-record%2FWOS:000782449400005","View Full Record in Web of Science")</f>
        <v>View Full Record in Web of Science</v>
      </c>
    </row>
    <row r="471" spans="1:72" x14ac:dyDescent="0.15">
      <c r="A471" t="s">
        <v>72</v>
      </c>
      <c r="B471" t="s">
        <v>9626</v>
      </c>
      <c r="C471" t="s">
        <v>74</v>
      </c>
      <c r="D471" t="s">
        <v>74</v>
      </c>
      <c r="E471" t="s">
        <v>74</v>
      </c>
      <c r="F471" t="s">
        <v>9627</v>
      </c>
      <c r="G471" t="s">
        <v>74</v>
      </c>
      <c r="H471" t="s">
        <v>74</v>
      </c>
      <c r="I471" t="s">
        <v>9628</v>
      </c>
      <c r="J471" t="s">
        <v>3419</v>
      </c>
      <c r="K471" t="s">
        <v>74</v>
      </c>
      <c r="L471" t="s">
        <v>74</v>
      </c>
      <c r="M471" t="s">
        <v>78</v>
      </c>
      <c r="N471" t="s">
        <v>79</v>
      </c>
      <c r="O471" t="s">
        <v>74</v>
      </c>
      <c r="P471" t="s">
        <v>74</v>
      </c>
      <c r="Q471" t="s">
        <v>74</v>
      </c>
      <c r="R471" t="s">
        <v>74</v>
      </c>
      <c r="S471" t="s">
        <v>74</v>
      </c>
      <c r="T471" t="s">
        <v>9629</v>
      </c>
      <c r="U471" t="s">
        <v>9630</v>
      </c>
      <c r="V471" t="s">
        <v>9631</v>
      </c>
      <c r="W471" t="s">
        <v>9632</v>
      </c>
      <c r="X471" t="s">
        <v>9633</v>
      </c>
      <c r="Y471" t="s">
        <v>9634</v>
      </c>
      <c r="Z471" t="s">
        <v>9635</v>
      </c>
      <c r="AA471" t="s">
        <v>9636</v>
      </c>
      <c r="AB471" t="s">
        <v>9637</v>
      </c>
      <c r="AC471" t="s">
        <v>9638</v>
      </c>
      <c r="AD471" t="s">
        <v>9639</v>
      </c>
      <c r="AE471" t="s">
        <v>9640</v>
      </c>
      <c r="AF471" t="s">
        <v>74</v>
      </c>
      <c r="AG471">
        <v>49</v>
      </c>
      <c r="AH471">
        <v>6</v>
      </c>
      <c r="AI471">
        <v>6</v>
      </c>
      <c r="AJ471">
        <v>3</v>
      </c>
      <c r="AK471">
        <v>10</v>
      </c>
      <c r="AL471" t="s">
        <v>2042</v>
      </c>
      <c r="AM471" t="s">
        <v>2043</v>
      </c>
      <c r="AN471" t="s">
        <v>2044</v>
      </c>
      <c r="AO471" t="s">
        <v>3432</v>
      </c>
      <c r="AP471" t="s">
        <v>3433</v>
      </c>
      <c r="AQ471" t="s">
        <v>74</v>
      </c>
      <c r="AR471" t="s">
        <v>3434</v>
      </c>
      <c r="AS471" t="s">
        <v>3435</v>
      </c>
      <c r="AT471" t="s">
        <v>9621</v>
      </c>
      <c r="AU471">
        <v>2022</v>
      </c>
      <c r="AV471">
        <v>49</v>
      </c>
      <c r="AW471">
        <v>7</v>
      </c>
      <c r="AX471" t="s">
        <v>74</v>
      </c>
      <c r="AY471" t="s">
        <v>74</v>
      </c>
      <c r="AZ471" t="s">
        <v>74</v>
      </c>
      <c r="BA471" t="s">
        <v>74</v>
      </c>
      <c r="BB471" t="s">
        <v>74</v>
      </c>
      <c r="BC471" t="s">
        <v>74</v>
      </c>
      <c r="BD471" t="s">
        <v>9641</v>
      </c>
      <c r="BE471" t="s">
        <v>9642</v>
      </c>
      <c r="BF471" t="str">
        <f>HYPERLINK("http://dx.doi.org/10.1029/2021GL095661","http://dx.doi.org/10.1029/2021GL095661")</f>
        <v>http://dx.doi.org/10.1029/2021GL095661</v>
      </c>
      <c r="BG471" t="s">
        <v>74</v>
      </c>
      <c r="BH471" t="s">
        <v>74</v>
      </c>
      <c r="BI471">
        <v>11</v>
      </c>
      <c r="BJ471" t="s">
        <v>265</v>
      </c>
      <c r="BK471" t="s">
        <v>101</v>
      </c>
      <c r="BL471" t="s">
        <v>100</v>
      </c>
      <c r="BM471" t="s">
        <v>9624</v>
      </c>
      <c r="BN471" t="s">
        <v>74</v>
      </c>
      <c r="BO471" t="s">
        <v>267</v>
      </c>
      <c r="BP471" t="s">
        <v>74</v>
      </c>
      <c r="BQ471" t="s">
        <v>74</v>
      </c>
      <c r="BR471" t="s">
        <v>103</v>
      </c>
      <c r="BS471" t="s">
        <v>9643</v>
      </c>
      <c r="BT471" t="str">
        <f>HYPERLINK("https%3A%2F%2Fwww.webofscience.com%2Fwos%2Fwoscc%2Ffull-record%2FWOS:000782449400006","View Full Record in Web of Science")</f>
        <v>View Full Record in Web of Science</v>
      </c>
    </row>
    <row r="472" spans="1:72" x14ac:dyDescent="0.15">
      <c r="A472" t="s">
        <v>72</v>
      </c>
      <c r="B472" t="s">
        <v>9644</v>
      </c>
      <c r="C472" t="s">
        <v>74</v>
      </c>
      <c r="D472" t="s">
        <v>74</v>
      </c>
      <c r="E472" t="s">
        <v>74</v>
      </c>
      <c r="F472" t="s">
        <v>9645</v>
      </c>
      <c r="G472" t="s">
        <v>74</v>
      </c>
      <c r="H472" t="s">
        <v>74</v>
      </c>
      <c r="I472" t="s">
        <v>9646</v>
      </c>
      <c r="J472" t="s">
        <v>9647</v>
      </c>
      <c r="K472" t="s">
        <v>74</v>
      </c>
      <c r="L472" t="s">
        <v>74</v>
      </c>
      <c r="M472" t="s">
        <v>78</v>
      </c>
      <c r="N472" t="s">
        <v>79</v>
      </c>
      <c r="O472" t="s">
        <v>74</v>
      </c>
      <c r="P472" t="s">
        <v>74</v>
      </c>
      <c r="Q472" t="s">
        <v>74</v>
      </c>
      <c r="R472" t="s">
        <v>74</v>
      </c>
      <c r="S472" t="s">
        <v>74</v>
      </c>
      <c r="T472" t="s">
        <v>9648</v>
      </c>
      <c r="U472" t="s">
        <v>9649</v>
      </c>
      <c r="V472" t="s">
        <v>9650</v>
      </c>
      <c r="W472" t="s">
        <v>9651</v>
      </c>
      <c r="X472" t="s">
        <v>9652</v>
      </c>
      <c r="Y472" t="s">
        <v>9653</v>
      </c>
      <c r="Z472" t="s">
        <v>9654</v>
      </c>
      <c r="AA472" t="s">
        <v>9655</v>
      </c>
      <c r="AB472" t="s">
        <v>9656</v>
      </c>
      <c r="AC472" t="s">
        <v>9657</v>
      </c>
      <c r="AD472" t="s">
        <v>9657</v>
      </c>
      <c r="AE472" t="s">
        <v>9658</v>
      </c>
      <c r="AF472" t="s">
        <v>74</v>
      </c>
      <c r="AG472">
        <v>147</v>
      </c>
      <c r="AH472">
        <v>5</v>
      </c>
      <c r="AI472">
        <v>5</v>
      </c>
      <c r="AJ472">
        <v>5</v>
      </c>
      <c r="AK472">
        <v>21</v>
      </c>
      <c r="AL472" t="s">
        <v>530</v>
      </c>
      <c r="AM472" t="s">
        <v>1121</v>
      </c>
      <c r="AN472" t="s">
        <v>1122</v>
      </c>
      <c r="AO472" t="s">
        <v>9659</v>
      </c>
      <c r="AP472" t="s">
        <v>9660</v>
      </c>
      <c r="AQ472" t="s">
        <v>74</v>
      </c>
      <c r="AR472" t="s">
        <v>9661</v>
      </c>
      <c r="AS472" t="s">
        <v>9662</v>
      </c>
      <c r="AT472" t="s">
        <v>537</v>
      </c>
      <c r="AU472">
        <v>2022</v>
      </c>
      <c r="AV472">
        <v>22</v>
      </c>
      <c r="AW472">
        <v>2</v>
      </c>
      <c r="AX472" t="s">
        <v>74</v>
      </c>
      <c r="AY472" t="s">
        <v>74</v>
      </c>
      <c r="AZ472" t="s">
        <v>772</v>
      </c>
      <c r="BA472" t="s">
        <v>74</v>
      </c>
      <c r="BB472">
        <v>263</v>
      </c>
      <c r="BC472">
        <v>278</v>
      </c>
      <c r="BD472" t="s">
        <v>74</v>
      </c>
      <c r="BE472" t="s">
        <v>9663</v>
      </c>
      <c r="BF472" t="str">
        <f>HYPERLINK("http://dx.doi.org/10.1007/s10784-022-09572-9","http://dx.doi.org/10.1007/s10784-022-09572-9")</f>
        <v>http://dx.doi.org/10.1007/s10784-022-09572-9</v>
      </c>
      <c r="BG472" t="s">
        <v>74</v>
      </c>
      <c r="BH472" t="s">
        <v>7987</v>
      </c>
      <c r="BI472">
        <v>16</v>
      </c>
      <c r="BJ472" t="s">
        <v>9664</v>
      </c>
      <c r="BK472" t="s">
        <v>9665</v>
      </c>
      <c r="BL472" t="s">
        <v>9666</v>
      </c>
      <c r="BM472" t="s">
        <v>9667</v>
      </c>
      <c r="BN472" t="s">
        <v>74</v>
      </c>
      <c r="BO472" t="s">
        <v>267</v>
      </c>
      <c r="BP472" t="s">
        <v>74</v>
      </c>
      <c r="BQ472" t="s">
        <v>74</v>
      </c>
      <c r="BR472" t="s">
        <v>103</v>
      </c>
      <c r="BS472" t="s">
        <v>9668</v>
      </c>
      <c r="BT472" t="str">
        <f>HYPERLINK("https%3A%2F%2Fwww.webofscience.com%2Fwos%2Fwoscc%2Ffull-record%2FWOS:000782871200001","View Full Record in Web of Science")</f>
        <v>View Full Record in Web of Science</v>
      </c>
    </row>
    <row r="473" spans="1:72" x14ac:dyDescent="0.15">
      <c r="A473" t="s">
        <v>72</v>
      </c>
      <c r="B473" t="s">
        <v>9669</v>
      </c>
      <c r="C473" t="s">
        <v>74</v>
      </c>
      <c r="D473" t="s">
        <v>74</v>
      </c>
      <c r="E473" t="s">
        <v>74</v>
      </c>
      <c r="F473" t="s">
        <v>9670</v>
      </c>
      <c r="G473" t="s">
        <v>74</v>
      </c>
      <c r="H473" t="s">
        <v>74</v>
      </c>
      <c r="I473" t="s">
        <v>9671</v>
      </c>
      <c r="J473" t="s">
        <v>9672</v>
      </c>
      <c r="K473" t="s">
        <v>74</v>
      </c>
      <c r="L473" t="s">
        <v>74</v>
      </c>
      <c r="M473" t="s">
        <v>78</v>
      </c>
      <c r="N473" t="s">
        <v>79</v>
      </c>
      <c r="O473" t="s">
        <v>74</v>
      </c>
      <c r="P473" t="s">
        <v>74</v>
      </c>
      <c r="Q473" t="s">
        <v>74</v>
      </c>
      <c r="R473" t="s">
        <v>74</v>
      </c>
      <c r="S473" t="s">
        <v>74</v>
      </c>
      <c r="T473" t="s">
        <v>9673</v>
      </c>
      <c r="U473" t="s">
        <v>74</v>
      </c>
      <c r="V473" t="s">
        <v>9674</v>
      </c>
      <c r="W473" t="s">
        <v>9675</v>
      </c>
      <c r="X473" t="s">
        <v>74</v>
      </c>
      <c r="Y473" t="s">
        <v>9676</v>
      </c>
      <c r="Z473" t="s">
        <v>9677</v>
      </c>
      <c r="AA473" t="s">
        <v>74</v>
      </c>
      <c r="AB473" t="s">
        <v>9678</v>
      </c>
      <c r="AC473" t="s">
        <v>74</v>
      </c>
      <c r="AD473" t="s">
        <v>74</v>
      </c>
      <c r="AE473" t="s">
        <v>74</v>
      </c>
      <c r="AF473" t="s">
        <v>74</v>
      </c>
      <c r="AG473">
        <v>7</v>
      </c>
      <c r="AH473">
        <v>0</v>
      </c>
      <c r="AI473">
        <v>0</v>
      </c>
      <c r="AJ473">
        <v>1</v>
      </c>
      <c r="AK473">
        <v>1</v>
      </c>
      <c r="AL473" t="s">
        <v>9679</v>
      </c>
      <c r="AM473" t="s">
        <v>4863</v>
      </c>
      <c r="AN473" t="s">
        <v>9680</v>
      </c>
      <c r="AO473" t="s">
        <v>9681</v>
      </c>
      <c r="AP473" t="s">
        <v>9682</v>
      </c>
      <c r="AQ473" t="s">
        <v>74</v>
      </c>
      <c r="AR473" t="s">
        <v>9683</v>
      </c>
      <c r="AS473" t="s">
        <v>9684</v>
      </c>
      <c r="AT473" t="s">
        <v>9685</v>
      </c>
      <c r="AU473">
        <v>2022</v>
      </c>
      <c r="AV473">
        <v>67</v>
      </c>
      <c r="AW473" t="s">
        <v>74</v>
      </c>
      <c r="AX473" t="s">
        <v>74</v>
      </c>
      <c r="AY473">
        <v>1</v>
      </c>
      <c r="AZ473" t="s">
        <v>772</v>
      </c>
      <c r="BA473" t="s">
        <v>74</v>
      </c>
      <c r="BB473">
        <v>173</v>
      </c>
      <c r="BC473">
        <v>182</v>
      </c>
      <c r="BD473" t="s">
        <v>74</v>
      </c>
      <c r="BE473" t="s">
        <v>9686</v>
      </c>
      <c r="BF473" t="str">
        <f>HYPERLINK("http://dx.doi.org/10.1080/00393630.2022.2059644","http://dx.doi.org/10.1080/00393630.2022.2059644")</f>
        <v>http://dx.doi.org/10.1080/00393630.2022.2059644</v>
      </c>
      <c r="BG473" t="s">
        <v>74</v>
      </c>
      <c r="BH473" t="s">
        <v>7987</v>
      </c>
      <c r="BI473">
        <v>10</v>
      </c>
      <c r="BJ473" t="s">
        <v>9687</v>
      </c>
      <c r="BK473" t="s">
        <v>9688</v>
      </c>
      <c r="BL473" t="s">
        <v>9689</v>
      </c>
      <c r="BM473" t="s">
        <v>9690</v>
      </c>
      <c r="BN473" t="s">
        <v>74</v>
      </c>
      <c r="BO473" t="s">
        <v>74</v>
      </c>
      <c r="BP473" t="s">
        <v>74</v>
      </c>
      <c r="BQ473" t="s">
        <v>74</v>
      </c>
      <c r="BR473" t="s">
        <v>103</v>
      </c>
      <c r="BS473" t="s">
        <v>9691</v>
      </c>
      <c r="BT473" t="str">
        <f>HYPERLINK("https%3A%2F%2Fwww.webofscience.com%2Fwos%2Fwoscc%2Ffull-record%2FWOS:000783761900001","View Full Record in Web of Science")</f>
        <v>View Full Record in Web of Science</v>
      </c>
    </row>
    <row r="474" spans="1:72" x14ac:dyDescent="0.15">
      <c r="A474" t="s">
        <v>72</v>
      </c>
      <c r="B474" t="s">
        <v>9692</v>
      </c>
      <c r="C474" t="s">
        <v>74</v>
      </c>
      <c r="D474" t="s">
        <v>74</v>
      </c>
      <c r="E474" t="s">
        <v>74</v>
      </c>
      <c r="F474" t="s">
        <v>9693</v>
      </c>
      <c r="G474" t="s">
        <v>74</v>
      </c>
      <c r="H474" t="s">
        <v>74</v>
      </c>
      <c r="I474" t="s">
        <v>9694</v>
      </c>
      <c r="J474" t="s">
        <v>3419</v>
      </c>
      <c r="K474" t="s">
        <v>74</v>
      </c>
      <c r="L474" t="s">
        <v>74</v>
      </c>
      <c r="M474" t="s">
        <v>78</v>
      </c>
      <c r="N474" t="s">
        <v>79</v>
      </c>
      <c r="O474" t="s">
        <v>74</v>
      </c>
      <c r="P474" t="s">
        <v>74</v>
      </c>
      <c r="Q474" t="s">
        <v>74</v>
      </c>
      <c r="R474" t="s">
        <v>74</v>
      </c>
      <c r="S474" t="s">
        <v>74</v>
      </c>
      <c r="T474" t="s">
        <v>9695</v>
      </c>
      <c r="U474" t="s">
        <v>9696</v>
      </c>
      <c r="V474" t="s">
        <v>9697</v>
      </c>
      <c r="W474" t="s">
        <v>9698</v>
      </c>
      <c r="X474" t="s">
        <v>9699</v>
      </c>
      <c r="Y474" t="s">
        <v>9700</v>
      </c>
      <c r="Z474" t="s">
        <v>9701</v>
      </c>
      <c r="AA474" t="s">
        <v>9702</v>
      </c>
      <c r="AB474" t="s">
        <v>9703</v>
      </c>
      <c r="AC474" t="s">
        <v>9704</v>
      </c>
      <c r="AD474" t="s">
        <v>9705</v>
      </c>
      <c r="AE474" t="s">
        <v>9706</v>
      </c>
      <c r="AF474" t="s">
        <v>74</v>
      </c>
      <c r="AG474">
        <v>40</v>
      </c>
      <c r="AH474">
        <v>7</v>
      </c>
      <c r="AI474">
        <v>7</v>
      </c>
      <c r="AJ474">
        <v>2</v>
      </c>
      <c r="AK474">
        <v>17</v>
      </c>
      <c r="AL474" t="s">
        <v>2042</v>
      </c>
      <c r="AM474" t="s">
        <v>2043</v>
      </c>
      <c r="AN474" t="s">
        <v>2044</v>
      </c>
      <c r="AO474" t="s">
        <v>3432</v>
      </c>
      <c r="AP474" t="s">
        <v>3433</v>
      </c>
      <c r="AQ474" t="s">
        <v>74</v>
      </c>
      <c r="AR474" t="s">
        <v>3434</v>
      </c>
      <c r="AS474" t="s">
        <v>3435</v>
      </c>
      <c r="AT474" t="s">
        <v>9621</v>
      </c>
      <c r="AU474">
        <v>2022</v>
      </c>
      <c r="AV474">
        <v>49</v>
      </c>
      <c r="AW474">
        <v>7</v>
      </c>
      <c r="AX474" t="s">
        <v>74</v>
      </c>
      <c r="AY474" t="s">
        <v>74</v>
      </c>
      <c r="AZ474" t="s">
        <v>74</v>
      </c>
      <c r="BA474" t="s">
        <v>74</v>
      </c>
      <c r="BB474" t="s">
        <v>74</v>
      </c>
      <c r="BC474" t="s">
        <v>74</v>
      </c>
      <c r="BD474" t="s">
        <v>9707</v>
      </c>
      <c r="BE474" t="s">
        <v>9708</v>
      </c>
      <c r="BF474" t="str">
        <f>HYPERLINK("http://dx.doi.org/10.1029/2021GL097491","http://dx.doi.org/10.1029/2021GL097491")</f>
        <v>http://dx.doi.org/10.1029/2021GL097491</v>
      </c>
      <c r="BG474" t="s">
        <v>74</v>
      </c>
      <c r="BH474" t="s">
        <v>74</v>
      </c>
      <c r="BI474">
        <v>10</v>
      </c>
      <c r="BJ474" t="s">
        <v>265</v>
      </c>
      <c r="BK474" t="s">
        <v>101</v>
      </c>
      <c r="BL474" t="s">
        <v>100</v>
      </c>
      <c r="BM474" t="s">
        <v>9709</v>
      </c>
      <c r="BN474" t="s">
        <v>74</v>
      </c>
      <c r="BO474" t="s">
        <v>986</v>
      </c>
      <c r="BP474" t="s">
        <v>74</v>
      </c>
      <c r="BQ474" t="s">
        <v>74</v>
      </c>
      <c r="BR474" t="s">
        <v>103</v>
      </c>
      <c r="BS474" t="s">
        <v>9710</v>
      </c>
      <c r="BT474" t="str">
        <f>HYPERLINK("https%3A%2F%2Fwww.webofscience.com%2Fwos%2Fwoscc%2Ffull-record%2FWOS:000779313900001","View Full Record in Web of Science")</f>
        <v>View Full Record in Web of Science</v>
      </c>
    </row>
    <row r="475" spans="1:72" x14ac:dyDescent="0.15">
      <c r="A475" t="s">
        <v>72</v>
      </c>
      <c r="B475" t="s">
        <v>9711</v>
      </c>
      <c r="C475" t="s">
        <v>74</v>
      </c>
      <c r="D475" t="s">
        <v>74</v>
      </c>
      <c r="E475" t="s">
        <v>74</v>
      </c>
      <c r="F475" t="s">
        <v>9712</v>
      </c>
      <c r="G475" t="s">
        <v>74</v>
      </c>
      <c r="H475" t="s">
        <v>74</v>
      </c>
      <c r="I475" t="s">
        <v>9713</v>
      </c>
      <c r="J475" t="s">
        <v>3419</v>
      </c>
      <c r="K475" t="s">
        <v>74</v>
      </c>
      <c r="L475" t="s">
        <v>74</v>
      </c>
      <c r="M475" t="s">
        <v>78</v>
      </c>
      <c r="N475" t="s">
        <v>79</v>
      </c>
      <c r="O475" t="s">
        <v>74</v>
      </c>
      <c r="P475" t="s">
        <v>74</v>
      </c>
      <c r="Q475" t="s">
        <v>74</v>
      </c>
      <c r="R475" t="s">
        <v>74</v>
      </c>
      <c r="S475" t="s">
        <v>74</v>
      </c>
      <c r="T475" t="s">
        <v>9714</v>
      </c>
      <c r="U475" t="s">
        <v>9715</v>
      </c>
      <c r="V475" t="s">
        <v>9716</v>
      </c>
      <c r="W475" t="s">
        <v>9717</v>
      </c>
      <c r="X475" t="s">
        <v>9718</v>
      </c>
      <c r="Y475" t="s">
        <v>9719</v>
      </c>
      <c r="Z475" t="s">
        <v>9720</v>
      </c>
      <c r="AA475" t="s">
        <v>9721</v>
      </c>
      <c r="AB475" t="s">
        <v>9722</v>
      </c>
      <c r="AC475" t="s">
        <v>9723</v>
      </c>
      <c r="AD475" t="s">
        <v>9724</v>
      </c>
      <c r="AE475" t="s">
        <v>9725</v>
      </c>
      <c r="AF475" t="s">
        <v>74</v>
      </c>
      <c r="AG475">
        <v>75</v>
      </c>
      <c r="AH475">
        <v>10</v>
      </c>
      <c r="AI475">
        <v>10</v>
      </c>
      <c r="AJ475">
        <v>3</v>
      </c>
      <c r="AK475">
        <v>21</v>
      </c>
      <c r="AL475" t="s">
        <v>2042</v>
      </c>
      <c r="AM475" t="s">
        <v>2043</v>
      </c>
      <c r="AN475" t="s">
        <v>2044</v>
      </c>
      <c r="AO475" t="s">
        <v>3432</v>
      </c>
      <c r="AP475" t="s">
        <v>3433</v>
      </c>
      <c r="AQ475" t="s">
        <v>74</v>
      </c>
      <c r="AR475" t="s">
        <v>3434</v>
      </c>
      <c r="AS475" t="s">
        <v>3435</v>
      </c>
      <c r="AT475" t="s">
        <v>9621</v>
      </c>
      <c r="AU475">
        <v>2022</v>
      </c>
      <c r="AV475">
        <v>49</v>
      </c>
      <c r="AW475">
        <v>7</v>
      </c>
      <c r="AX475" t="s">
        <v>74</v>
      </c>
      <c r="AY475" t="s">
        <v>74</v>
      </c>
      <c r="AZ475" t="s">
        <v>74</v>
      </c>
      <c r="BA475" t="s">
        <v>74</v>
      </c>
      <c r="BB475" t="s">
        <v>74</v>
      </c>
      <c r="BC475" t="s">
        <v>74</v>
      </c>
      <c r="BD475" t="s">
        <v>9726</v>
      </c>
      <c r="BE475" t="s">
        <v>9727</v>
      </c>
      <c r="BF475" t="str">
        <f>HYPERLINK("http://dx.doi.org/10.1029/2021GL095557","http://dx.doi.org/10.1029/2021GL095557")</f>
        <v>http://dx.doi.org/10.1029/2021GL095557</v>
      </c>
      <c r="BG475" t="s">
        <v>74</v>
      </c>
      <c r="BH475" t="s">
        <v>74</v>
      </c>
      <c r="BI475">
        <v>11</v>
      </c>
      <c r="BJ475" t="s">
        <v>265</v>
      </c>
      <c r="BK475" t="s">
        <v>101</v>
      </c>
      <c r="BL475" t="s">
        <v>100</v>
      </c>
      <c r="BM475" t="s">
        <v>9728</v>
      </c>
      <c r="BN475" t="s">
        <v>74</v>
      </c>
      <c r="BO475" t="s">
        <v>9729</v>
      </c>
      <c r="BP475" t="s">
        <v>74</v>
      </c>
      <c r="BQ475" t="s">
        <v>74</v>
      </c>
      <c r="BR475" t="s">
        <v>103</v>
      </c>
      <c r="BS475" t="s">
        <v>9730</v>
      </c>
      <c r="BT475" t="str">
        <f>HYPERLINK("https%3A%2F%2Fwww.webofscience.com%2Fwos%2Fwoscc%2Ffull-record%2FWOS:000778516500001","View Full Record in Web of Science")</f>
        <v>View Full Record in Web of Science</v>
      </c>
    </row>
    <row r="476" spans="1:72" x14ac:dyDescent="0.15">
      <c r="A476" t="s">
        <v>72</v>
      </c>
      <c r="B476" t="s">
        <v>9731</v>
      </c>
      <c r="C476" t="s">
        <v>74</v>
      </c>
      <c r="D476" t="s">
        <v>74</v>
      </c>
      <c r="E476" t="s">
        <v>74</v>
      </c>
      <c r="F476" t="s">
        <v>9732</v>
      </c>
      <c r="G476" t="s">
        <v>74</v>
      </c>
      <c r="H476" t="s">
        <v>74</v>
      </c>
      <c r="I476" t="s">
        <v>9733</v>
      </c>
      <c r="J476" t="s">
        <v>3636</v>
      </c>
      <c r="K476" t="s">
        <v>74</v>
      </c>
      <c r="L476" t="s">
        <v>74</v>
      </c>
      <c r="M476" t="s">
        <v>78</v>
      </c>
      <c r="N476" t="s">
        <v>79</v>
      </c>
      <c r="O476" t="s">
        <v>74</v>
      </c>
      <c r="P476" t="s">
        <v>74</v>
      </c>
      <c r="Q476" t="s">
        <v>74</v>
      </c>
      <c r="R476" t="s">
        <v>74</v>
      </c>
      <c r="S476" t="s">
        <v>74</v>
      </c>
      <c r="T476" t="s">
        <v>9734</v>
      </c>
      <c r="U476" t="s">
        <v>9735</v>
      </c>
      <c r="V476" t="s">
        <v>9736</v>
      </c>
      <c r="W476" t="s">
        <v>9737</v>
      </c>
      <c r="X476" t="s">
        <v>9738</v>
      </c>
      <c r="Y476" t="s">
        <v>9739</v>
      </c>
      <c r="Z476" t="s">
        <v>9740</v>
      </c>
      <c r="AA476" t="s">
        <v>9741</v>
      </c>
      <c r="AB476" t="s">
        <v>9742</v>
      </c>
      <c r="AC476" t="s">
        <v>9743</v>
      </c>
      <c r="AD476" t="s">
        <v>9744</v>
      </c>
      <c r="AE476" t="s">
        <v>9745</v>
      </c>
      <c r="AF476" t="s">
        <v>74</v>
      </c>
      <c r="AG476">
        <v>52</v>
      </c>
      <c r="AH476">
        <v>6</v>
      </c>
      <c r="AI476">
        <v>6</v>
      </c>
      <c r="AJ476">
        <v>6</v>
      </c>
      <c r="AK476">
        <v>24</v>
      </c>
      <c r="AL476" t="s">
        <v>2042</v>
      </c>
      <c r="AM476" t="s">
        <v>2043</v>
      </c>
      <c r="AN476" t="s">
        <v>2044</v>
      </c>
      <c r="AO476" t="s">
        <v>3648</v>
      </c>
      <c r="AP476" t="s">
        <v>3649</v>
      </c>
      <c r="AQ476" t="s">
        <v>74</v>
      </c>
      <c r="AR476" t="s">
        <v>3650</v>
      </c>
      <c r="AS476" t="s">
        <v>3651</v>
      </c>
      <c r="AT476" t="s">
        <v>9621</v>
      </c>
      <c r="AU476">
        <v>2022</v>
      </c>
      <c r="AV476">
        <v>127</v>
      </c>
      <c r="AW476">
        <v>7</v>
      </c>
      <c r="AX476" t="s">
        <v>74</v>
      </c>
      <c r="AY476" t="s">
        <v>74</v>
      </c>
      <c r="AZ476" t="s">
        <v>74</v>
      </c>
      <c r="BA476" t="s">
        <v>74</v>
      </c>
      <c r="BB476" t="s">
        <v>74</v>
      </c>
      <c r="BC476" t="s">
        <v>74</v>
      </c>
      <c r="BD476" t="s">
        <v>9746</v>
      </c>
      <c r="BE476" t="s">
        <v>9747</v>
      </c>
      <c r="BF476" t="str">
        <f>HYPERLINK("http://dx.doi.org/10.1029/2021JD036121","http://dx.doi.org/10.1029/2021JD036121")</f>
        <v>http://dx.doi.org/10.1029/2021JD036121</v>
      </c>
      <c r="BG476" t="s">
        <v>74</v>
      </c>
      <c r="BH476" t="s">
        <v>74</v>
      </c>
      <c r="BI476">
        <v>15</v>
      </c>
      <c r="BJ476" t="s">
        <v>510</v>
      </c>
      <c r="BK476" t="s">
        <v>101</v>
      </c>
      <c r="BL476" t="s">
        <v>510</v>
      </c>
      <c r="BM476" t="s">
        <v>9748</v>
      </c>
      <c r="BN476" t="s">
        <v>74</v>
      </c>
      <c r="BO476" t="s">
        <v>74</v>
      </c>
      <c r="BP476" t="s">
        <v>74</v>
      </c>
      <c r="BQ476" t="s">
        <v>74</v>
      </c>
      <c r="BR476" t="s">
        <v>103</v>
      </c>
      <c r="BS476" t="s">
        <v>9749</v>
      </c>
      <c r="BT476" t="str">
        <f>HYPERLINK("https%3A%2F%2Fwww.webofscience.com%2Fwos%2Fwoscc%2Ffull-record%2FWOS:000778547600001","View Full Record in Web of Science")</f>
        <v>View Full Record in Web of Science</v>
      </c>
    </row>
    <row r="477" spans="1:72" x14ac:dyDescent="0.15">
      <c r="A477" t="s">
        <v>72</v>
      </c>
      <c r="B477" t="s">
        <v>9750</v>
      </c>
      <c r="C477" t="s">
        <v>74</v>
      </c>
      <c r="D477" t="s">
        <v>74</v>
      </c>
      <c r="E477" t="s">
        <v>74</v>
      </c>
      <c r="F477" t="s">
        <v>9751</v>
      </c>
      <c r="G477" t="s">
        <v>74</v>
      </c>
      <c r="H477" t="s">
        <v>74</v>
      </c>
      <c r="I477" t="s">
        <v>9752</v>
      </c>
      <c r="J477" t="s">
        <v>3260</v>
      </c>
      <c r="K477" t="s">
        <v>74</v>
      </c>
      <c r="L477" t="s">
        <v>74</v>
      </c>
      <c r="M477" t="s">
        <v>78</v>
      </c>
      <c r="N477" t="s">
        <v>79</v>
      </c>
      <c r="O477" t="s">
        <v>74</v>
      </c>
      <c r="P477" t="s">
        <v>74</v>
      </c>
      <c r="Q477" t="s">
        <v>74</v>
      </c>
      <c r="R477" t="s">
        <v>74</v>
      </c>
      <c r="S477" t="s">
        <v>74</v>
      </c>
      <c r="T477" t="s">
        <v>9753</v>
      </c>
      <c r="U477" t="s">
        <v>9754</v>
      </c>
      <c r="V477" t="s">
        <v>9755</v>
      </c>
      <c r="W477" t="s">
        <v>9756</v>
      </c>
      <c r="X477" t="s">
        <v>9757</v>
      </c>
      <c r="Y477" t="s">
        <v>9758</v>
      </c>
      <c r="Z477" t="s">
        <v>9759</v>
      </c>
      <c r="AA477" t="s">
        <v>9760</v>
      </c>
      <c r="AB477" t="s">
        <v>9761</v>
      </c>
      <c r="AC477" t="s">
        <v>9762</v>
      </c>
      <c r="AD477" t="s">
        <v>9763</v>
      </c>
      <c r="AE477" t="s">
        <v>9764</v>
      </c>
      <c r="AF477" t="s">
        <v>74</v>
      </c>
      <c r="AG477">
        <v>56</v>
      </c>
      <c r="AH477">
        <v>7</v>
      </c>
      <c r="AI477">
        <v>7</v>
      </c>
      <c r="AJ477">
        <v>3</v>
      </c>
      <c r="AK477">
        <v>9</v>
      </c>
      <c r="AL477" t="s">
        <v>257</v>
      </c>
      <c r="AM477" t="s">
        <v>258</v>
      </c>
      <c r="AN477" t="s">
        <v>259</v>
      </c>
      <c r="AO477" t="s">
        <v>3273</v>
      </c>
      <c r="AP477" t="s">
        <v>3274</v>
      </c>
      <c r="AQ477" t="s">
        <v>74</v>
      </c>
      <c r="AR477" t="s">
        <v>3275</v>
      </c>
      <c r="AS477" t="s">
        <v>3276</v>
      </c>
      <c r="AT477" t="s">
        <v>4826</v>
      </c>
      <c r="AU477">
        <v>2022</v>
      </c>
      <c r="AV477">
        <v>586</v>
      </c>
      <c r="AW477" t="s">
        <v>74</v>
      </c>
      <c r="AX477" t="s">
        <v>74</v>
      </c>
      <c r="AY477" t="s">
        <v>74</v>
      </c>
      <c r="AZ477" t="s">
        <v>74</v>
      </c>
      <c r="BA477" t="s">
        <v>74</v>
      </c>
      <c r="BB477" t="s">
        <v>74</v>
      </c>
      <c r="BC477" t="s">
        <v>74</v>
      </c>
      <c r="BD477">
        <v>117532</v>
      </c>
      <c r="BE477" t="s">
        <v>9765</v>
      </c>
      <c r="BF477" t="str">
        <f>HYPERLINK("http://dx.doi.org/10.1016/j.epsl.2022.117532","http://dx.doi.org/10.1016/j.epsl.2022.117532")</f>
        <v>http://dx.doi.org/10.1016/j.epsl.2022.117532</v>
      </c>
      <c r="BG477" t="s">
        <v>74</v>
      </c>
      <c r="BH477" t="s">
        <v>7987</v>
      </c>
      <c r="BI477">
        <v>10</v>
      </c>
      <c r="BJ477" t="s">
        <v>2144</v>
      </c>
      <c r="BK477" t="s">
        <v>101</v>
      </c>
      <c r="BL477" t="s">
        <v>2144</v>
      </c>
      <c r="BM477" t="s">
        <v>9766</v>
      </c>
      <c r="BN477" t="s">
        <v>74</v>
      </c>
      <c r="BO477" t="s">
        <v>643</v>
      </c>
      <c r="BP477" t="s">
        <v>74</v>
      </c>
      <c r="BQ477" t="s">
        <v>74</v>
      </c>
      <c r="BR477" t="s">
        <v>103</v>
      </c>
      <c r="BS477" t="s">
        <v>9767</v>
      </c>
      <c r="BT477" t="str">
        <f>HYPERLINK("https%3A%2F%2Fwww.webofscience.com%2Fwos%2Fwoscc%2Ffull-record%2FWOS:000819924200002","View Full Record in Web of Science")</f>
        <v>View Full Record in Web of Science</v>
      </c>
    </row>
    <row r="478" spans="1:72" x14ac:dyDescent="0.15">
      <c r="A478" t="s">
        <v>72</v>
      </c>
      <c r="B478" t="s">
        <v>9768</v>
      </c>
      <c r="C478" t="s">
        <v>74</v>
      </c>
      <c r="D478" t="s">
        <v>74</v>
      </c>
      <c r="E478" t="s">
        <v>74</v>
      </c>
      <c r="F478" t="s">
        <v>9769</v>
      </c>
      <c r="G478" t="s">
        <v>74</v>
      </c>
      <c r="H478" t="s">
        <v>74</v>
      </c>
      <c r="I478" t="s">
        <v>9770</v>
      </c>
      <c r="J478" t="s">
        <v>4070</v>
      </c>
      <c r="K478" t="s">
        <v>74</v>
      </c>
      <c r="L478" t="s">
        <v>74</v>
      </c>
      <c r="M478" t="s">
        <v>78</v>
      </c>
      <c r="N478" t="s">
        <v>79</v>
      </c>
      <c r="O478" t="s">
        <v>74</v>
      </c>
      <c r="P478" t="s">
        <v>74</v>
      </c>
      <c r="Q478" t="s">
        <v>74</v>
      </c>
      <c r="R478" t="s">
        <v>74</v>
      </c>
      <c r="S478" t="s">
        <v>74</v>
      </c>
      <c r="T478" t="s">
        <v>9771</v>
      </c>
      <c r="U478" t="s">
        <v>9772</v>
      </c>
      <c r="V478" t="s">
        <v>9773</v>
      </c>
      <c r="W478" t="s">
        <v>9774</v>
      </c>
      <c r="X478" t="s">
        <v>9775</v>
      </c>
      <c r="Y478" t="s">
        <v>9776</v>
      </c>
      <c r="Z478" t="s">
        <v>9777</v>
      </c>
      <c r="AA478" t="s">
        <v>9778</v>
      </c>
      <c r="AB478" t="s">
        <v>9779</v>
      </c>
      <c r="AC478" t="s">
        <v>9780</v>
      </c>
      <c r="AD478" t="s">
        <v>9781</v>
      </c>
      <c r="AE478" t="s">
        <v>9782</v>
      </c>
      <c r="AF478" t="s">
        <v>74</v>
      </c>
      <c r="AG478">
        <v>108</v>
      </c>
      <c r="AH478">
        <v>11</v>
      </c>
      <c r="AI478">
        <v>11</v>
      </c>
      <c r="AJ478">
        <v>0</v>
      </c>
      <c r="AK478">
        <v>8</v>
      </c>
      <c r="AL478" t="s">
        <v>199</v>
      </c>
      <c r="AM478" t="s">
        <v>200</v>
      </c>
      <c r="AN478" t="s">
        <v>201</v>
      </c>
      <c r="AO478" t="s">
        <v>4083</v>
      </c>
      <c r="AP478" t="s">
        <v>4084</v>
      </c>
      <c r="AQ478" t="s">
        <v>74</v>
      </c>
      <c r="AR478" t="s">
        <v>4085</v>
      </c>
      <c r="AS478" t="s">
        <v>4086</v>
      </c>
      <c r="AT478" t="s">
        <v>7628</v>
      </c>
      <c r="AU478">
        <v>2022</v>
      </c>
      <c r="AV478">
        <v>324</v>
      </c>
      <c r="AW478" t="s">
        <v>74</v>
      </c>
      <c r="AX478" t="s">
        <v>74</v>
      </c>
      <c r="AY478" t="s">
        <v>74</v>
      </c>
      <c r="AZ478" t="s">
        <v>74</v>
      </c>
      <c r="BA478" t="s">
        <v>74</v>
      </c>
      <c r="BB478">
        <v>194</v>
      </c>
      <c r="BC478">
        <v>220</v>
      </c>
      <c r="BD478" t="s">
        <v>74</v>
      </c>
      <c r="BE478" t="s">
        <v>9783</v>
      </c>
      <c r="BF478" t="str">
        <f>HYPERLINK("http://dx.doi.org/10.1016/j.gca.2022.02.002","http://dx.doi.org/10.1016/j.gca.2022.02.002")</f>
        <v>http://dx.doi.org/10.1016/j.gca.2022.02.002</v>
      </c>
      <c r="BG478" t="s">
        <v>74</v>
      </c>
      <c r="BH478" t="s">
        <v>7987</v>
      </c>
      <c r="BI478">
        <v>27</v>
      </c>
      <c r="BJ478" t="s">
        <v>2144</v>
      </c>
      <c r="BK478" t="s">
        <v>101</v>
      </c>
      <c r="BL478" t="s">
        <v>2144</v>
      </c>
      <c r="BM478" t="s">
        <v>9784</v>
      </c>
      <c r="BN478" t="s">
        <v>74</v>
      </c>
      <c r="BO478" t="s">
        <v>267</v>
      </c>
      <c r="BP478" t="s">
        <v>74</v>
      </c>
      <c r="BQ478" t="s">
        <v>74</v>
      </c>
      <c r="BR478" t="s">
        <v>103</v>
      </c>
      <c r="BS478" t="s">
        <v>9785</v>
      </c>
      <c r="BT478" t="str">
        <f>HYPERLINK("https%3A%2F%2Fwww.webofscience.com%2Fwos%2Fwoscc%2Ffull-record%2FWOS:000802970500004","View Full Record in Web of Science")</f>
        <v>View Full Record in Web of Science</v>
      </c>
    </row>
    <row r="479" spans="1:72" x14ac:dyDescent="0.15">
      <c r="A479" t="s">
        <v>72</v>
      </c>
      <c r="B479" t="s">
        <v>9786</v>
      </c>
      <c r="C479" t="s">
        <v>74</v>
      </c>
      <c r="D479" t="s">
        <v>74</v>
      </c>
      <c r="E479" t="s">
        <v>74</v>
      </c>
      <c r="F479" t="s">
        <v>9787</v>
      </c>
      <c r="G479" t="s">
        <v>74</v>
      </c>
      <c r="H479" t="s">
        <v>74</v>
      </c>
      <c r="I479" t="s">
        <v>9788</v>
      </c>
      <c r="J479" t="s">
        <v>4070</v>
      </c>
      <c r="K479" t="s">
        <v>74</v>
      </c>
      <c r="L479" t="s">
        <v>74</v>
      </c>
      <c r="M479" t="s">
        <v>78</v>
      </c>
      <c r="N479" t="s">
        <v>79</v>
      </c>
      <c r="O479" t="s">
        <v>74</v>
      </c>
      <c r="P479" t="s">
        <v>74</v>
      </c>
      <c r="Q479" t="s">
        <v>74</v>
      </c>
      <c r="R479" t="s">
        <v>74</v>
      </c>
      <c r="S479" t="s">
        <v>74</v>
      </c>
      <c r="T479" t="s">
        <v>9789</v>
      </c>
      <c r="U479" t="s">
        <v>9790</v>
      </c>
      <c r="V479" t="s">
        <v>9791</v>
      </c>
      <c r="W479" t="s">
        <v>9792</v>
      </c>
      <c r="X479" t="s">
        <v>9793</v>
      </c>
      <c r="Y479" t="s">
        <v>9794</v>
      </c>
      <c r="Z479" t="s">
        <v>9795</v>
      </c>
      <c r="AA479" t="s">
        <v>9796</v>
      </c>
      <c r="AB479" t="s">
        <v>9797</v>
      </c>
      <c r="AC479" t="s">
        <v>9798</v>
      </c>
      <c r="AD479" t="s">
        <v>9799</v>
      </c>
      <c r="AE479" t="s">
        <v>9800</v>
      </c>
      <c r="AF479" t="s">
        <v>74</v>
      </c>
      <c r="AG479">
        <v>80</v>
      </c>
      <c r="AH479">
        <v>7</v>
      </c>
      <c r="AI479">
        <v>7</v>
      </c>
      <c r="AJ479">
        <v>0</v>
      </c>
      <c r="AK479">
        <v>4</v>
      </c>
      <c r="AL479" t="s">
        <v>199</v>
      </c>
      <c r="AM479" t="s">
        <v>200</v>
      </c>
      <c r="AN479" t="s">
        <v>201</v>
      </c>
      <c r="AO479" t="s">
        <v>4083</v>
      </c>
      <c r="AP479" t="s">
        <v>4084</v>
      </c>
      <c r="AQ479" t="s">
        <v>74</v>
      </c>
      <c r="AR479" t="s">
        <v>4085</v>
      </c>
      <c r="AS479" t="s">
        <v>4086</v>
      </c>
      <c r="AT479" t="s">
        <v>7628</v>
      </c>
      <c r="AU479">
        <v>2022</v>
      </c>
      <c r="AV479">
        <v>324</v>
      </c>
      <c r="AW479" t="s">
        <v>74</v>
      </c>
      <c r="AX479" t="s">
        <v>74</v>
      </c>
      <c r="AY479" t="s">
        <v>74</v>
      </c>
      <c r="AZ479" t="s">
        <v>74</v>
      </c>
      <c r="BA479" t="s">
        <v>74</v>
      </c>
      <c r="BB479">
        <v>221</v>
      </c>
      <c r="BC479">
        <v>239</v>
      </c>
      <c r="BD479" t="s">
        <v>74</v>
      </c>
      <c r="BE479" t="s">
        <v>9801</v>
      </c>
      <c r="BF479" t="str">
        <f>HYPERLINK("http://dx.doi.org/10.1016/j.gca.2022.02.008","http://dx.doi.org/10.1016/j.gca.2022.02.008")</f>
        <v>http://dx.doi.org/10.1016/j.gca.2022.02.008</v>
      </c>
      <c r="BG479" t="s">
        <v>74</v>
      </c>
      <c r="BH479" t="s">
        <v>7987</v>
      </c>
      <c r="BI479">
        <v>19</v>
      </c>
      <c r="BJ479" t="s">
        <v>2144</v>
      </c>
      <c r="BK479" t="s">
        <v>101</v>
      </c>
      <c r="BL479" t="s">
        <v>2144</v>
      </c>
      <c r="BM479" t="s">
        <v>9784</v>
      </c>
      <c r="BN479" t="s">
        <v>74</v>
      </c>
      <c r="BO479" t="s">
        <v>2709</v>
      </c>
      <c r="BP479" t="s">
        <v>74</v>
      </c>
      <c r="BQ479" t="s">
        <v>74</v>
      </c>
      <c r="BR479" t="s">
        <v>103</v>
      </c>
      <c r="BS479" t="s">
        <v>9802</v>
      </c>
      <c r="BT479" t="str">
        <f>HYPERLINK("https%3A%2F%2Fwww.webofscience.com%2Fwos%2Fwoscc%2Ffull-record%2FWOS:000802970500005","View Full Record in Web of Science")</f>
        <v>View Full Record in Web of Science</v>
      </c>
    </row>
    <row r="480" spans="1:72" x14ac:dyDescent="0.15">
      <c r="A480" t="s">
        <v>72</v>
      </c>
      <c r="B480" t="s">
        <v>9803</v>
      </c>
      <c r="C480" t="s">
        <v>74</v>
      </c>
      <c r="D480" t="s">
        <v>74</v>
      </c>
      <c r="E480" t="s">
        <v>74</v>
      </c>
      <c r="F480" t="s">
        <v>9804</v>
      </c>
      <c r="G480" t="s">
        <v>74</v>
      </c>
      <c r="H480" t="s">
        <v>74</v>
      </c>
      <c r="I480" t="s">
        <v>9805</v>
      </c>
      <c r="J480" t="s">
        <v>4070</v>
      </c>
      <c r="K480" t="s">
        <v>74</v>
      </c>
      <c r="L480" t="s">
        <v>74</v>
      </c>
      <c r="M480" t="s">
        <v>78</v>
      </c>
      <c r="N480" t="s">
        <v>79</v>
      </c>
      <c r="O480" t="s">
        <v>74</v>
      </c>
      <c r="P480" t="s">
        <v>74</v>
      </c>
      <c r="Q480" t="s">
        <v>74</v>
      </c>
      <c r="R480" t="s">
        <v>74</v>
      </c>
      <c r="S480" t="s">
        <v>74</v>
      </c>
      <c r="T480" t="s">
        <v>9806</v>
      </c>
      <c r="U480" t="s">
        <v>9807</v>
      </c>
      <c r="V480" t="s">
        <v>9808</v>
      </c>
      <c r="W480" t="s">
        <v>9809</v>
      </c>
      <c r="X480" t="s">
        <v>9810</v>
      </c>
      <c r="Y480" t="s">
        <v>9811</v>
      </c>
      <c r="Z480" t="s">
        <v>9812</v>
      </c>
      <c r="AA480" t="s">
        <v>9813</v>
      </c>
      <c r="AB480" t="s">
        <v>9814</v>
      </c>
      <c r="AC480" t="s">
        <v>9815</v>
      </c>
      <c r="AD480" t="s">
        <v>9816</v>
      </c>
      <c r="AE480" t="s">
        <v>9817</v>
      </c>
      <c r="AF480" t="s">
        <v>74</v>
      </c>
      <c r="AG480">
        <v>95</v>
      </c>
      <c r="AH480">
        <v>7</v>
      </c>
      <c r="AI480">
        <v>7</v>
      </c>
      <c r="AJ480">
        <v>0</v>
      </c>
      <c r="AK480">
        <v>2</v>
      </c>
      <c r="AL480" t="s">
        <v>199</v>
      </c>
      <c r="AM480" t="s">
        <v>200</v>
      </c>
      <c r="AN480" t="s">
        <v>201</v>
      </c>
      <c r="AO480" t="s">
        <v>4083</v>
      </c>
      <c r="AP480" t="s">
        <v>4084</v>
      </c>
      <c r="AQ480" t="s">
        <v>74</v>
      </c>
      <c r="AR480" t="s">
        <v>4085</v>
      </c>
      <c r="AS480" t="s">
        <v>4086</v>
      </c>
      <c r="AT480" t="s">
        <v>7628</v>
      </c>
      <c r="AU480">
        <v>2022</v>
      </c>
      <c r="AV480">
        <v>324</v>
      </c>
      <c r="AW480" t="s">
        <v>74</v>
      </c>
      <c r="AX480" t="s">
        <v>74</v>
      </c>
      <c r="AY480" t="s">
        <v>74</v>
      </c>
      <c r="AZ480" t="s">
        <v>74</v>
      </c>
      <c r="BA480" t="s">
        <v>74</v>
      </c>
      <c r="BB480">
        <v>312</v>
      </c>
      <c r="BC480">
        <v>345</v>
      </c>
      <c r="BD480" t="s">
        <v>74</v>
      </c>
      <c r="BE480" t="s">
        <v>9818</v>
      </c>
      <c r="BF480" t="str">
        <f>HYPERLINK("http://dx.doi.org/10.1016/j.gca.2022.02.010","http://dx.doi.org/10.1016/j.gca.2022.02.010")</f>
        <v>http://dx.doi.org/10.1016/j.gca.2022.02.010</v>
      </c>
      <c r="BG480" t="s">
        <v>74</v>
      </c>
      <c r="BH480" t="s">
        <v>7987</v>
      </c>
      <c r="BI480">
        <v>34</v>
      </c>
      <c r="BJ480" t="s">
        <v>2144</v>
      </c>
      <c r="BK480" t="s">
        <v>101</v>
      </c>
      <c r="BL480" t="s">
        <v>2144</v>
      </c>
      <c r="BM480" t="s">
        <v>9784</v>
      </c>
      <c r="BN480" t="s">
        <v>74</v>
      </c>
      <c r="BO480" t="s">
        <v>74</v>
      </c>
      <c r="BP480" t="s">
        <v>74</v>
      </c>
      <c r="BQ480" t="s">
        <v>74</v>
      </c>
      <c r="BR480" t="s">
        <v>103</v>
      </c>
      <c r="BS480" t="s">
        <v>9819</v>
      </c>
      <c r="BT480" t="str">
        <f>HYPERLINK("https%3A%2F%2Fwww.webofscience.com%2Fwos%2Fwoscc%2Ffull-record%2FWOS:000802970500009","View Full Record in Web of Science")</f>
        <v>View Full Record in Web of Science</v>
      </c>
    </row>
    <row r="481" spans="1:72" x14ac:dyDescent="0.15">
      <c r="A481" t="s">
        <v>72</v>
      </c>
      <c r="B481" t="s">
        <v>9820</v>
      </c>
      <c r="C481" t="s">
        <v>74</v>
      </c>
      <c r="D481" t="s">
        <v>74</v>
      </c>
      <c r="E481" t="s">
        <v>74</v>
      </c>
      <c r="F481" t="s">
        <v>9821</v>
      </c>
      <c r="G481" t="s">
        <v>74</v>
      </c>
      <c r="H481" t="s">
        <v>74</v>
      </c>
      <c r="I481" t="s">
        <v>9822</v>
      </c>
      <c r="J481" t="s">
        <v>3260</v>
      </c>
      <c r="K481" t="s">
        <v>74</v>
      </c>
      <c r="L481" t="s">
        <v>74</v>
      </c>
      <c r="M481" t="s">
        <v>78</v>
      </c>
      <c r="N481" t="s">
        <v>79</v>
      </c>
      <c r="O481" t="s">
        <v>74</v>
      </c>
      <c r="P481" t="s">
        <v>74</v>
      </c>
      <c r="Q481" t="s">
        <v>74</v>
      </c>
      <c r="R481" t="s">
        <v>74</v>
      </c>
      <c r="S481" t="s">
        <v>74</v>
      </c>
      <c r="T481" t="s">
        <v>9823</v>
      </c>
      <c r="U481" t="s">
        <v>9824</v>
      </c>
      <c r="V481" t="s">
        <v>9825</v>
      </c>
      <c r="W481" t="s">
        <v>9826</v>
      </c>
      <c r="X481" t="s">
        <v>9827</v>
      </c>
      <c r="Y481" t="s">
        <v>9828</v>
      </c>
      <c r="Z481" t="s">
        <v>9829</v>
      </c>
      <c r="AA481" t="s">
        <v>9830</v>
      </c>
      <c r="AB481" t="s">
        <v>74</v>
      </c>
      <c r="AC481" t="s">
        <v>9831</v>
      </c>
      <c r="AD481" t="s">
        <v>9832</v>
      </c>
      <c r="AE481" t="s">
        <v>9833</v>
      </c>
      <c r="AF481" t="s">
        <v>74</v>
      </c>
      <c r="AG481">
        <v>50</v>
      </c>
      <c r="AH481">
        <v>2</v>
      </c>
      <c r="AI481">
        <v>2</v>
      </c>
      <c r="AJ481">
        <v>2</v>
      </c>
      <c r="AK481">
        <v>6</v>
      </c>
      <c r="AL481" t="s">
        <v>257</v>
      </c>
      <c r="AM481" t="s">
        <v>258</v>
      </c>
      <c r="AN481" t="s">
        <v>259</v>
      </c>
      <c r="AO481" t="s">
        <v>3273</v>
      </c>
      <c r="AP481" t="s">
        <v>3274</v>
      </c>
      <c r="AQ481" t="s">
        <v>74</v>
      </c>
      <c r="AR481" t="s">
        <v>3275</v>
      </c>
      <c r="AS481" t="s">
        <v>3276</v>
      </c>
      <c r="AT481" t="s">
        <v>7628</v>
      </c>
      <c r="AU481">
        <v>2022</v>
      </c>
      <c r="AV481">
        <v>585</v>
      </c>
      <c r="AW481" t="s">
        <v>74</v>
      </c>
      <c r="AX481" t="s">
        <v>74</v>
      </c>
      <c r="AY481" t="s">
        <v>74</v>
      </c>
      <c r="AZ481" t="s">
        <v>74</v>
      </c>
      <c r="BA481" t="s">
        <v>74</v>
      </c>
      <c r="BB481" t="s">
        <v>74</v>
      </c>
      <c r="BC481" t="s">
        <v>74</v>
      </c>
      <c r="BD481">
        <v>117528</v>
      </c>
      <c r="BE481" t="s">
        <v>9834</v>
      </c>
      <c r="BF481" t="str">
        <f>HYPERLINK("http://dx.doi.org/10.1016/j.epsl.2022.117528","http://dx.doi.org/10.1016/j.epsl.2022.117528")</f>
        <v>http://dx.doi.org/10.1016/j.epsl.2022.117528</v>
      </c>
      <c r="BG481" t="s">
        <v>74</v>
      </c>
      <c r="BH481" t="s">
        <v>7987</v>
      </c>
      <c r="BI481">
        <v>10</v>
      </c>
      <c r="BJ481" t="s">
        <v>2144</v>
      </c>
      <c r="BK481" t="s">
        <v>101</v>
      </c>
      <c r="BL481" t="s">
        <v>2144</v>
      </c>
      <c r="BM481" t="s">
        <v>9835</v>
      </c>
      <c r="BN481" t="s">
        <v>74</v>
      </c>
      <c r="BO481" t="s">
        <v>267</v>
      </c>
      <c r="BP481" t="s">
        <v>74</v>
      </c>
      <c r="BQ481" t="s">
        <v>74</v>
      </c>
      <c r="BR481" t="s">
        <v>103</v>
      </c>
      <c r="BS481" t="s">
        <v>9836</v>
      </c>
      <c r="BT481" t="str">
        <f>HYPERLINK("https%3A%2F%2Fwww.webofscience.com%2Fwos%2Fwoscc%2Ffull-record%2FWOS:000795744400011","View Full Record in Web of Science")</f>
        <v>View Full Record in Web of Science</v>
      </c>
    </row>
    <row r="482" spans="1:72" x14ac:dyDescent="0.15">
      <c r="A482" t="s">
        <v>72</v>
      </c>
      <c r="B482" t="s">
        <v>9837</v>
      </c>
      <c r="C482" t="s">
        <v>74</v>
      </c>
      <c r="D482" t="s">
        <v>74</v>
      </c>
      <c r="E482" t="s">
        <v>74</v>
      </c>
      <c r="F482" t="s">
        <v>9838</v>
      </c>
      <c r="G482" t="s">
        <v>74</v>
      </c>
      <c r="H482" t="s">
        <v>74</v>
      </c>
      <c r="I482" t="s">
        <v>9839</v>
      </c>
      <c r="J482" t="s">
        <v>9840</v>
      </c>
      <c r="K482" t="s">
        <v>74</v>
      </c>
      <c r="L482" t="s">
        <v>74</v>
      </c>
      <c r="M482" t="s">
        <v>78</v>
      </c>
      <c r="N482" t="s">
        <v>79</v>
      </c>
      <c r="O482" t="s">
        <v>74</v>
      </c>
      <c r="P482" t="s">
        <v>74</v>
      </c>
      <c r="Q482" t="s">
        <v>74</v>
      </c>
      <c r="R482" t="s">
        <v>74</v>
      </c>
      <c r="S482" t="s">
        <v>74</v>
      </c>
      <c r="T482" t="s">
        <v>9841</v>
      </c>
      <c r="U482" t="s">
        <v>9842</v>
      </c>
      <c r="V482" t="s">
        <v>9843</v>
      </c>
      <c r="W482" t="s">
        <v>9844</v>
      </c>
      <c r="X482" t="s">
        <v>9845</v>
      </c>
      <c r="Y482" t="s">
        <v>9846</v>
      </c>
      <c r="Z482" t="s">
        <v>74</v>
      </c>
      <c r="AA482" t="s">
        <v>9847</v>
      </c>
      <c r="AB482" t="s">
        <v>9848</v>
      </c>
      <c r="AC482" t="s">
        <v>9849</v>
      </c>
      <c r="AD482" t="s">
        <v>9850</v>
      </c>
      <c r="AE482" t="s">
        <v>9851</v>
      </c>
      <c r="AF482" t="s">
        <v>74</v>
      </c>
      <c r="AG482">
        <v>64</v>
      </c>
      <c r="AH482">
        <v>11</v>
      </c>
      <c r="AI482">
        <v>11</v>
      </c>
      <c r="AJ482">
        <v>8</v>
      </c>
      <c r="AK482">
        <v>56</v>
      </c>
      <c r="AL482" t="s">
        <v>257</v>
      </c>
      <c r="AM482" t="s">
        <v>258</v>
      </c>
      <c r="AN482" t="s">
        <v>259</v>
      </c>
      <c r="AO482" t="s">
        <v>9852</v>
      </c>
      <c r="AP482" t="s">
        <v>74</v>
      </c>
      <c r="AQ482" t="s">
        <v>74</v>
      </c>
      <c r="AR482" t="s">
        <v>9853</v>
      </c>
      <c r="AS482" t="s">
        <v>9854</v>
      </c>
      <c r="AT482" t="s">
        <v>537</v>
      </c>
      <c r="AU482">
        <v>2022</v>
      </c>
      <c r="AV482">
        <v>55</v>
      </c>
      <c r="AW482" t="s">
        <v>74</v>
      </c>
      <c r="AX482" t="s">
        <v>74</v>
      </c>
      <c r="AY482" t="s">
        <v>74</v>
      </c>
      <c r="AZ482" t="s">
        <v>74</v>
      </c>
      <c r="BA482" t="s">
        <v>74</v>
      </c>
      <c r="BB482" t="s">
        <v>74</v>
      </c>
      <c r="BC482" t="s">
        <v>74</v>
      </c>
      <c r="BD482">
        <v>101429</v>
      </c>
      <c r="BE482" t="s">
        <v>9855</v>
      </c>
      <c r="BF482" t="str">
        <f>HYPERLINK("http://dx.doi.org/10.1016/j.ecoser.2022.101429","http://dx.doi.org/10.1016/j.ecoser.2022.101429")</f>
        <v>http://dx.doi.org/10.1016/j.ecoser.2022.101429</v>
      </c>
      <c r="BG482" t="s">
        <v>74</v>
      </c>
      <c r="BH482" t="s">
        <v>7987</v>
      </c>
      <c r="BI482">
        <v>10</v>
      </c>
      <c r="BJ482" t="s">
        <v>9856</v>
      </c>
      <c r="BK482" t="s">
        <v>956</v>
      </c>
      <c r="BL482" t="s">
        <v>840</v>
      </c>
      <c r="BM482" t="s">
        <v>9857</v>
      </c>
      <c r="BN482" t="s">
        <v>74</v>
      </c>
      <c r="BO482" t="s">
        <v>74</v>
      </c>
      <c r="BP482" t="s">
        <v>74</v>
      </c>
      <c r="BQ482" t="s">
        <v>74</v>
      </c>
      <c r="BR482" t="s">
        <v>103</v>
      </c>
      <c r="BS482" t="s">
        <v>9858</v>
      </c>
      <c r="BT482" t="str">
        <f>HYPERLINK("https%3A%2F%2Fwww.webofscience.com%2Fwos%2Fwoscc%2Ffull-record%2FWOS:000795543300003","View Full Record in Web of Science")</f>
        <v>View Full Record in Web of Science</v>
      </c>
    </row>
    <row r="483" spans="1:72" x14ac:dyDescent="0.15">
      <c r="A483" t="s">
        <v>72</v>
      </c>
      <c r="B483" t="s">
        <v>9859</v>
      </c>
      <c r="C483" t="s">
        <v>74</v>
      </c>
      <c r="D483" t="s">
        <v>74</v>
      </c>
      <c r="E483" t="s">
        <v>74</v>
      </c>
      <c r="F483" t="s">
        <v>9860</v>
      </c>
      <c r="G483" t="s">
        <v>74</v>
      </c>
      <c r="H483" t="s">
        <v>74</v>
      </c>
      <c r="I483" t="s">
        <v>9861</v>
      </c>
      <c r="J483" t="s">
        <v>9862</v>
      </c>
      <c r="K483" t="s">
        <v>74</v>
      </c>
      <c r="L483" t="s">
        <v>74</v>
      </c>
      <c r="M483" t="s">
        <v>78</v>
      </c>
      <c r="N483" t="s">
        <v>79</v>
      </c>
      <c r="O483" t="s">
        <v>74</v>
      </c>
      <c r="P483" t="s">
        <v>74</v>
      </c>
      <c r="Q483" t="s">
        <v>74</v>
      </c>
      <c r="R483" t="s">
        <v>74</v>
      </c>
      <c r="S483" t="s">
        <v>74</v>
      </c>
      <c r="T483" t="s">
        <v>74</v>
      </c>
      <c r="U483" t="s">
        <v>74</v>
      </c>
      <c r="V483" t="s">
        <v>9863</v>
      </c>
      <c r="W483" t="s">
        <v>9864</v>
      </c>
      <c r="X483" t="s">
        <v>9865</v>
      </c>
      <c r="Y483" t="s">
        <v>9866</v>
      </c>
      <c r="Z483" t="s">
        <v>9867</v>
      </c>
      <c r="AA483" t="s">
        <v>9868</v>
      </c>
      <c r="AB483" t="s">
        <v>74</v>
      </c>
      <c r="AC483" t="s">
        <v>74</v>
      </c>
      <c r="AD483" t="s">
        <v>74</v>
      </c>
      <c r="AE483" t="s">
        <v>74</v>
      </c>
      <c r="AF483" t="s">
        <v>74</v>
      </c>
      <c r="AG483">
        <v>35</v>
      </c>
      <c r="AH483">
        <v>0</v>
      </c>
      <c r="AI483">
        <v>0</v>
      </c>
      <c r="AJ483">
        <v>1</v>
      </c>
      <c r="AK483">
        <v>6</v>
      </c>
      <c r="AL483" t="s">
        <v>199</v>
      </c>
      <c r="AM483" t="s">
        <v>200</v>
      </c>
      <c r="AN483" t="s">
        <v>201</v>
      </c>
      <c r="AO483" t="s">
        <v>9869</v>
      </c>
      <c r="AP483" t="s">
        <v>9870</v>
      </c>
      <c r="AQ483" t="s">
        <v>74</v>
      </c>
      <c r="AR483" t="s">
        <v>9871</v>
      </c>
      <c r="AS483" t="s">
        <v>9872</v>
      </c>
      <c r="AT483" t="s">
        <v>206</v>
      </c>
      <c r="AU483">
        <v>2022</v>
      </c>
      <c r="AV483">
        <v>125</v>
      </c>
      <c r="AW483" t="s">
        <v>74</v>
      </c>
      <c r="AX483" t="s">
        <v>74</v>
      </c>
      <c r="AY483" t="s">
        <v>74</v>
      </c>
      <c r="AZ483" t="s">
        <v>74</v>
      </c>
      <c r="BA483" t="s">
        <v>74</v>
      </c>
      <c r="BB483" t="s">
        <v>74</v>
      </c>
      <c r="BC483" t="s">
        <v>74</v>
      </c>
      <c r="BD483">
        <v>104455</v>
      </c>
      <c r="BE483" t="s">
        <v>9873</v>
      </c>
      <c r="BF483" t="str">
        <f>HYPERLINK("http://dx.doi.org/10.1016/j.tust.2022.104455","http://dx.doi.org/10.1016/j.tust.2022.104455")</f>
        <v>http://dx.doi.org/10.1016/j.tust.2022.104455</v>
      </c>
      <c r="BG483" t="s">
        <v>74</v>
      </c>
      <c r="BH483" t="s">
        <v>7987</v>
      </c>
      <c r="BI483">
        <v>11</v>
      </c>
      <c r="BJ483" t="s">
        <v>9874</v>
      </c>
      <c r="BK483" t="s">
        <v>101</v>
      </c>
      <c r="BL483" t="s">
        <v>9875</v>
      </c>
      <c r="BM483" t="s">
        <v>9876</v>
      </c>
      <c r="BN483" t="s">
        <v>74</v>
      </c>
      <c r="BO483" t="s">
        <v>74</v>
      </c>
      <c r="BP483" t="s">
        <v>74</v>
      </c>
      <c r="BQ483" t="s">
        <v>74</v>
      </c>
      <c r="BR483" t="s">
        <v>103</v>
      </c>
      <c r="BS483" t="s">
        <v>9877</v>
      </c>
      <c r="BT483" t="str">
        <f>HYPERLINK("https%3A%2F%2Fwww.webofscience.com%2Fwos%2Fwoscc%2Ffull-record%2FWOS:000793703900002","View Full Record in Web of Science")</f>
        <v>View Full Record in Web of Science</v>
      </c>
    </row>
    <row r="484" spans="1:72" x14ac:dyDescent="0.15">
      <c r="A484" t="s">
        <v>72</v>
      </c>
      <c r="B484" t="s">
        <v>9878</v>
      </c>
      <c r="C484" t="s">
        <v>74</v>
      </c>
      <c r="D484" t="s">
        <v>74</v>
      </c>
      <c r="E484" t="s">
        <v>74</v>
      </c>
      <c r="F484" t="s">
        <v>9879</v>
      </c>
      <c r="G484" t="s">
        <v>74</v>
      </c>
      <c r="H484" t="s">
        <v>74</v>
      </c>
      <c r="I484" t="s">
        <v>9880</v>
      </c>
      <c r="J484" t="s">
        <v>9584</v>
      </c>
      <c r="K484" t="s">
        <v>74</v>
      </c>
      <c r="L484" t="s">
        <v>74</v>
      </c>
      <c r="M484" t="s">
        <v>78</v>
      </c>
      <c r="N484" t="s">
        <v>161</v>
      </c>
      <c r="O484" t="s">
        <v>74</v>
      </c>
      <c r="P484" t="s">
        <v>74</v>
      </c>
      <c r="Q484" t="s">
        <v>74</v>
      </c>
      <c r="R484" t="s">
        <v>74</v>
      </c>
      <c r="S484" t="s">
        <v>74</v>
      </c>
      <c r="T484" t="s">
        <v>9881</v>
      </c>
      <c r="U484" t="s">
        <v>9882</v>
      </c>
      <c r="V484" t="s">
        <v>9883</v>
      </c>
      <c r="W484" t="s">
        <v>9884</v>
      </c>
      <c r="X484" t="s">
        <v>9885</v>
      </c>
      <c r="Y484" t="s">
        <v>9886</v>
      </c>
      <c r="Z484" t="s">
        <v>9887</v>
      </c>
      <c r="AA484" t="s">
        <v>9888</v>
      </c>
      <c r="AB484" t="s">
        <v>9889</v>
      </c>
      <c r="AC484" t="s">
        <v>74</v>
      </c>
      <c r="AD484" t="s">
        <v>74</v>
      </c>
      <c r="AE484" t="s">
        <v>74</v>
      </c>
      <c r="AF484" t="s">
        <v>74</v>
      </c>
      <c r="AG484">
        <v>250</v>
      </c>
      <c r="AH484">
        <v>10</v>
      </c>
      <c r="AI484">
        <v>11</v>
      </c>
      <c r="AJ484">
        <v>4</v>
      </c>
      <c r="AK484">
        <v>35</v>
      </c>
      <c r="AL484" t="s">
        <v>91</v>
      </c>
      <c r="AM484" t="s">
        <v>92</v>
      </c>
      <c r="AN484" t="s">
        <v>93</v>
      </c>
      <c r="AO484" t="s">
        <v>9597</v>
      </c>
      <c r="AP484" t="s">
        <v>9598</v>
      </c>
      <c r="AQ484" t="s">
        <v>74</v>
      </c>
      <c r="AR484" t="s">
        <v>9599</v>
      </c>
      <c r="AS484" t="s">
        <v>9600</v>
      </c>
      <c r="AT484" t="s">
        <v>537</v>
      </c>
      <c r="AU484">
        <v>2022</v>
      </c>
      <c r="AV484">
        <v>91</v>
      </c>
      <c r="AW484">
        <v>6</v>
      </c>
      <c r="AX484" t="s">
        <v>74</v>
      </c>
      <c r="AY484" t="s">
        <v>74</v>
      </c>
      <c r="AZ484" t="s">
        <v>74</v>
      </c>
      <c r="BA484" t="s">
        <v>74</v>
      </c>
      <c r="BB484">
        <v>1266</v>
      </c>
      <c r="BC484">
        <v>1289</v>
      </c>
      <c r="BD484" t="s">
        <v>74</v>
      </c>
      <c r="BE484" t="s">
        <v>9890</v>
      </c>
      <c r="BF484" t="str">
        <f>HYPERLINK("http://dx.doi.org/10.1111/1365-2656.13699","http://dx.doi.org/10.1111/1365-2656.13699")</f>
        <v>http://dx.doi.org/10.1111/1365-2656.13699</v>
      </c>
      <c r="BG484" t="s">
        <v>74</v>
      </c>
      <c r="BH484" t="s">
        <v>7987</v>
      </c>
      <c r="BI484">
        <v>24</v>
      </c>
      <c r="BJ484" t="s">
        <v>9602</v>
      </c>
      <c r="BK484" t="s">
        <v>101</v>
      </c>
      <c r="BL484" t="s">
        <v>9603</v>
      </c>
      <c r="BM484" t="s">
        <v>9891</v>
      </c>
      <c r="BN484">
        <v>35395097</v>
      </c>
      <c r="BO484" t="s">
        <v>2709</v>
      </c>
      <c r="BP484" t="s">
        <v>74</v>
      </c>
      <c r="BQ484" t="s">
        <v>74</v>
      </c>
      <c r="BR484" t="s">
        <v>103</v>
      </c>
      <c r="BS484" t="s">
        <v>9892</v>
      </c>
      <c r="BT484" t="str">
        <f>HYPERLINK("https%3A%2F%2Fwww.webofscience.com%2Fwos%2Fwoscc%2Ffull-record%2FWOS:000782670300001","View Full Record in Web of Science")</f>
        <v>View Full Record in Web of Science</v>
      </c>
    </row>
    <row r="485" spans="1:72" x14ac:dyDescent="0.15">
      <c r="A485" t="s">
        <v>72</v>
      </c>
      <c r="B485" t="s">
        <v>9893</v>
      </c>
      <c r="C485" t="s">
        <v>74</v>
      </c>
      <c r="D485" t="s">
        <v>74</v>
      </c>
      <c r="E485" t="s">
        <v>74</v>
      </c>
      <c r="F485" t="s">
        <v>9894</v>
      </c>
      <c r="G485" t="s">
        <v>74</v>
      </c>
      <c r="H485" t="s">
        <v>74</v>
      </c>
      <c r="I485" t="s">
        <v>9895</v>
      </c>
      <c r="J485" t="s">
        <v>517</v>
      </c>
      <c r="K485" t="s">
        <v>74</v>
      </c>
      <c r="L485" t="s">
        <v>74</v>
      </c>
      <c r="M485" t="s">
        <v>78</v>
      </c>
      <c r="N485" t="s">
        <v>79</v>
      </c>
      <c r="O485" t="s">
        <v>74</v>
      </c>
      <c r="P485" t="s">
        <v>74</v>
      </c>
      <c r="Q485" t="s">
        <v>74</v>
      </c>
      <c r="R485" t="s">
        <v>74</v>
      </c>
      <c r="S485" t="s">
        <v>74</v>
      </c>
      <c r="T485" t="s">
        <v>9896</v>
      </c>
      <c r="U485" t="s">
        <v>9897</v>
      </c>
      <c r="V485" t="s">
        <v>9898</v>
      </c>
      <c r="W485" t="s">
        <v>9899</v>
      </c>
      <c r="X485" t="s">
        <v>9900</v>
      </c>
      <c r="Y485" t="s">
        <v>9901</v>
      </c>
      <c r="Z485" t="s">
        <v>2637</v>
      </c>
      <c r="AA485" t="s">
        <v>9902</v>
      </c>
      <c r="AB485" t="s">
        <v>9903</v>
      </c>
      <c r="AC485" t="s">
        <v>9904</v>
      </c>
      <c r="AD485" t="s">
        <v>9905</v>
      </c>
      <c r="AE485" t="s">
        <v>9906</v>
      </c>
      <c r="AF485" t="s">
        <v>74</v>
      </c>
      <c r="AG485">
        <v>97</v>
      </c>
      <c r="AH485">
        <v>10</v>
      </c>
      <c r="AI485">
        <v>10</v>
      </c>
      <c r="AJ485">
        <v>6</v>
      </c>
      <c r="AK485">
        <v>23</v>
      </c>
      <c r="AL485" t="s">
        <v>530</v>
      </c>
      <c r="AM485" t="s">
        <v>531</v>
      </c>
      <c r="AN485" t="s">
        <v>532</v>
      </c>
      <c r="AO485" t="s">
        <v>533</v>
      </c>
      <c r="AP485" t="s">
        <v>534</v>
      </c>
      <c r="AQ485" t="s">
        <v>74</v>
      </c>
      <c r="AR485" t="s">
        <v>535</v>
      </c>
      <c r="AS485" t="s">
        <v>536</v>
      </c>
      <c r="AT485" t="s">
        <v>5076</v>
      </c>
      <c r="AU485">
        <v>2022</v>
      </c>
      <c r="AV485">
        <v>45</v>
      </c>
      <c r="AW485">
        <v>5</v>
      </c>
      <c r="AX485" t="s">
        <v>74</v>
      </c>
      <c r="AY485" t="s">
        <v>74</v>
      </c>
      <c r="AZ485" t="s">
        <v>74</v>
      </c>
      <c r="BA485" t="s">
        <v>74</v>
      </c>
      <c r="BB485">
        <v>857</v>
      </c>
      <c r="BC485">
        <v>871</v>
      </c>
      <c r="BD485" t="s">
        <v>74</v>
      </c>
      <c r="BE485" t="s">
        <v>9907</v>
      </c>
      <c r="BF485" t="str">
        <f>HYPERLINK("http://dx.doi.org/10.1007/s00300-022-03039-y","http://dx.doi.org/10.1007/s00300-022-03039-y")</f>
        <v>http://dx.doi.org/10.1007/s00300-022-03039-y</v>
      </c>
      <c r="BG485" t="s">
        <v>74</v>
      </c>
      <c r="BH485" t="s">
        <v>7987</v>
      </c>
      <c r="BI485">
        <v>15</v>
      </c>
      <c r="BJ485" t="s">
        <v>539</v>
      </c>
      <c r="BK485" t="s">
        <v>101</v>
      </c>
      <c r="BL485" t="s">
        <v>540</v>
      </c>
      <c r="BM485" t="s">
        <v>8883</v>
      </c>
      <c r="BN485">
        <v>35673679</v>
      </c>
      <c r="BO485" t="s">
        <v>465</v>
      </c>
      <c r="BP485" t="s">
        <v>74</v>
      </c>
      <c r="BQ485" t="s">
        <v>74</v>
      </c>
      <c r="BR485" t="s">
        <v>103</v>
      </c>
      <c r="BS485" t="s">
        <v>9908</v>
      </c>
      <c r="BT485" t="str">
        <f>HYPERLINK("https%3A%2F%2Fwww.webofscience.com%2Fwos%2Fwoscc%2Ffull-record%2FWOS:000782742700001","View Full Record in Web of Science")</f>
        <v>View Full Record in Web of Science</v>
      </c>
    </row>
    <row r="486" spans="1:72" x14ac:dyDescent="0.15">
      <c r="A486" t="s">
        <v>72</v>
      </c>
      <c r="B486" t="s">
        <v>9909</v>
      </c>
      <c r="C486" t="s">
        <v>74</v>
      </c>
      <c r="D486" t="s">
        <v>74</v>
      </c>
      <c r="E486" t="s">
        <v>74</v>
      </c>
      <c r="F486" t="s">
        <v>9910</v>
      </c>
      <c r="G486" t="s">
        <v>74</v>
      </c>
      <c r="H486" t="s">
        <v>74</v>
      </c>
      <c r="I486" t="s">
        <v>9911</v>
      </c>
      <c r="J486" t="s">
        <v>9912</v>
      </c>
      <c r="K486" t="s">
        <v>74</v>
      </c>
      <c r="L486" t="s">
        <v>74</v>
      </c>
      <c r="M486" t="s">
        <v>78</v>
      </c>
      <c r="N486" t="s">
        <v>79</v>
      </c>
      <c r="O486" t="s">
        <v>74</v>
      </c>
      <c r="P486" t="s">
        <v>74</v>
      </c>
      <c r="Q486" t="s">
        <v>74</v>
      </c>
      <c r="R486" t="s">
        <v>74</v>
      </c>
      <c r="S486" t="s">
        <v>74</v>
      </c>
      <c r="T486" t="s">
        <v>9913</v>
      </c>
      <c r="U486" t="s">
        <v>9914</v>
      </c>
      <c r="V486" t="s">
        <v>9915</v>
      </c>
      <c r="W486" t="s">
        <v>9916</v>
      </c>
      <c r="X486" t="s">
        <v>9917</v>
      </c>
      <c r="Y486" t="s">
        <v>9918</v>
      </c>
      <c r="Z486" t="s">
        <v>9919</v>
      </c>
      <c r="AA486" t="s">
        <v>9920</v>
      </c>
      <c r="AB486" t="s">
        <v>9921</v>
      </c>
      <c r="AC486" t="s">
        <v>9922</v>
      </c>
      <c r="AD486" t="s">
        <v>9923</v>
      </c>
      <c r="AE486" t="s">
        <v>9924</v>
      </c>
      <c r="AF486" t="s">
        <v>74</v>
      </c>
      <c r="AG486">
        <v>90</v>
      </c>
      <c r="AH486">
        <v>6</v>
      </c>
      <c r="AI486">
        <v>6</v>
      </c>
      <c r="AJ486">
        <v>2</v>
      </c>
      <c r="AK486">
        <v>8</v>
      </c>
      <c r="AL486" t="s">
        <v>257</v>
      </c>
      <c r="AM486" t="s">
        <v>258</v>
      </c>
      <c r="AN486" t="s">
        <v>259</v>
      </c>
      <c r="AO486" t="s">
        <v>9925</v>
      </c>
      <c r="AP486" t="s">
        <v>9926</v>
      </c>
      <c r="AQ486" t="s">
        <v>74</v>
      </c>
      <c r="AR486" t="s">
        <v>9927</v>
      </c>
      <c r="AS486" t="s">
        <v>9928</v>
      </c>
      <c r="AT486" t="s">
        <v>206</v>
      </c>
      <c r="AU486">
        <v>2022</v>
      </c>
      <c r="AV486">
        <v>231</v>
      </c>
      <c r="AW486" t="s">
        <v>74</v>
      </c>
      <c r="AX486" t="s">
        <v>74</v>
      </c>
      <c r="AY486" t="s">
        <v>74</v>
      </c>
      <c r="AZ486" t="s">
        <v>74</v>
      </c>
      <c r="BA486" t="s">
        <v>74</v>
      </c>
      <c r="BB486" t="s">
        <v>74</v>
      </c>
      <c r="BC486" t="s">
        <v>74</v>
      </c>
      <c r="BD486">
        <v>103734</v>
      </c>
      <c r="BE486" t="s">
        <v>9929</v>
      </c>
      <c r="BF486" t="str">
        <f>HYPERLINK("http://dx.doi.org/10.1016/j.jmarsys.2022.103734","http://dx.doi.org/10.1016/j.jmarsys.2022.103734")</f>
        <v>http://dx.doi.org/10.1016/j.jmarsys.2022.103734</v>
      </c>
      <c r="BG486" t="s">
        <v>74</v>
      </c>
      <c r="BH486" t="s">
        <v>7987</v>
      </c>
      <c r="BI486">
        <v>18</v>
      </c>
      <c r="BJ486" t="s">
        <v>9930</v>
      </c>
      <c r="BK486" t="s">
        <v>101</v>
      </c>
      <c r="BL486" t="s">
        <v>9931</v>
      </c>
      <c r="BM486" t="s">
        <v>9932</v>
      </c>
      <c r="BN486" t="s">
        <v>74</v>
      </c>
      <c r="BO486" t="s">
        <v>1033</v>
      </c>
      <c r="BP486" t="s">
        <v>74</v>
      </c>
      <c r="BQ486" t="s">
        <v>74</v>
      </c>
      <c r="BR486" t="s">
        <v>103</v>
      </c>
      <c r="BS486" t="s">
        <v>9933</v>
      </c>
      <c r="BT486" t="str">
        <f>HYPERLINK("https%3A%2F%2Fwww.webofscience.com%2Fwos%2Fwoscc%2Ffull-record%2FWOS:000807740700003","View Full Record in Web of Science")</f>
        <v>View Full Record in Web of Science</v>
      </c>
    </row>
    <row r="487" spans="1:72" x14ac:dyDescent="0.15">
      <c r="A487" t="s">
        <v>72</v>
      </c>
      <c r="B487" t="s">
        <v>9934</v>
      </c>
      <c r="C487" t="s">
        <v>74</v>
      </c>
      <c r="D487" t="s">
        <v>74</v>
      </c>
      <c r="E487" t="s">
        <v>74</v>
      </c>
      <c r="F487" t="s">
        <v>9935</v>
      </c>
      <c r="G487" t="s">
        <v>74</v>
      </c>
      <c r="H487" t="s">
        <v>74</v>
      </c>
      <c r="I487" t="s">
        <v>9936</v>
      </c>
      <c r="J487" t="s">
        <v>9937</v>
      </c>
      <c r="K487" t="s">
        <v>74</v>
      </c>
      <c r="L487" t="s">
        <v>74</v>
      </c>
      <c r="M487" t="s">
        <v>78</v>
      </c>
      <c r="N487" t="s">
        <v>79</v>
      </c>
      <c r="O487" t="s">
        <v>74</v>
      </c>
      <c r="P487" t="s">
        <v>74</v>
      </c>
      <c r="Q487" t="s">
        <v>74</v>
      </c>
      <c r="R487" t="s">
        <v>74</v>
      </c>
      <c r="S487" t="s">
        <v>74</v>
      </c>
      <c r="T487" t="s">
        <v>9938</v>
      </c>
      <c r="U487" t="s">
        <v>9939</v>
      </c>
      <c r="V487" t="s">
        <v>9940</v>
      </c>
      <c r="W487" t="s">
        <v>9941</v>
      </c>
      <c r="X487" t="s">
        <v>9942</v>
      </c>
      <c r="Y487" t="s">
        <v>9943</v>
      </c>
      <c r="Z487" t="s">
        <v>9944</v>
      </c>
      <c r="AA487" t="s">
        <v>74</v>
      </c>
      <c r="AB487" t="s">
        <v>74</v>
      </c>
      <c r="AC487" t="s">
        <v>9945</v>
      </c>
      <c r="AD487" t="s">
        <v>9946</v>
      </c>
      <c r="AE487" t="s">
        <v>9947</v>
      </c>
      <c r="AF487" t="s">
        <v>74</v>
      </c>
      <c r="AG487">
        <v>53</v>
      </c>
      <c r="AH487">
        <v>3</v>
      </c>
      <c r="AI487">
        <v>4</v>
      </c>
      <c r="AJ487">
        <v>0</v>
      </c>
      <c r="AK487">
        <v>3</v>
      </c>
      <c r="AL487" t="s">
        <v>1023</v>
      </c>
      <c r="AM487" t="s">
        <v>1024</v>
      </c>
      <c r="AN487" t="s">
        <v>1025</v>
      </c>
      <c r="AO487" t="s">
        <v>9948</v>
      </c>
      <c r="AP487" t="s">
        <v>9949</v>
      </c>
      <c r="AQ487" t="s">
        <v>74</v>
      </c>
      <c r="AR487" t="s">
        <v>9950</v>
      </c>
      <c r="AS487" t="s">
        <v>9951</v>
      </c>
      <c r="AT487" t="s">
        <v>9952</v>
      </c>
      <c r="AU487">
        <v>2022</v>
      </c>
      <c r="AV487">
        <v>124</v>
      </c>
      <c r="AW487">
        <v>3</v>
      </c>
      <c r="AX487" t="s">
        <v>74</v>
      </c>
      <c r="AY487" t="s">
        <v>74</v>
      </c>
      <c r="AZ487" t="s">
        <v>74</v>
      </c>
      <c r="BA487" t="s">
        <v>74</v>
      </c>
      <c r="BB487" t="s">
        <v>74</v>
      </c>
      <c r="BC487" t="s">
        <v>74</v>
      </c>
      <c r="BD487" t="s">
        <v>74</v>
      </c>
      <c r="BE487" t="s">
        <v>9953</v>
      </c>
      <c r="BF487" t="str">
        <f>HYPERLINK("http://dx.doi.org/10.1093/ornithapp/duac014","http://dx.doi.org/10.1093/ornithapp/duac014")</f>
        <v>http://dx.doi.org/10.1093/ornithapp/duac014</v>
      </c>
      <c r="BG487" t="s">
        <v>74</v>
      </c>
      <c r="BH487" t="s">
        <v>7987</v>
      </c>
      <c r="BI487">
        <v>13</v>
      </c>
      <c r="BJ487" t="s">
        <v>4470</v>
      </c>
      <c r="BK487" t="s">
        <v>101</v>
      </c>
      <c r="BL487" t="s">
        <v>1054</v>
      </c>
      <c r="BM487" t="s">
        <v>9954</v>
      </c>
      <c r="BN487" t="s">
        <v>74</v>
      </c>
      <c r="BO487" t="s">
        <v>74</v>
      </c>
      <c r="BP487" t="s">
        <v>74</v>
      </c>
      <c r="BQ487" t="s">
        <v>74</v>
      </c>
      <c r="BR487" t="s">
        <v>103</v>
      </c>
      <c r="BS487" t="s">
        <v>9955</v>
      </c>
      <c r="BT487" t="str">
        <f>HYPERLINK("https%3A%2F%2Fwww.webofscience.com%2Fwos%2Fwoscc%2Ffull-record%2FWOS:000805233400001","View Full Record in Web of Science")</f>
        <v>View Full Record in Web of Science</v>
      </c>
    </row>
    <row r="488" spans="1:72" x14ac:dyDescent="0.15">
      <c r="A488" t="s">
        <v>72</v>
      </c>
      <c r="B488" t="s">
        <v>9956</v>
      </c>
      <c r="C488" t="s">
        <v>74</v>
      </c>
      <c r="D488" t="s">
        <v>74</v>
      </c>
      <c r="E488" t="s">
        <v>74</v>
      </c>
      <c r="F488" t="s">
        <v>9957</v>
      </c>
      <c r="G488" t="s">
        <v>74</v>
      </c>
      <c r="H488" t="s">
        <v>74</v>
      </c>
      <c r="I488" t="s">
        <v>9958</v>
      </c>
      <c r="J488" t="s">
        <v>9959</v>
      </c>
      <c r="K488" t="s">
        <v>74</v>
      </c>
      <c r="L488" t="s">
        <v>74</v>
      </c>
      <c r="M488" t="s">
        <v>78</v>
      </c>
      <c r="N488" t="s">
        <v>79</v>
      </c>
      <c r="O488" t="s">
        <v>74</v>
      </c>
      <c r="P488" t="s">
        <v>74</v>
      </c>
      <c r="Q488" t="s">
        <v>74</v>
      </c>
      <c r="R488" t="s">
        <v>74</v>
      </c>
      <c r="S488" t="s">
        <v>74</v>
      </c>
      <c r="T488" t="s">
        <v>9960</v>
      </c>
      <c r="U488" t="s">
        <v>9961</v>
      </c>
      <c r="V488" t="s">
        <v>9962</v>
      </c>
      <c r="W488" t="s">
        <v>9963</v>
      </c>
      <c r="X488" t="s">
        <v>9964</v>
      </c>
      <c r="Y488" t="s">
        <v>9965</v>
      </c>
      <c r="Z488" t="s">
        <v>9966</v>
      </c>
      <c r="AA488" t="s">
        <v>9967</v>
      </c>
      <c r="AB488" t="s">
        <v>9968</v>
      </c>
      <c r="AC488" t="s">
        <v>9969</v>
      </c>
      <c r="AD488" t="s">
        <v>9970</v>
      </c>
      <c r="AE488" t="s">
        <v>9971</v>
      </c>
      <c r="AF488" t="s">
        <v>74</v>
      </c>
      <c r="AG488">
        <v>44</v>
      </c>
      <c r="AH488">
        <v>7</v>
      </c>
      <c r="AI488">
        <v>7</v>
      </c>
      <c r="AJ488">
        <v>1</v>
      </c>
      <c r="AK488">
        <v>7</v>
      </c>
      <c r="AL488" t="s">
        <v>285</v>
      </c>
      <c r="AM488" t="s">
        <v>286</v>
      </c>
      <c r="AN488" t="s">
        <v>287</v>
      </c>
      <c r="AO488" t="s">
        <v>9972</v>
      </c>
      <c r="AP488" t="s">
        <v>74</v>
      </c>
      <c r="AQ488" t="s">
        <v>74</v>
      </c>
      <c r="AR488" t="s">
        <v>9973</v>
      </c>
      <c r="AS488" t="s">
        <v>9974</v>
      </c>
      <c r="AT488" t="s">
        <v>9975</v>
      </c>
      <c r="AU488">
        <v>2022</v>
      </c>
      <c r="AV488">
        <v>13</v>
      </c>
      <c r="AW488" t="s">
        <v>74</v>
      </c>
      <c r="AX488" t="s">
        <v>74</v>
      </c>
      <c r="AY488" t="s">
        <v>74</v>
      </c>
      <c r="AZ488" t="s">
        <v>74</v>
      </c>
      <c r="BA488" t="s">
        <v>74</v>
      </c>
      <c r="BB488" t="s">
        <v>74</v>
      </c>
      <c r="BC488" t="s">
        <v>74</v>
      </c>
      <c r="BD488">
        <v>849752</v>
      </c>
      <c r="BE488" t="s">
        <v>9976</v>
      </c>
      <c r="BF488" t="str">
        <f>HYPERLINK("http://dx.doi.org/10.3389/fimmu.2022.849752","http://dx.doi.org/10.3389/fimmu.2022.849752")</f>
        <v>http://dx.doi.org/10.3389/fimmu.2022.849752</v>
      </c>
      <c r="BG488" t="s">
        <v>74</v>
      </c>
      <c r="BH488" t="s">
        <v>74</v>
      </c>
      <c r="BI488">
        <v>8</v>
      </c>
      <c r="BJ488" t="s">
        <v>9977</v>
      </c>
      <c r="BK488" t="s">
        <v>101</v>
      </c>
      <c r="BL488" t="s">
        <v>9977</v>
      </c>
      <c r="BM488" t="s">
        <v>9978</v>
      </c>
      <c r="BN488">
        <v>35493529</v>
      </c>
      <c r="BO488" t="s">
        <v>295</v>
      </c>
      <c r="BP488" t="s">
        <v>74</v>
      </c>
      <c r="BQ488" t="s">
        <v>74</v>
      </c>
      <c r="BR488" t="s">
        <v>103</v>
      </c>
      <c r="BS488" t="s">
        <v>9979</v>
      </c>
      <c r="BT488" t="str">
        <f>HYPERLINK("https%3A%2F%2Fwww.webofscience.com%2Fwos%2Fwoscc%2Ffull-record%2FWOS:000796251400001","View Full Record in Web of Science")</f>
        <v>View Full Record in Web of Science</v>
      </c>
    </row>
    <row r="489" spans="1:72" x14ac:dyDescent="0.15">
      <c r="A489" t="s">
        <v>72</v>
      </c>
      <c r="B489" t="s">
        <v>9980</v>
      </c>
      <c r="C489" t="s">
        <v>74</v>
      </c>
      <c r="D489" t="s">
        <v>74</v>
      </c>
      <c r="E489" t="s">
        <v>74</v>
      </c>
      <c r="F489" t="s">
        <v>9981</v>
      </c>
      <c r="G489" t="s">
        <v>74</v>
      </c>
      <c r="H489" t="s">
        <v>74</v>
      </c>
      <c r="I489" t="s">
        <v>9982</v>
      </c>
      <c r="J489" t="s">
        <v>9983</v>
      </c>
      <c r="K489" t="s">
        <v>74</v>
      </c>
      <c r="L489" t="s">
        <v>74</v>
      </c>
      <c r="M489" t="s">
        <v>78</v>
      </c>
      <c r="N489" t="s">
        <v>79</v>
      </c>
      <c r="O489" t="s">
        <v>74</v>
      </c>
      <c r="P489" t="s">
        <v>74</v>
      </c>
      <c r="Q489" t="s">
        <v>74</v>
      </c>
      <c r="R489" t="s">
        <v>74</v>
      </c>
      <c r="S489" t="s">
        <v>74</v>
      </c>
      <c r="T489" t="s">
        <v>9984</v>
      </c>
      <c r="U489" t="s">
        <v>9985</v>
      </c>
      <c r="V489" t="s">
        <v>9986</v>
      </c>
      <c r="W489" t="s">
        <v>9987</v>
      </c>
      <c r="X489" t="s">
        <v>893</v>
      </c>
      <c r="Y489" t="s">
        <v>9988</v>
      </c>
      <c r="Z489" t="s">
        <v>9989</v>
      </c>
      <c r="AA489" t="s">
        <v>9990</v>
      </c>
      <c r="AB489" t="s">
        <v>9991</v>
      </c>
      <c r="AC489" t="s">
        <v>5182</v>
      </c>
      <c r="AD489" t="s">
        <v>5182</v>
      </c>
      <c r="AE489" t="s">
        <v>9992</v>
      </c>
      <c r="AF489" t="s">
        <v>74</v>
      </c>
      <c r="AG489">
        <v>50</v>
      </c>
      <c r="AH489">
        <v>1</v>
      </c>
      <c r="AI489">
        <v>1</v>
      </c>
      <c r="AJ489">
        <v>2</v>
      </c>
      <c r="AK489">
        <v>7</v>
      </c>
      <c r="AL489" t="s">
        <v>9679</v>
      </c>
      <c r="AM489" t="s">
        <v>4863</v>
      </c>
      <c r="AN489" t="s">
        <v>9680</v>
      </c>
      <c r="AO489" t="s">
        <v>9993</v>
      </c>
      <c r="AP489" t="s">
        <v>9994</v>
      </c>
      <c r="AQ489" t="s">
        <v>74</v>
      </c>
      <c r="AR489" t="s">
        <v>9995</v>
      </c>
      <c r="AS489" t="s">
        <v>9996</v>
      </c>
      <c r="AT489" t="s">
        <v>9997</v>
      </c>
      <c r="AU489">
        <v>2023</v>
      </c>
      <c r="AV489">
        <v>30</v>
      </c>
      <c r="AW489">
        <v>8</v>
      </c>
      <c r="AX489" t="s">
        <v>74</v>
      </c>
      <c r="AY489" t="s">
        <v>74</v>
      </c>
      <c r="AZ489" t="s">
        <v>74</v>
      </c>
      <c r="BA489" t="s">
        <v>74</v>
      </c>
      <c r="BB489">
        <v>1083</v>
      </c>
      <c r="BC489">
        <v>1103</v>
      </c>
      <c r="BD489" t="s">
        <v>74</v>
      </c>
      <c r="BE489" t="s">
        <v>9998</v>
      </c>
      <c r="BF489" t="str">
        <f>HYPERLINK("http://dx.doi.org/10.1080/0966369X.2022.2066635","http://dx.doi.org/10.1080/0966369X.2022.2066635")</f>
        <v>http://dx.doi.org/10.1080/0966369X.2022.2066635</v>
      </c>
      <c r="BG489" t="s">
        <v>74</v>
      </c>
      <c r="BH489" t="s">
        <v>7987</v>
      </c>
      <c r="BI489">
        <v>21</v>
      </c>
      <c r="BJ489" t="s">
        <v>9999</v>
      </c>
      <c r="BK489" t="s">
        <v>9665</v>
      </c>
      <c r="BL489" t="s">
        <v>9999</v>
      </c>
      <c r="BM489" t="s">
        <v>10000</v>
      </c>
      <c r="BN489" t="s">
        <v>74</v>
      </c>
      <c r="BO489" t="s">
        <v>74</v>
      </c>
      <c r="BP489" t="s">
        <v>74</v>
      </c>
      <c r="BQ489" t="s">
        <v>74</v>
      </c>
      <c r="BR489" t="s">
        <v>103</v>
      </c>
      <c r="BS489" t="s">
        <v>10001</v>
      </c>
      <c r="BT489" t="str">
        <f>HYPERLINK("https%3A%2F%2Fwww.webofscience.com%2Fwos%2Fwoscc%2Ffull-record%2FWOS:000794281900001","View Full Record in Web of Science")</f>
        <v>View Full Record in Web of Science</v>
      </c>
    </row>
    <row r="490" spans="1:72" x14ac:dyDescent="0.15">
      <c r="A490" t="s">
        <v>72</v>
      </c>
      <c r="B490" t="s">
        <v>10002</v>
      </c>
      <c r="C490" t="s">
        <v>74</v>
      </c>
      <c r="D490" t="s">
        <v>74</v>
      </c>
      <c r="E490" t="s">
        <v>74</v>
      </c>
      <c r="F490" t="s">
        <v>10003</v>
      </c>
      <c r="G490" t="s">
        <v>74</v>
      </c>
      <c r="H490" t="s">
        <v>74</v>
      </c>
      <c r="I490" t="s">
        <v>10004</v>
      </c>
      <c r="J490" t="s">
        <v>3837</v>
      </c>
      <c r="K490" t="s">
        <v>74</v>
      </c>
      <c r="L490" t="s">
        <v>74</v>
      </c>
      <c r="M490" t="s">
        <v>78</v>
      </c>
      <c r="N490" t="s">
        <v>79</v>
      </c>
      <c r="O490" t="s">
        <v>74</v>
      </c>
      <c r="P490" t="s">
        <v>74</v>
      </c>
      <c r="Q490" t="s">
        <v>74</v>
      </c>
      <c r="R490" t="s">
        <v>74</v>
      </c>
      <c r="S490" t="s">
        <v>74</v>
      </c>
      <c r="T490" t="s">
        <v>74</v>
      </c>
      <c r="U490" t="s">
        <v>10005</v>
      </c>
      <c r="V490" t="s">
        <v>10006</v>
      </c>
      <c r="W490" t="s">
        <v>10007</v>
      </c>
      <c r="X490" t="s">
        <v>10008</v>
      </c>
      <c r="Y490" t="s">
        <v>10009</v>
      </c>
      <c r="Z490" t="s">
        <v>10010</v>
      </c>
      <c r="AA490" t="s">
        <v>10011</v>
      </c>
      <c r="AB490" t="s">
        <v>10012</v>
      </c>
      <c r="AC490" t="s">
        <v>10013</v>
      </c>
      <c r="AD490" t="s">
        <v>10014</v>
      </c>
      <c r="AE490" t="s">
        <v>10015</v>
      </c>
      <c r="AF490" t="s">
        <v>74</v>
      </c>
      <c r="AG490">
        <v>110</v>
      </c>
      <c r="AH490">
        <v>4</v>
      </c>
      <c r="AI490">
        <v>4</v>
      </c>
      <c r="AJ490">
        <v>3</v>
      </c>
      <c r="AK490">
        <v>13</v>
      </c>
      <c r="AL490" t="s">
        <v>117</v>
      </c>
      <c r="AM490" t="s">
        <v>118</v>
      </c>
      <c r="AN490" t="s">
        <v>119</v>
      </c>
      <c r="AO490" t="s">
        <v>3849</v>
      </c>
      <c r="AP490" t="s">
        <v>3850</v>
      </c>
      <c r="AQ490" t="s">
        <v>74</v>
      </c>
      <c r="AR490" t="s">
        <v>3851</v>
      </c>
      <c r="AS490" t="s">
        <v>3852</v>
      </c>
      <c r="AT490" t="s">
        <v>9975</v>
      </c>
      <c r="AU490">
        <v>2022</v>
      </c>
      <c r="AV490">
        <v>22</v>
      </c>
      <c r="AW490">
        <v>7</v>
      </c>
      <c r="AX490" t="s">
        <v>74</v>
      </c>
      <c r="AY490" t="s">
        <v>74</v>
      </c>
      <c r="AZ490" t="s">
        <v>74</v>
      </c>
      <c r="BA490" t="s">
        <v>74</v>
      </c>
      <c r="BB490">
        <v>5033</v>
      </c>
      <c r="BC490">
        <v>5069</v>
      </c>
      <c r="BD490" t="s">
        <v>74</v>
      </c>
      <c r="BE490" t="s">
        <v>10016</v>
      </c>
      <c r="BF490" t="str">
        <f>HYPERLINK("http://dx.doi.org/10.5194/acp-22-5033-2022","http://dx.doi.org/10.5194/acp-22-5033-2022")</f>
        <v>http://dx.doi.org/10.5194/acp-22-5033-2022</v>
      </c>
      <c r="BG490" t="s">
        <v>74</v>
      </c>
      <c r="BH490" t="s">
        <v>74</v>
      </c>
      <c r="BI490">
        <v>37</v>
      </c>
      <c r="BJ490" t="s">
        <v>1797</v>
      </c>
      <c r="BK490" t="s">
        <v>101</v>
      </c>
      <c r="BL490" t="s">
        <v>957</v>
      </c>
      <c r="BM490" t="s">
        <v>10017</v>
      </c>
      <c r="BN490" t="s">
        <v>74</v>
      </c>
      <c r="BO490" t="s">
        <v>2560</v>
      </c>
      <c r="BP490" t="s">
        <v>74</v>
      </c>
      <c r="BQ490" t="s">
        <v>74</v>
      </c>
      <c r="BR490" t="s">
        <v>103</v>
      </c>
      <c r="BS490" t="s">
        <v>10018</v>
      </c>
      <c r="BT490" t="str">
        <f>HYPERLINK("https%3A%2F%2Fwww.webofscience.com%2Fwos%2Fwoscc%2Ffull-record%2FWOS:000782465800001","View Full Record in Web of Science")</f>
        <v>View Full Record in Web of Science</v>
      </c>
    </row>
    <row r="491" spans="1:72" x14ac:dyDescent="0.15">
      <c r="A491" t="s">
        <v>72</v>
      </c>
      <c r="B491" t="s">
        <v>10019</v>
      </c>
      <c r="C491" t="s">
        <v>74</v>
      </c>
      <c r="D491" t="s">
        <v>74</v>
      </c>
      <c r="E491" t="s">
        <v>74</v>
      </c>
      <c r="F491" t="s">
        <v>10020</v>
      </c>
      <c r="G491" t="s">
        <v>74</v>
      </c>
      <c r="H491" t="s">
        <v>74</v>
      </c>
      <c r="I491" t="s">
        <v>10021</v>
      </c>
      <c r="J491" t="s">
        <v>10022</v>
      </c>
      <c r="K491" t="s">
        <v>74</v>
      </c>
      <c r="L491" t="s">
        <v>74</v>
      </c>
      <c r="M491" t="s">
        <v>78</v>
      </c>
      <c r="N491" t="s">
        <v>79</v>
      </c>
      <c r="O491" t="s">
        <v>74</v>
      </c>
      <c r="P491" t="s">
        <v>74</v>
      </c>
      <c r="Q491" t="s">
        <v>74</v>
      </c>
      <c r="R491" t="s">
        <v>74</v>
      </c>
      <c r="S491" t="s">
        <v>74</v>
      </c>
      <c r="T491" t="s">
        <v>10023</v>
      </c>
      <c r="U491" t="s">
        <v>10024</v>
      </c>
      <c r="V491" t="s">
        <v>10025</v>
      </c>
      <c r="W491" t="s">
        <v>10026</v>
      </c>
      <c r="X491" t="s">
        <v>10027</v>
      </c>
      <c r="Y491" t="s">
        <v>10028</v>
      </c>
      <c r="Z491" t="s">
        <v>10029</v>
      </c>
      <c r="AA491" t="s">
        <v>10030</v>
      </c>
      <c r="AB491" t="s">
        <v>10031</v>
      </c>
      <c r="AC491" t="s">
        <v>10032</v>
      </c>
      <c r="AD491" t="s">
        <v>10033</v>
      </c>
      <c r="AE491" t="s">
        <v>10034</v>
      </c>
      <c r="AF491" t="s">
        <v>74</v>
      </c>
      <c r="AG491">
        <v>48</v>
      </c>
      <c r="AH491">
        <v>3</v>
      </c>
      <c r="AI491">
        <v>3</v>
      </c>
      <c r="AJ491">
        <v>2</v>
      </c>
      <c r="AK491">
        <v>9</v>
      </c>
      <c r="AL491" t="s">
        <v>91</v>
      </c>
      <c r="AM491" t="s">
        <v>92</v>
      </c>
      <c r="AN491" t="s">
        <v>93</v>
      </c>
      <c r="AO491" t="s">
        <v>10035</v>
      </c>
      <c r="AP491" t="s">
        <v>10036</v>
      </c>
      <c r="AQ491" t="s">
        <v>74</v>
      </c>
      <c r="AR491" t="s">
        <v>10022</v>
      </c>
      <c r="AS491" t="s">
        <v>10037</v>
      </c>
      <c r="AT491" t="s">
        <v>206</v>
      </c>
      <c r="AU491">
        <v>2022</v>
      </c>
      <c r="AV491">
        <v>2022</v>
      </c>
      <c r="AW491">
        <v>7</v>
      </c>
      <c r="AX491" t="s">
        <v>74</v>
      </c>
      <c r="AY491" t="s">
        <v>74</v>
      </c>
      <c r="AZ491" t="s">
        <v>74</v>
      </c>
      <c r="BA491" t="s">
        <v>74</v>
      </c>
      <c r="BB491" t="s">
        <v>74</v>
      </c>
      <c r="BC491" t="s">
        <v>74</v>
      </c>
      <c r="BD491" t="s">
        <v>10038</v>
      </c>
      <c r="BE491" t="s">
        <v>10039</v>
      </c>
      <c r="BF491" t="str">
        <f>HYPERLINK("http://dx.doi.org/10.1111/ecog.06204","http://dx.doi.org/10.1111/ecog.06204")</f>
        <v>http://dx.doi.org/10.1111/ecog.06204</v>
      </c>
      <c r="BG491" t="s">
        <v>74</v>
      </c>
      <c r="BH491" t="s">
        <v>7987</v>
      </c>
      <c r="BI491">
        <v>12</v>
      </c>
      <c r="BJ491" t="s">
        <v>539</v>
      </c>
      <c r="BK491" t="s">
        <v>101</v>
      </c>
      <c r="BL491" t="s">
        <v>540</v>
      </c>
      <c r="BM491" t="s">
        <v>10040</v>
      </c>
      <c r="BN491" t="s">
        <v>74</v>
      </c>
      <c r="BO491" t="s">
        <v>1533</v>
      </c>
      <c r="BP491" t="s">
        <v>74</v>
      </c>
      <c r="BQ491" t="s">
        <v>74</v>
      </c>
      <c r="BR491" t="s">
        <v>103</v>
      </c>
      <c r="BS491" t="s">
        <v>10041</v>
      </c>
      <c r="BT491" t="str">
        <f>HYPERLINK("https%3A%2F%2Fwww.webofscience.com%2Fwos%2Fwoscc%2Ffull-record%2FWOS:000782391300001","View Full Record in Web of Science")</f>
        <v>View Full Record in Web of Science</v>
      </c>
    </row>
    <row r="492" spans="1:72" x14ac:dyDescent="0.15">
      <c r="A492" t="s">
        <v>72</v>
      </c>
      <c r="B492" t="s">
        <v>10042</v>
      </c>
      <c r="C492" t="s">
        <v>74</v>
      </c>
      <c r="D492" t="s">
        <v>74</v>
      </c>
      <c r="E492" t="s">
        <v>74</v>
      </c>
      <c r="F492" t="s">
        <v>10043</v>
      </c>
      <c r="G492" t="s">
        <v>74</v>
      </c>
      <c r="H492" t="s">
        <v>74</v>
      </c>
      <c r="I492" t="s">
        <v>10044</v>
      </c>
      <c r="J492" t="s">
        <v>388</v>
      </c>
      <c r="K492" t="s">
        <v>74</v>
      </c>
      <c r="L492" t="s">
        <v>74</v>
      </c>
      <c r="M492" t="s">
        <v>78</v>
      </c>
      <c r="N492" t="s">
        <v>79</v>
      </c>
      <c r="O492" t="s">
        <v>74</v>
      </c>
      <c r="P492" t="s">
        <v>74</v>
      </c>
      <c r="Q492" t="s">
        <v>74</v>
      </c>
      <c r="R492" t="s">
        <v>74</v>
      </c>
      <c r="S492" t="s">
        <v>74</v>
      </c>
      <c r="T492" t="s">
        <v>74</v>
      </c>
      <c r="U492" t="s">
        <v>10045</v>
      </c>
      <c r="V492" t="s">
        <v>10046</v>
      </c>
      <c r="W492" t="s">
        <v>10047</v>
      </c>
      <c r="X492" t="s">
        <v>10048</v>
      </c>
      <c r="Y492" t="s">
        <v>10049</v>
      </c>
      <c r="Z492" t="s">
        <v>10050</v>
      </c>
      <c r="AA492" t="s">
        <v>10051</v>
      </c>
      <c r="AB492" t="s">
        <v>10052</v>
      </c>
      <c r="AC492" t="s">
        <v>10053</v>
      </c>
      <c r="AD492" t="s">
        <v>10054</v>
      </c>
      <c r="AE492" t="s">
        <v>10055</v>
      </c>
      <c r="AF492" t="s">
        <v>74</v>
      </c>
      <c r="AG492">
        <v>84</v>
      </c>
      <c r="AH492">
        <v>42</v>
      </c>
      <c r="AI492">
        <v>43</v>
      </c>
      <c r="AJ492">
        <v>3</v>
      </c>
      <c r="AK492">
        <v>20</v>
      </c>
      <c r="AL492" t="s">
        <v>400</v>
      </c>
      <c r="AM492" t="s">
        <v>401</v>
      </c>
      <c r="AN492" t="s">
        <v>402</v>
      </c>
      <c r="AO492" t="s">
        <v>74</v>
      </c>
      <c r="AP492" t="s">
        <v>403</v>
      </c>
      <c r="AQ492" t="s">
        <v>74</v>
      </c>
      <c r="AR492" t="s">
        <v>404</v>
      </c>
      <c r="AS492" t="s">
        <v>405</v>
      </c>
      <c r="AT492" t="s">
        <v>9975</v>
      </c>
      <c r="AU492">
        <v>2022</v>
      </c>
      <c r="AV492">
        <v>3</v>
      </c>
      <c r="AW492">
        <v>1</v>
      </c>
      <c r="AX492" t="s">
        <v>74</v>
      </c>
      <c r="AY492" t="s">
        <v>74</v>
      </c>
      <c r="AZ492" t="s">
        <v>74</v>
      </c>
      <c r="BA492" t="s">
        <v>74</v>
      </c>
      <c r="BB492" t="s">
        <v>74</v>
      </c>
      <c r="BC492" t="s">
        <v>74</v>
      </c>
      <c r="BD492">
        <v>90</v>
      </c>
      <c r="BE492" t="s">
        <v>10056</v>
      </c>
      <c r="BF492" t="str">
        <f>HYPERLINK("http://dx.doi.org/10.1038/s43247-022-00422-9","http://dx.doi.org/10.1038/s43247-022-00422-9")</f>
        <v>http://dx.doi.org/10.1038/s43247-022-00422-9</v>
      </c>
      <c r="BG492" t="s">
        <v>74</v>
      </c>
      <c r="BH492" t="s">
        <v>74</v>
      </c>
      <c r="BI492">
        <v>14</v>
      </c>
      <c r="BJ492" t="s">
        <v>407</v>
      </c>
      <c r="BK492" t="s">
        <v>101</v>
      </c>
      <c r="BL492" t="s">
        <v>408</v>
      </c>
      <c r="BM492" t="s">
        <v>10057</v>
      </c>
      <c r="BN492" t="s">
        <v>74</v>
      </c>
      <c r="BO492" t="s">
        <v>3373</v>
      </c>
      <c r="BP492" t="s">
        <v>74</v>
      </c>
      <c r="BQ492" t="s">
        <v>74</v>
      </c>
      <c r="BR492" t="s">
        <v>103</v>
      </c>
      <c r="BS492" t="s">
        <v>10058</v>
      </c>
      <c r="BT492" t="str">
        <f>HYPERLINK("https%3A%2F%2Fwww.webofscience.com%2Fwos%2Fwoscc%2Ffull-record%2FWOS:000782609100001","View Full Record in Web of Science")</f>
        <v>View Full Record in Web of Science</v>
      </c>
    </row>
    <row r="493" spans="1:72" x14ac:dyDescent="0.15">
      <c r="A493" t="s">
        <v>72</v>
      </c>
      <c r="B493" t="s">
        <v>10059</v>
      </c>
      <c r="C493" t="s">
        <v>74</v>
      </c>
      <c r="D493" t="s">
        <v>74</v>
      </c>
      <c r="E493" t="s">
        <v>74</v>
      </c>
      <c r="F493" t="s">
        <v>10060</v>
      </c>
      <c r="G493" t="s">
        <v>74</v>
      </c>
      <c r="H493" t="s">
        <v>74</v>
      </c>
      <c r="I493" t="s">
        <v>10061</v>
      </c>
      <c r="J493" t="s">
        <v>938</v>
      </c>
      <c r="K493" t="s">
        <v>74</v>
      </c>
      <c r="L493" t="s">
        <v>74</v>
      </c>
      <c r="M493" t="s">
        <v>78</v>
      </c>
      <c r="N493" t="s">
        <v>79</v>
      </c>
      <c r="O493" t="s">
        <v>74</v>
      </c>
      <c r="P493" t="s">
        <v>74</v>
      </c>
      <c r="Q493" t="s">
        <v>74</v>
      </c>
      <c r="R493" t="s">
        <v>74</v>
      </c>
      <c r="S493" t="s">
        <v>74</v>
      </c>
      <c r="T493" t="s">
        <v>74</v>
      </c>
      <c r="U493" t="s">
        <v>10062</v>
      </c>
      <c r="V493" t="s">
        <v>10063</v>
      </c>
      <c r="W493" t="s">
        <v>10064</v>
      </c>
      <c r="X493" t="s">
        <v>10065</v>
      </c>
      <c r="Y493" t="s">
        <v>10066</v>
      </c>
      <c r="Z493" t="s">
        <v>10067</v>
      </c>
      <c r="AA493" t="s">
        <v>10068</v>
      </c>
      <c r="AB493" t="s">
        <v>10069</v>
      </c>
      <c r="AC493" t="s">
        <v>10070</v>
      </c>
      <c r="AD493" t="s">
        <v>10071</v>
      </c>
      <c r="AE493" t="s">
        <v>10072</v>
      </c>
      <c r="AF493" t="s">
        <v>74</v>
      </c>
      <c r="AG493">
        <v>84</v>
      </c>
      <c r="AH493">
        <v>18</v>
      </c>
      <c r="AI493">
        <v>20</v>
      </c>
      <c r="AJ493">
        <v>6</v>
      </c>
      <c r="AK493">
        <v>32</v>
      </c>
      <c r="AL493" t="s">
        <v>455</v>
      </c>
      <c r="AM493" t="s">
        <v>456</v>
      </c>
      <c r="AN493" t="s">
        <v>457</v>
      </c>
      <c r="AO493" t="s">
        <v>950</v>
      </c>
      <c r="AP493" t="s">
        <v>951</v>
      </c>
      <c r="AQ493" t="s">
        <v>74</v>
      </c>
      <c r="AR493" t="s">
        <v>952</v>
      </c>
      <c r="AS493" t="s">
        <v>953</v>
      </c>
      <c r="AT493" t="s">
        <v>5076</v>
      </c>
      <c r="AU493">
        <v>2022</v>
      </c>
      <c r="AV493">
        <v>12</v>
      </c>
      <c r="AW493">
        <v>5</v>
      </c>
      <c r="AX493" t="s">
        <v>74</v>
      </c>
      <c r="AY493" t="s">
        <v>74</v>
      </c>
      <c r="AZ493" t="s">
        <v>74</v>
      </c>
      <c r="BA493" t="s">
        <v>74</v>
      </c>
      <c r="BB493">
        <v>461</v>
      </c>
      <c r="BC493" t="s">
        <v>462</v>
      </c>
      <c r="BD493" t="s">
        <v>74</v>
      </c>
      <c r="BE493" t="s">
        <v>10073</v>
      </c>
      <c r="BF493" t="str">
        <f>HYPERLINK("http://dx.doi.org/10.1038/s41558-022-01339-z","http://dx.doi.org/10.1038/s41558-022-01339-z")</f>
        <v>http://dx.doi.org/10.1038/s41558-022-01339-z</v>
      </c>
      <c r="BG493" t="s">
        <v>74</v>
      </c>
      <c r="BH493" t="s">
        <v>7987</v>
      </c>
      <c r="BI493">
        <v>20</v>
      </c>
      <c r="BJ493" t="s">
        <v>955</v>
      </c>
      <c r="BK493" t="s">
        <v>956</v>
      </c>
      <c r="BL493" t="s">
        <v>957</v>
      </c>
      <c r="BM493" t="s">
        <v>10074</v>
      </c>
      <c r="BN493" t="s">
        <v>74</v>
      </c>
      <c r="BO493" t="s">
        <v>986</v>
      </c>
      <c r="BP493" t="s">
        <v>74</v>
      </c>
      <c r="BQ493" t="s">
        <v>74</v>
      </c>
      <c r="BR493" t="s">
        <v>103</v>
      </c>
      <c r="BS493" t="s">
        <v>10075</v>
      </c>
      <c r="BT493" t="str">
        <f>HYPERLINK("https%3A%2F%2Fwww.webofscience.com%2Fwos%2Fwoscc%2Ffull-record%2FWOS:000782545900002","View Full Record in Web of Science")</f>
        <v>View Full Record in Web of Science</v>
      </c>
    </row>
    <row r="494" spans="1:72" x14ac:dyDescent="0.15">
      <c r="A494" t="s">
        <v>72</v>
      </c>
      <c r="B494" t="s">
        <v>10076</v>
      </c>
      <c r="C494" t="s">
        <v>74</v>
      </c>
      <c r="D494" t="s">
        <v>74</v>
      </c>
      <c r="E494" t="s">
        <v>74</v>
      </c>
      <c r="F494" t="s">
        <v>10077</v>
      </c>
      <c r="G494" t="s">
        <v>74</v>
      </c>
      <c r="H494" t="s">
        <v>74</v>
      </c>
      <c r="I494" t="s">
        <v>10078</v>
      </c>
      <c r="J494" t="s">
        <v>3150</v>
      </c>
      <c r="K494" t="s">
        <v>74</v>
      </c>
      <c r="L494" t="s">
        <v>74</v>
      </c>
      <c r="M494" t="s">
        <v>78</v>
      </c>
      <c r="N494" t="s">
        <v>79</v>
      </c>
      <c r="O494" t="s">
        <v>74</v>
      </c>
      <c r="P494" t="s">
        <v>74</v>
      </c>
      <c r="Q494" t="s">
        <v>74</v>
      </c>
      <c r="R494" t="s">
        <v>74</v>
      </c>
      <c r="S494" t="s">
        <v>74</v>
      </c>
      <c r="T494" t="s">
        <v>10079</v>
      </c>
      <c r="U494" t="s">
        <v>10080</v>
      </c>
      <c r="V494" t="s">
        <v>10081</v>
      </c>
      <c r="W494" t="s">
        <v>10082</v>
      </c>
      <c r="X494" t="s">
        <v>10083</v>
      </c>
      <c r="Y494" t="s">
        <v>10084</v>
      </c>
      <c r="Z494" t="s">
        <v>10085</v>
      </c>
      <c r="AA494" t="s">
        <v>10086</v>
      </c>
      <c r="AB494" t="s">
        <v>10087</v>
      </c>
      <c r="AC494" t="s">
        <v>10088</v>
      </c>
      <c r="AD494" t="s">
        <v>10089</v>
      </c>
      <c r="AE494" t="s">
        <v>10090</v>
      </c>
      <c r="AF494" t="s">
        <v>74</v>
      </c>
      <c r="AG494">
        <v>62</v>
      </c>
      <c r="AH494">
        <v>5</v>
      </c>
      <c r="AI494">
        <v>5</v>
      </c>
      <c r="AJ494">
        <v>4</v>
      </c>
      <c r="AK494">
        <v>8</v>
      </c>
      <c r="AL494" t="s">
        <v>530</v>
      </c>
      <c r="AM494" t="s">
        <v>531</v>
      </c>
      <c r="AN494" t="s">
        <v>532</v>
      </c>
      <c r="AO494" t="s">
        <v>3162</v>
      </c>
      <c r="AP494" t="s">
        <v>3163</v>
      </c>
      <c r="AQ494" t="s">
        <v>74</v>
      </c>
      <c r="AR494" t="s">
        <v>3164</v>
      </c>
      <c r="AS494" t="s">
        <v>3165</v>
      </c>
      <c r="AT494" t="s">
        <v>97</v>
      </c>
      <c r="AU494">
        <v>2022</v>
      </c>
      <c r="AV494">
        <v>59</v>
      </c>
      <c r="AW494" t="s">
        <v>8157</v>
      </c>
      <c r="AX494" t="s">
        <v>74</v>
      </c>
      <c r="AY494" t="s">
        <v>74</v>
      </c>
      <c r="AZ494" t="s">
        <v>74</v>
      </c>
      <c r="BA494" t="s">
        <v>74</v>
      </c>
      <c r="BB494">
        <v>3265</v>
      </c>
      <c r="BC494">
        <v>3285</v>
      </c>
      <c r="BD494" t="s">
        <v>74</v>
      </c>
      <c r="BE494" t="s">
        <v>10091</v>
      </c>
      <c r="BF494" t="str">
        <f>HYPERLINK("http://dx.doi.org/10.1007/s00382-022-06260-x","http://dx.doi.org/10.1007/s00382-022-06260-x")</f>
        <v>http://dx.doi.org/10.1007/s00382-022-06260-x</v>
      </c>
      <c r="BG494" t="s">
        <v>74</v>
      </c>
      <c r="BH494" t="s">
        <v>7987</v>
      </c>
      <c r="BI494">
        <v>21</v>
      </c>
      <c r="BJ494" t="s">
        <v>510</v>
      </c>
      <c r="BK494" t="s">
        <v>101</v>
      </c>
      <c r="BL494" t="s">
        <v>510</v>
      </c>
      <c r="BM494" t="s">
        <v>8159</v>
      </c>
      <c r="BN494" t="s">
        <v>74</v>
      </c>
      <c r="BO494" t="s">
        <v>643</v>
      </c>
      <c r="BP494" t="s">
        <v>74</v>
      </c>
      <c r="BQ494" t="s">
        <v>74</v>
      </c>
      <c r="BR494" t="s">
        <v>103</v>
      </c>
      <c r="BS494" t="s">
        <v>10092</v>
      </c>
      <c r="BT494" t="str">
        <f>HYPERLINK("https%3A%2F%2Fwww.webofscience.com%2Fwos%2Fwoscc%2Ffull-record%2FWOS:000782540200001","View Full Record in Web of Science")</f>
        <v>View Full Record in Web of Science</v>
      </c>
    </row>
    <row r="495" spans="1:72" x14ac:dyDescent="0.15">
      <c r="A495" t="s">
        <v>72</v>
      </c>
      <c r="B495" t="s">
        <v>10093</v>
      </c>
      <c r="C495" t="s">
        <v>74</v>
      </c>
      <c r="D495" t="s">
        <v>74</v>
      </c>
      <c r="E495" t="s">
        <v>74</v>
      </c>
      <c r="F495" t="s">
        <v>10094</v>
      </c>
      <c r="G495" t="s">
        <v>74</v>
      </c>
      <c r="H495" t="s">
        <v>74</v>
      </c>
      <c r="I495" t="s">
        <v>10095</v>
      </c>
      <c r="J495" t="s">
        <v>10096</v>
      </c>
      <c r="K495" t="s">
        <v>74</v>
      </c>
      <c r="L495" t="s">
        <v>74</v>
      </c>
      <c r="M495" t="s">
        <v>78</v>
      </c>
      <c r="N495" t="s">
        <v>79</v>
      </c>
      <c r="O495" t="s">
        <v>74</v>
      </c>
      <c r="P495" t="s">
        <v>74</v>
      </c>
      <c r="Q495" t="s">
        <v>74</v>
      </c>
      <c r="R495" t="s">
        <v>74</v>
      </c>
      <c r="S495" t="s">
        <v>74</v>
      </c>
      <c r="T495" t="s">
        <v>10097</v>
      </c>
      <c r="U495" t="s">
        <v>10098</v>
      </c>
      <c r="V495" t="s">
        <v>10099</v>
      </c>
      <c r="W495" t="s">
        <v>10100</v>
      </c>
      <c r="X495" t="s">
        <v>10101</v>
      </c>
      <c r="Y495" t="s">
        <v>10102</v>
      </c>
      <c r="Z495" t="s">
        <v>10103</v>
      </c>
      <c r="AA495" t="s">
        <v>10104</v>
      </c>
      <c r="AB495" t="s">
        <v>10105</v>
      </c>
      <c r="AC495" t="s">
        <v>10106</v>
      </c>
      <c r="AD495" t="s">
        <v>10107</v>
      </c>
      <c r="AE495" t="s">
        <v>10108</v>
      </c>
      <c r="AF495" t="s">
        <v>74</v>
      </c>
      <c r="AG495">
        <v>43</v>
      </c>
      <c r="AH495">
        <v>1</v>
      </c>
      <c r="AI495">
        <v>1</v>
      </c>
      <c r="AJ495">
        <v>0</v>
      </c>
      <c r="AK495">
        <v>0</v>
      </c>
      <c r="AL495" t="s">
        <v>5298</v>
      </c>
      <c r="AM495" t="s">
        <v>5299</v>
      </c>
      <c r="AN495" t="s">
        <v>5300</v>
      </c>
      <c r="AO495" t="s">
        <v>10109</v>
      </c>
      <c r="AP495" t="s">
        <v>10110</v>
      </c>
      <c r="AQ495" t="s">
        <v>74</v>
      </c>
      <c r="AR495" t="s">
        <v>10096</v>
      </c>
      <c r="AS495" t="s">
        <v>10111</v>
      </c>
      <c r="AT495" t="s">
        <v>10112</v>
      </c>
      <c r="AU495">
        <v>2022</v>
      </c>
      <c r="AV495" t="s">
        <v>74</v>
      </c>
      <c r="AW495">
        <v>1095</v>
      </c>
      <c r="AX495" t="s">
        <v>74</v>
      </c>
      <c r="AY495" t="s">
        <v>74</v>
      </c>
      <c r="AZ495" t="s">
        <v>74</v>
      </c>
      <c r="BA495" t="s">
        <v>74</v>
      </c>
      <c r="BB495">
        <v>13</v>
      </c>
      <c r="BC495">
        <v>42</v>
      </c>
      <c r="BD495" t="s">
        <v>74</v>
      </c>
      <c r="BE495" t="s">
        <v>10113</v>
      </c>
      <c r="BF495" t="str">
        <f>HYPERLINK("http://dx.doi.org/10.3897/zookeys.1095.77996","http://dx.doi.org/10.3897/zookeys.1095.77996")</f>
        <v>http://dx.doi.org/10.3897/zookeys.1095.77996</v>
      </c>
      <c r="BG495" t="s">
        <v>74</v>
      </c>
      <c r="BH495" t="s">
        <v>74</v>
      </c>
      <c r="BI495">
        <v>30</v>
      </c>
      <c r="BJ495" t="s">
        <v>1054</v>
      </c>
      <c r="BK495" t="s">
        <v>101</v>
      </c>
      <c r="BL495" t="s">
        <v>1054</v>
      </c>
      <c r="BM495" t="s">
        <v>10114</v>
      </c>
      <c r="BN495">
        <v>35836690</v>
      </c>
      <c r="BO495" t="s">
        <v>295</v>
      </c>
      <c r="BP495" t="s">
        <v>74</v>
      </c>
      <c r="BQ495" t="s">
        <v>74</v>
      </c>
      <c r="BR495" t="s">
        <v>103</v>
      </c>
      <c r="BS495" t="s">
        <v>10115</v>
      </c>
      <c r="BT495" t="str">
        <f>HYPERLINK("https%3A%2F%2Fwww.webofscience.com%2Fwos%2Fwoscc%2Ffull-record%2FWOS:000848015400002","View Full Record in Web of Science")</f>
        <v>View Full Record in Web of Science</v>
      </c>
    </row>
    <row r="496" spans="1:72" x14ac:dyDescent="0.15">
      <c r="A496" t="s">
        <v>72</v>
      </c>
      <c r="B496" t="s">
        <v>10116</v>
      </c>
      <c r="C496" t="s">
        <v>74</v>
      </c>
      <c r="D496" t="s">
        <v>74</v>
      </c>
      <c r="E496" t="s">
        <v>74</v>
      </c>
      <c r="F496" t="s">
        <v>10117</v>
      </c>
      <c r="G496" t="s">
        <v>74</v>
      </c>
      <c r="H496" t="s">
        <v>74</v>
      </c>
      <c r="I496" t="s">
        <v>10118</v>
      </c>
      <c r="J496" t="s">
        <v>10119</v>
      </c>
      <c r="K496" t="s">
        <v>74</v>
      </c>
      <c r="L496" t="s">
        <v>74</v>
      </c>
      <c r="M496" t="s">
        <v>78</v>
      </c>
      <c r="N496" t="s">
        <v>79</v>
      </c>
      <c r="O496" t="s">
        <v>74</v>
      </c>
      <c r="P496" t="s">
        <v>74</v>
      </c>
      <c r="Q496" t="s">
        <v>74</v>
      </c>
      <c r="R496" t="s">
        <v>74</v>
      </c>
      <c r="S496" t="s">
        <v>74</v>
      </c>
      <c r="T496" t="s">
        <v>10120</v>
      </c>
      <c r="U496" t="s">
        <v>10121</v>
      </c>
      <c r="V496" t="s">
        <v>10122</v>
      </c>
      <c r="W496" t="s">
        <v>10123</v>
      </c>
      <c r="X496" t="s">
        <v>10124</v>
      </c>
      <c r="Y496" t="s">
        <v>10125</v>
      </c>
      <c r="Z496" t="s">
        <v>10126</v>
      </c>
      <c r="AA496" t="s">
        <v>74</v>
      </c>
      <c r="AB496" t="s">
        <v>10127</v>
      </c>
      <c r="AC496" t="s">
        <v>10128</v>
      </c>
      <c r="AD496" t="s">
        <v>10129</v>
      </c>
      <c r="AE496" t="s">
        <v>10130</v>
      </c>
      <c r="AF496" t="s">
        <v>74</v>
      </c>
      <c r="AG496">
        <v>55</v>
      </c>
      <c r="AH496">
        <v>0</v>
      </c>
      <c r="AI496">
        <v>0</v>
      </c>
      <c r="AJ496">
        <v>3</v>
      </c>
      <c r="AK496">
        <v>11</v>
      </c>
      <c r="AL496" t="s">
        <v>1023</v>
      </c>
      <c r="AM496" t="s">
        <v>1024</v>
      </c>
      <c r="AN496" t="s">
        <v>1025</v>
      </c>
      <c r="AO496" t="s">
        <v>10131</v>
      </c>
      <c r="AP496" t="s">
        <v>10132</v>
      </c>
      <c r="AQ496" t="s">
        <v>74</v>
      </c>
      <c r="AR496" t="s">
        <v>10133</v>
      </c>
      <c r="AS496" t="s">
        <v>10134</v>
      </c>
      <c r="AT496" t="s">
        <v>4990</v>
      </c>
      <c r="AU496">
        <v>2022</v>
      </c>
      <c r="AV496">
        <v>33</v>
      </c>
      <c r="AW496">
        <v>3</v>
      </c>
      <c r="AX496" t="s">
        <v>74</v>
      </c>
      <c r="AY496" t="s">
        <v>74</v>
      </c>
      <c r="AZ496" t="s">
        <v>74</v>
      </c>
      <c r="BA496" t="s">
        <v>74</v>
      </c>
      <c r="BB496">
        <v>634</v>
      </c>
      <c r="BC496">
        <v>643</v>
      </c>
      <c r="BD496" t="s">
        <v>74</v>
      </c>
      <c r="BE496" t="s">
        <v>10135</v>
      </c>
      <c r="BF496" t="str">
        <f>HYPERLINK("http://dx.doi.org/10.1093/beheco/arac012","http://dx.doi.org/10.1093/beheco/arac012")</f>
        <v>http://dx.doi.org/10.1093/beheco/arac012</v>
      </c>
      <c r="BG496" t="s">
        <v>74</v>
      </c>
      <c r="BH496" t="s">
        <v>7987</v>
      </c>
      <c r="BI496">
        <v>10</v>
      </c>
      <c r="BJ496" t="s">
        <v>10136</v>
      </c>
      <c r="BK496" t="s">
        <v>101</v>
      </c>
      <c r="BL496" t="s">
        <v>10137</v>
      </c>
      <c r="BM496" t="s">
        <v>10138</v>
      </c>
      <c r="BN496" t="s">
        <v>74</v>
      </c>
      <c r="BO496" t="s">
        <v>74</v>
      </c>
      <c r="BP496" t="s">
        <v>74</v>
      </c>
      <c r="BQ496" t="s">
        <v>74</v>
      </c>
      <c r="BR496" t="s">
        <v>103</v>
      </c>
      <c r="BS496" t="s">
        <v>10139</v>
      </c>
      <c r="BT496" t="str">
        <f>HYPERLINK("https%3A%2F%2Fwww.webofscience.com%2Fwos%2Fwoscc%2Ffull-record%2FWOS:000784547900001","View Full Record in Web of Science")</f>
        <v>View Full Record in Web of Science</v>
      </c>
    </row>
    <row r="497" spans="1:72" x14ac:dyDescent="0.15">
      <c r="A497" t="s">
        <v>72</v>
      </c>
      <c r="B497" t="s">
        <v>10140</v>
      </c>
      <c r="C497" t="s">
        <v>74</v>
      </c>
      <c r="D497" t="s">
        <v>74</v>
      </c>
      <c r="E497" t="s">
        <v>74</v>
      </c>
      <c r="F497" t="s">
        <v>10141</v>
      </c>
      <c r="G497" t="s">
        <v>74</v>
      </c>
      <c r="H497" t="s">
        <v>74</v>
      </c>
      <c r="I497" t="s">
        <v>10142</v>
      </c>
      <c r="J497" t="s">
        <v>1154</v>
      </c>
      <c r="K497" t="s">
        <v>74</v>
      </c>
      <c r="L497" t="s">
        <v>74</v>
      </c>
      <c r="M497" t="s">
        <v>78</v>
      </c>
      <c r="N497" t="s">
        <v>79</v>
      </c>
      <c r="O497" t="s">
        <v>74</v>
      </c>
      <c r="P497" t="s">
        <v>74</v>
      </c>
      <c r="Q497" t="s">
        <v>74</v>
      </c>
      <c r="R497" t="s">
        <v>74</v>
      </c>
      <c r="S497" t="s">
        <v>74</v>
      </c>
      <c r="T497" t="s">
        <v>10143</v>
      </c>
      <c r="U497" t="s">
        <v>10144</v>
      </c>
      <c r="V497" t="s">
        <v>10145</v>
      </c>
      <c r="W497" t="s">
        <v>10146</v>
      </c>
      <c r="X497" t="s">
        <v>10147</v>
      </c>
      <c r="Y497" t="s">
        <v>10148</v>
      </c>
      <c r="Z497" t="s">
        <v>10149</v>
      </c>
      <c r="AA497" t="s">
        <v>10150</v>
      </c>
      <c r="AB497" t="s">
        <v>10151</v>
      </c>
      <c r="AC497" t="s">
        <v>10152</v>
      </c>
      <c r="AD497" t="s">
        <v>10153</v>
      </c>
      <c r="AE497" t="s">
        <v>10154</v>
      </c>
      <c r="AF497" t="s">
        <v>74</v>
      </c>
      <c r="AG497">
        <v>74</v>
      </c>
      <c r="AH497">
        <v>2</v>
      </c>
      <c r="AI497">
        <v>2</v>
      </c>
      <c r="AJ497">
        <v>11</v>
      </c>
      <c r="AK497">
        <v>31</v>
      </c>
      <c r="AL497" t="s">
        <v>199</v>
      </c>
      <c r="AM497" t="s">
        <v>200</v>
      </c>
      <c r="AN497" t="s">
        <v>201</v>
      </c>
      <c r="AO497" t="s">
        <v>1167</v>
      </c>
      <c r="AP497" t="s">
        <v>1168</v>
      </c>
      <c r="AQ497" t="s">
        <v>74</v>
      </c>
      <c r="AR497" t="s">
        <v>1169</v>
      </c>
      <c r="AS497" t="s">
        <v>1170</v>
      </c>
      <c r="AT497" t="s">
        <v>4826</v>
      </c>
      <c r="AU497">
        <v>2022</v>
      </c>
      <c r="AV497">
        <v>284</v>
      </c>
      <c r="AW497" t="s">
        <v>74</v>
      </c>
      <c r="AX497" t="s">
        <v>74</v>
      </c>
      <c r="AY497" t="s">
        <v>74</v>
      </c>
      <c r="AZ497" t="s">
        <v>74</v>
      </c>
      <c r="BA497" t="s">
        <v>74</v>
      </c>
      <c r="BB497" t="s">
        <v>74</v>
      </c>
      <c r="BC497" t="s">
        <v>74</v>
      </c>
      <c r="BD497">
        <v>107494</v>
      </c>
      <c r="BE497" t="s">
        <v>10155</v>
      </c>
      <c r="BF497" t="str">
        <f>HYPERLINK("http://dx.doi.org/10.1016/j.quascirev.2022.107494","http://dx.doi.org/10.1016/j.quascirev.2022.107494")</f>
        <v>http://dx.doi.org/10.1016/j.quascirev.2022.107494</v>
      </c>
      <c r="BG497" t="s">
        <v>74</v>
      </c>
      <c r="BH497" t="s">
        <v>7987</v>
      </c>
      <c r="BI497">
        <v>12</v>
      </c>
      <c r="BJ497" t="s">
        <v>125</v>
      </c>
      <c r="BK497" t="s">
        <v>101</v>
      </c>
      <c r="BL497" t="s">
        <v>126</v>
      </c>
      <c r="BM497" t="s">
        <v>10156</v>
      </c>
      <c r="BN497" t="s">
        <v>74</v>
      </c>
      <c r="BO497" t="s">
        <v>74</v>
      </c>
      <c r="BP497" t="s">
        <v>74</v>
      </c>
      <c r="BQ497" t="s">
        <v>74</v>
      </c>
      <c r="BR497" t="s">
        <v>103</v>
      </c>
      <c r="BS497" t="s">
        <v>10157</v>
      </c>
      <c r="BT497" t="str">
        <f>HYPERLINK("https%3A%2F%2Fwww.webofscience.com%2Fwos%2Fwoscc%2Ffull-record%2FWOS:000796233800004","View Full Record in Web of Science")</f>
        <v>View Full Record in Web of Science</v>
      </c>
    </row>
    <row r="498" spans="1:72" x14ac:dyDescent="0.15">
      <c r="A498" t="s">
        <v>72</v>
      </c>
      <c r="B498" t="s">
        <v>10158</v>
      </c>
      <c r="C498" t="s">
        <v>74</v>
      </c>
      <c r="D498" t="s">
        <v>74</v>
      </c>
      <c r="E498" t="s">
        <v>74</v>
      </c>
      <c r="F498" t="s">
        <v>10159</v>
      </c>
      <c r="G498" t="s">
        <v>74</v>
      </c>
      <c r="H498" t="s">
        <v>74</v>
      </c>
      <c r="I498" t="s">
        <v>10160</v>
      </c>
      <c r="J498" t="s">
        <v>10161</v>
      </c>
      <c r="K498" t="s">
        <v>74</v>
      </c>
      <c r="L498" t="s">
        <v>74</v>
      </c>
      <c r="M498" t="s">
        <v>78</v>
      </c>
      <c r="N498" t="s">
        <v>79</v>
      </c>
      <c r="O498" t="s">
        <v>74</v>
      </c>
      <c r="P498" t="s">
        <v>74</v>
      </c>
      <c r="Q498" t="s">
        <v>74</v>
      </c>
      <c r="R498" t="s">
        <v>74</v>
      </c>
      <c r="S498" t="s">
        <v>74</v>
      </c>
      <c r="T498" t="s">
        <v>10162</v>
      </c>
      <c r="U498" t="s">
        <v>10163</v>
      </c>
      <c r="V498" t="s">
        <v>10164</v>
      </c>
      <c r="W498" t="s">
        <v>10165</v>
      </c>
      <c r="X498" t="s">
        <v>5182</v>
      </c>
      <c r="Y498" t="s">
        <v>10166</v>
      </c>
      <c r="Z498" t="s">
        <v>10167</v>
      </c>
      <c r="AA498" t="s">
        <v>10168</v>
      </c>
      <c r="AB498" t="s">
        <v>10169</v>
      </c>
      <c r="AC498" t="s">
        <v>10170</v>
      </c>
      <c r="AD498" t="s">
        <v>10171</v>
      </c>
      <c r="AE498" t="s">
        <v>10172</v>
      </c>
      <c r="AF498" t="s">
        <v>74</v>
      </c>
      <c r="AG498">
        <v>54</v>
      </c>
      <c r="AH498">
        <v>0</v>
      </c>
      <c r="AI498">
        <v>0</v>
      </c>
      <c r="AJ498">
        <v>0</v>
      </c>
      <c r="AK498">
        <v>2</v>
      </c>
      <c r="AL498" t="s">
        <v>580</v>
      </c>
      <c r="AM498" t="s">
        <v>401</v>
      </c>
      <c r="AN498" t="s">
        <v>581</v>
      </c>
      <c r="AO498" t="s">
        <v>10173</v>
      </c>
      <c r="AP498" t="s">
        <v>74</v>
      </c>
      <c r="AQ498" t="s">
        <v>74</v>
      </c>
      <c r="AR498" t="s">
        <v>10174</v>
      </c>
      <c r="AS498" t="s">
        <v>10175</v>
      </c>
      <c r="AT498" t="s">
        <v>10112</v>
      </c>
      <c r="AU498">
        <v>2022</v>
      </c>
      <c r="AV498">
        <v>9</v>
      </c>
      <c r="AW498">
        <v>4</v>
      </c>
      <c r="AX498" t="s">
        <v>74</v>
      </c>
      <c r="AY498" t="s">
        <v>74</v>
      </c>
      <c r="AZ498" t="s">
        <v>74</v>
      </c>
      <c r="BA498" t="s">
        <v>74</v>
      </c>
      <c r="BB498" t="s">
        <v>74</v>
      </c>
      <c r="BC498" t="s">
        <v>74</v>
      </c>
      <c r="BD498">
        <v>211659</v>
      </c>
      <c r="BE498" t="s">
        <v>10176</v>
      </c>
      <c r="BF498" t="str">
        <f>HYPERLINK("http://dx.doi.org/10.1098/rsos.211659","http://dx.doi.org/10.1098/rsos.211659")</f>
        <v>http://dx.doi.org/10.1098/rsos.211659</v>
      </c>
      <c r="BG498" t="s">
        <v>74</v>
      </c>
      <c r="BH498" t="s">
        <v>74</v>
      </c>
      <c r="BI498">
        <v>12</v>
      </c>
      <c r="BJ498" t="s">
        <v>657</v>
      </c>
      <c r="BK498" t="s">
        <v>101</v>
      </c>
      <c r="BL498" t="s">
        <v>658</v>
      </c>
      <c r="BM498" t="s">
        <v>10177</v>
      </c>
      <c r="BN498">
        <v>35425635</v>
      </c>
      <c r="BO498" t="s">
        <v>295</v>
      </c>
      <c r="BP498" t="s">
        <v>74</v>
      </c>
      <c r="BQ498" t="s">
        <v>74</v>
      </c>
      <c r="BR498" t="s">
        <v>103</v>
      </c>
      <c r="BS498" t="s">
        <v>10178</v>
      </c>
      <c r="BT498" t="str">
        <f>HYPERLINK("https%3A%2F%2Fwww.webofscience.com%2Fwos%2Fwoscc%2Ffull-record%2FWOS:000788434100007","View Full Record in Web of Science")</f>
        <v>View Full Record in Web of Science</v>
      </c>
    </row>
    <row r="499" spans="1:72" x14ac:dyDescent="0.15">
      <c r="A499" t="s">
        <v>72</v>
      </c>
      <c r="B499" t="s">
        <v>10179</v>
      </c>
      <c r="C499" t="s">
        <v>74</v>
      </c>
      <c r="D499" t="s">
        <v>74</v>
      </c>
      <c r="E499" t="s">
        <v>74</v>
      </c>
      <c r="F499" t="s">
        <v>10180</v>
      </c>
      <c r="G499" t="s">
        <v>74</v>
      </c>
      <c r="H499" t="s">
        <v>74</v>
      </c>
      <c r="I499" t="s">
        <v>10181</v>
      </c>
      <c r="J499" t="s">
        <v>570</v>
      </c>
      <c r="K499" t="s">
        <v>74</v>
      </c>
      <c r="L499" t="s">
        <v>74</v>
      </c>
      <c r="M499" t="s">
        <v>78</v>
      </c>
      <c r="N499" t="s">
        <v>79</v>
      </c>
      <c r="O499" t="s">
        <v>74</v>
      </c>
      <c r="P499" t="s">
        <v>74</v>
      </c>
      <c r="Q499" t="s">
        <v>74</v>
      </c>
      <c r="R499" t="s">
        <v>74</v>
      </c>
      <c r="S499" t="s">
        <v>74</v>
      </c>
      <c r="T499" t="s">
        <v>10182</v>
      </c>
      <c r="U499" t="s">
        <v>10183</v>
      </c>
      <c r="V499" t="s">
        <v>10184</v>
      </c>
      <c r="W499" t="s">
        <v>10185</v>
      </c>
      <c r="X499" t="s">
        <v>10186</v>
      </c>
      <c r="Y499" t="s">
        <v>10187</v>
      </c>
      <c r="Z499" t="s">
        <v>10188</v>
      </c>
      <c r="AA499" t="s">
        <v>10189</v>
      </c>
      <c r="AB499" t="s">
        <v>10190</v>
      </c>
      <c r="AC499" t="s">
        <v>74</v>
      </c>
      <c r="AD499" t="s">
        <v>74</v>
      </c>
      <c r="AE499" t="s">
        <v>74</v>
      </c>
      <c r="AF499" t="s">
        <v>74</v>
      </c>
      <c r="AG499">
        <v>102</v>
      </c>
      <c r="AH499">
        <v>2</v>
      </c>
      <c r="AI499">
        <v>2</v>
      </c>
      <c r="AJ499">
        <v>4</v>
      </c>
      <c r="AK499">
        <v>30</v>
      </c>
      <c r="AL499" t="s">
        <v>580</v>
      </c>
      <c r="AM499" t="s">
        <v>401</v>
      </c>
      <c r="AN499" t="s">
        <v>581</v>
      </c>
      <c r="AO499" t="s">
        <v>582</v>
      </c>
      <c r="AP499" t="s">
        <v>583</v>
      </c>
      <c r="AQ499" t="s">
        <v>74</v>
      </c>
      <c r="AR499" t="s">
        <v>584</v>
      </c>
      <c r="AS499" t="s">
        <v>585</v>
      </c>
      <c r="AT499" t="s">
        <v>10112</v>
      </c>
      <c r="AU499">
        <v>2022</v>
      </c>
      <c r="AV499">
        <v>289</v>
      </c>
      <c r="AW499">
        <v>1972</v>
      </c>
      <c r="AX499" t="s">
        <v>74</v>
      </c>
      <c r="AY499" t="s">
        <v>74</v>
      </c>
      <c r="AZ499" t="s">
        <v>74</v>
      </c>
      <c r="BA499" t="s">
        <v>74</v>
      </c>
      <c r="BB499" t="s">
        <v>74</v>
      </c>
      <c r="BC499" t="s">
        <v>74</v>
      </c>
      <c r="BD499">
        <v>20212738</v>
      </c>
      <c r="BE499" t="s">
        <v>10191</v>
      </c>
      <c r="BF499" t="str">
        <f>HYPERLINK("http://dx.doi.org/10.1098/rspb.2021.2738","http://dx.doi.org/10.1098/rspb.2021.2738")</f>
        <v>http://dx.doi.org/10.1098/rspb.2021.2738</v>
      </c>
      <c r="BG499" t="s">
        <v>74</v>
      </c>
      <c r="BH499" t="s">
        <v>74</v>
      </c>
      <c r="BI499">
        <v>10</v>
      </c>
      <c r="BJ499" t="s">
        <v>587</v>
      </c>
      <c r="BK499" t="s">
        <v>101</v>
      </c>
      <c r="BL499" t="s">
        <v>588</v>
      </c>
      <c r="BM499" t="s">
        <v>10192</v>
      </c>
      <c r="BN499">
        <v>35382596</v>
      </c>
      <c r="BO499" t="s">
        <v>1033</v>
      </c>
      <c r="BP499" t="s">
        <v>74</v>
      </c>
      <c r="BQ499" t="s">
        <v>74</v>
      </c>
      <c r="BR499" t="s">
        <v>103</v>
      </c>
      <c r="BS499" t="s">
        <v>10193</v>
      </c>
      <c r="BT499" t="str">
        <f>HYPERLINK("https%3A%2F%2Fwww.webofscience.com%2Fwos%2Fwoscc%2Ffull-record%2FWOS:000780822800008","View Full Record in Web of Science")</f>
        <v>View Full Record in Web of Science</v>
      </c>
    </row>
    <row r="500" spans="1:72" x14ac:dyDescent="0.15">
      <c r="A500" t="s">
        <v>72</v>
      </c>
      <c r="B500" t="s">
        <v>10194</v>
      </c>
      <c r="C500" t="s">
        <v>74</v>
      </c>
      <c r="D500" t="s">
        <v>74</v>
      </c>
      <c r="E500" t="s">
        <v>74</v>
      </c>
      <c r="F500" t="s">
        <v>10195</v>
      </c>
      <c r="G500" t="s">
        <v>74</v>
      </c>
      <c r="H500" t="s">
        <v>74</v>
      </c>
      <c r="I500" t="s">
        <v>10196</v>
      </c>
      <c r="J500" t="s">
        <v>10197</v>
      </c>
      <c r="K500" t="s">
        <v>74</v>
      </c>
      <c r="L500" t="s">
        <v>74</v>
      </c>
      <c r="M500" t="s">
        <v>78</v>
      </c>
      <c r="N500" t="s">
        <v>161</v>
      </c>
      <c r="O500" t="s">
        <v>74</v>
      </c>
      <c r="P500" t="s">
        <v>74</v>
      </c>
      <c r="Q500" t="s">
        <v>74</v>
      </c>
      <c r="R500" t="s">
        <v>74</v>
      </c>
      <c r="S500" t="s">
        <v>74</v>
      </c>
      <c r="T500" t="s">
        <v>10198</v>
      </c>
      <c r="U500" t="s">
        <v>10199</v>
      </c>
      <c r="V500" t="s">
        <v>10200</v>
      </c>
      <c r="W500" t="s">
        <v>10201</v>
      </c>
      <c r="X500" t="s">
        <v>10202</v>
      </c>
      <c r="Y500" t="s">
        <v>10203</v>
      </c>
      <c r="Z500" t="s">
        <v>10204</v>
      </c>
      <c r="AA500" t="s">
        <v>10205</v>
      </c>
      <c r="AB500" t="s">
        <v>10206</v>
      </c>
      <c r="AC500" t="s">
        <v>10207</v>
      </c>
      <c r="AD500" t="s">
        <v>10208</v>
      </c>
      <c r="AE500" t="s">
        <v>10209</v>
      </c>
      <c r="AF500" t="s">
        <v>74</v>
      </c>
      <c r="AG500">
        <v>97</v>
      </c>
      <c r="AH500">
        <v>3</v>
      </c>
      <c r="AI500">
        <v>3</v>
      </c>
      <c r="AJ500">
        <v>1</v>
      </c>
      <c r="AK500">
        <v>8</v>
      </c>
      <c r="AL500" t="s">
        <v>91</v>
      </c>
      <c r="AM500" t="s">
        <v>92</v>
      </c>
      <c r="AN500" t="s">
        <v>93</v>
      </c>
      <c r="AO500" t="s">
        <v>10210</v>
      </c>
      <c r="AP500" t="s">
        <v>74</v>
      </c>
      <c r="AQ500" t="s">
        <v>74</v>
      </c>
      <c r="AR500" t="s">
        <v>10211</v>
      </c>
      <c r="AS500" t="s">
        <v>10212</v>
      </c>
      <c r="AT500" t="s">
        <v>150</v>
      </c>
      <c r="AU500">
        <v>2022</v>
      </c>
      <c r="AV500">
        <v>14</v>
      </c>
      <c r="AW500">
        <v>5</v>
      </c>
      <c r="AX500" t="s">
        <v>74</v>
      </c>
      <c r="AY500" t="s">
        <v>74</v>
      </c>
      <c r="AZ500" t="s">
        <v>74</v>
      </c>
      <c r="BA500" t="s">
        <v>74</v>
      </c>
      <c r="BB500" t="s">
        <v>74</v>
      </c>
      <c r="BC500" t="s">
        <v>74</v>
      </c>
      <c r="BD500" t="s">
        <v>10213</v>
      </c>
      <c r="BE500" t="s">
        <v>10214</v>
      </c>
      <c r="BF500" t="str">
        <f>HYPERLINK("http://dx.doi.org/10.1002/wsbm.1556","http://dx.doi.org/10.1002/wsbm.1556")</f>
        <v>http://dx.doi.org/10.1002/wsbm.1556</v>
      </c>
      <c r="BG500" t="s">
        <v>74</v>
      </c>
      <c r="BH500" t="s">
        <v>7987</v>
      </c>
      <c r="BI500">
        <v>18</v>
      </c>
      <c r="BJ500" t="s">
        <v>10215</v>
      </c>
      <c r="BK500" t="s">
        <v>101</v>
      </c>
      <c r="BL500" t="s">
        <v>10216</v>
      </c>
      <c r="BM500" t="s">
        <v>10217</v>
      </c>
      <c r="BN500">
        <v>35419979</v>
      </c>
      <c r="BO500" t="s">
        <v>74</v>
      </c>
      <c r="BP500" t="s">
        <v>74</v>
      </c>
      <c r="BQ500" t="s">
        <v>74</v>
      </c>
      <c r="BR500" t="s">
        <v>103</v>
      </c>
      <c r="BS500" t="s">
        <v>10218</v>
      </c>
      <c r="BT500" t="str">
        <f>HYPERLINK("https%3A%2F%2Fwww.webofscience.com%2Fwos%2Fwoscc%2Ffull-record%2FWOS:000782288800001","View Full Record in Web of Science")</f>
        <v>View Full Record in Web of Science</v>
      </c>
    </row>
    <row r="501" spans="1:72" x14ac:dyDescent="0.15">
      <c r="A501" t="s">
        <v>72</v>
      </c>
      <c r="B501" t="s">
        <v>10219</v>
      </c>
      <c r="C501" t="s">
        <v>74</v>
      </c>
      <c r="D501" t="s">
        <v>74</v>
      </c>
      <c r="E501" t="s">
        <v>74</v>
      </c>
      <c r="F501" t="s">
        <v>10220</v>
      </c>
      <c r="G501" t="s">
        <v>74</v>
      </c>
      <c r="H501" t="s">
        <v>74</v>
      </c>
      <c r="I501" t="s">
        <v>10221</v>
      </c>
      <c r="J501" t="s">
        <v>108</v>
      </c>
      <c r="K501" t="s">
        <v>74</v>
      </c>
      <c r="L501" t="s">
        <v>74</v>
      </c>
      <c r="M501" t="s">
        <v>78</v>
      </c>
      <c r="N501" t="s">
        <v>79</v>
      </c>
      <c r="O501" t="s">
        <v>74</v>
      </c>
      <c r="P501" t="s">
        <v>74</v>
      </c>
      <c r="Q501" t="s">
        <v>74</v>
      </c>
      <c r="R501" t="s">
        <v>74</v>
      </c>
      <c r="S501" t="s">
        <v>74</v>
      </c>
      <c r="T501" t="s">
        <v>74</v>
      </c>
      <c r="U501" t="s">
        <v>10222</v>
      </c>
      <c r="V501" t="s">
        <v>10223</v>
      </c>
      <c r="W501" t="s">
        <v>10224</v>
      </c>
      <c r="X501" t="s">
        <v>10225</v>
      </c>
      <c r="Y501" t="s">
        <v>10226</v>
      </c>
      <c r="Z501" t="s">
        <v>10227</v>
      </c>
      <c r="AA501" t="s">
        <v>10228</v>
      </c>
      <c r="AB501" t="s">
        <v>10229</v>
      </c>
      <c r="AC501" t="s">
        <v>10230</v>
      </c>
      <c r="AD501" t="s">
        <v>10231</v>
      </c>
      <c r="AE501" t="s">
        <v>10232</v>
      </c>
      <c r="AF501" t="s">
        <v>74</v>
      </c>
      <c r="AG501">
        <v>77</v>
      </c>
      <c r="AH501">
        <v>8</v>
      </c>
      <c r="AI501">
        <v>10</v>
      </c>
      <c r="AJ501">
        <v>2</v>
      </c>
      <c r="AK501">
        <v>8</v>
      </c>
      <c r="AL501" t="s">
        <v>117</v>
      </c>
      <c r="AM501" t="s">
        <v>118</v>
      </c>
      <c r="AN501" t="s">
        <v>119</v>
      </c>
      <c r="AO501" t="s">
        <v>120</v>
      </c>
      <c r="AP501" t="s">
        <v>121</v>
      </c>
      <c r="AQ501" t="s">
        <v>74</v>
      </c>
      <c r="AR501" t="s">
        <v>108</v>
      </c>
      <c r="AS501" t="s">
        <v>122</v>
      </c>
      <c r="AT501" t="s">
        <v>10112</v>
      </c>
      <c r="AU501">
        <v>2022</v>
      </c>
      <c r="AV501">
        <v>16</v>
      </c>
      <c r="AW501">
        <v>4</v>
      </c>
      <c r="AX501" t="s">
        <v>74</v>
      </c>
      <c r="AY501" t="s">
        <v>74</v>
      </c>
      <c r="AZ501" t="s">
        <v>74</v>
      </c>
      <c r="BA501" t="s">
        <v>74</v>
      </c>
      <c r="BB501">
        <v>1369</v>
      </c>
      <c r="BC501">
        <v>1381</v>
      </c>
      <c r="BD501" t="s">
        <v>74</v>
      </c>
      <c r="BE501" t="s">
        <v>10233</v>
      </c>
      <c r="BF501" t="str">
        <f>HYPERLINK("http://dx.doi.org/10.5194/tc-16-1369-2022","http://dx.doi.org/10.5194/tc-16-1369-2022")</f>
        <v>http://dx.doi.org/10.5194/tc-16-1369-2022</v>
      </c>
      <c r="BG501" t="s">
        <v>74</v>
      </c>
      <c r="BH501" t="s">
        <v>74</v>
      </c>
      <c r="BI501">
        <v>13</v>
      </c>
      <c r="BJ501" t="s">
        <v>125</v>
      </c>
      <c r="BK501" t="s">
        <v>101</v>
      </c>
      <c r="BL501" t="s">
        <v>126</v>
      </c>
      <c r="BM501" t="s">
        <v>10234</v>
      </c>
      <c r="BN501" t="s">
        <v>74</v>
      </c>
      <c r="BO501" t="s">
        <v>2560</v>
      </c>
      <c r="BP501" t="s">
        <v>74</v>
      </c>
      <c r="BQ501" t="s">
        <v>74</v>
      </c>
      <c r="BR501" t="s">
        <v>103</v>
      </c>
      <c r="BS501" t="s">
        <v>10235</v>
      </c>
      <c r="BT501" t="str">
        <f>HYPERLINK("https%3A%2F%2Fwww.webofscience.com%2Fwos%2Fwoscc%2Ffull-record%2FWOS:000781936000001","View Full Record in Web of Science")</f>
        <v>View Full Record in Web of Science</v>
      </c>
    </row>
    <row r="502" spans="1:72" x14ac:dyDescent="0.15">
      <c r="A502" t="s">
        <v>72</v>
      </c>
      <c r="B502" t="s">
        <v>10236</v>
      </c>
      <c r="C502" t="s">
        <v>74</v>
      </c>
      <c r="D502" t="s">
        <v>74</v>
      </c>
      <c r="E502" t="s">
        <v>74</v>
      </c>
      <c r="F502" t="s">
        <v>10237</v>
      </c>
      <c r="G502" t="s">
        <v>74</v>
      </c>
      <c r="H502" t="s">
        <v>74</v>
      </c>
      <c r="I502" t="s">
        <v>10238</v>
      </c>
      <c r="J502" t="s">
        <v>10239</v>
      </c>
      <c r="K502" t="s">
        <v>74</v>
      </c>
      <c r="L502" t="s">
        <v>74</v>
      </c>
      <c r="M502" t="s">
        <v>78</v>
      </c>
      <c r="N502" t="s">
        <v>79</v>
      </c>
      <c r="O502" t="s">
        <v>74</v>
      </c>
      <c r="P502" t="s">
        <v>74</v>
      </c>
      <c r="Q502" t="s">
        <v>74</v>
      </c>
      <c r="R502" t="s">
        <v>74</v>
      </c>
      <c r="S502" t="s">
        <v>74</v>
      </c>
      <c r="T502" t="s">
        <v>10240</v>
      </c>
      <c r="U502" t="s">
        <v>10241</v>
      </c>
      <c r="V502" t="s">
        <v>10242</v>
      </c>
      <c r="W502" t="s">
        <v>10243</v>
      </c>
      <c r="X502" t="s">
        <v>10244</v>
      </c>
      <c r="Y502" t="s">
        <v>10245</v>
      </c>
      <c r="Z502" t="s">
        <v>10246</v>
      </c>
      <c r="AA502" t="s">
        <v>74</v>
      </c>
      <c r="AB502" t="s">
        <v>74</v>
      </c>
      <c r="AC502" t="s">
        <v>10247</v>
      </c>
      <c r="AD502" t="s">
        <v>10248</v>
      </c>
      <c r="AE502" t="s">
        <v>10249</v>
      </c>
      <c r="AF502" t="s">
        <v>74</v>
      </c>
      <c r="AG502">
        <v>47</v>
      </c>
      <c r="AH502">
        <v>0</v>
      </c>
      <c r="AI502">
        <v>0</v>
      </c>
      <c r="AJ502">
        <v>3</v>
      </c>
      <c r="AK502">
        <v>18</v>
      </c>
      <c r="AL502" t="s">
        <v>10250</v>
      </c>
      <c r="AM502" t="s">
        <v>10251</v>
      </c>
      <c r="AN502" t="s">
        <v>10252</v>
      </c>
      <c r="AO502" t="s">
        <v>10253</v>
      </c>
      <c r="AP502" t="s">
        <v>10254</v>
      </c>
      <c r="AQ502" t="s">
        <v>74</v>
      </c>
      <c r="AR502" t="s">
        <v>10255</v>
      </c>
      <c r="AS502" t="s">
        <v>10256</v>
      </c>
      <c r="AT502" t="s">
        <v>537</v>
      </c>
      <c r="AU502">
        <v>2022</v>
      </c>
      <c r="AV502">
        <v>57</v>
      </c>
      <c r="AW502">
        <v>2</v>
      </c>
      <c r="AX502" t="s">
        <v>74</v>
      </c>
      <c r="AY502" t="s">
        <v>74</v>
      </c>
      <c r="AZ502" t="s">
        <v>772</v>
      </c>
      <c r="BA502" t="s">
        <v>74</v>
      </c>
      <c r="BB502">
        <v>239</v>
      </c>
      <c r="BC502">
        <v>246</v>
      </c>
      <c r="BD502" t="s">
        <v>74</v>
      </c>
      <c r="BE502" t="s">
        <v>10257</v>
      </c>
      <c r="BF502" t="str">
        <f>HYPERLINK("http://dx.doi.org/10.1007/s12601-022-00059-x","http://dx.doi.org/10.1007/s12601-022-00059-x")</f>
        <v>http://dx.doi.org/10.1007/s12601-022-00059-x</v>
      </c>
      <c r="BG502" t="s">
        <v>74</v>
      </c>
      <c r="BH502" t="s">
        <v>7987</v>
      </c>
      <c r="BI502">
        <v>8</v>
      </c>
      <c r="BJ502" t="s">
        <v>641</v>
      </c>
      <c r="BK502" t="s">
        <v>101</v>
      </c>
      <c r="BL502" t="s">
        <v>641</v>
      </c>
      <c r="BM502" t="s">
        <v>10258</v>
      </c>
      <c r="BN502" t="s">
        <v>74</v>
      </c>
      <c r="BO502" t="s">
        <v>74</v>
      </c>
      <c r="BP502" t="s">
        <v>74</v>
      </c>
      <c r="BQ502" t="s">
        <v>74</v>
      </c>
      <c r="BR502" t="s">
        <v>103</v>
      </c>
      <c r="BS502" t="s">
        <v>10259</v>
      </c>
      <c r="BT502" t="str">
        <f>HYPERLINK("https%3A%2F%2Fwww.webofscience.com%2Fwos%2Fwoscc%2Ffull-record%2FWOS:000782319300001","View Full Record in Web of Science")</f>
        <v>View Full Record in Web of Science</v>
      </c>
    </row>
    <row r="503" spans="1:72" x14ac:dyDescent="0.15">
      <c r="A503" t="s">
        <v>72</v>
      </c>
      <c r="B503" t="s">
        <v>10260</v>
      </c>
      <c r="C503" t="s">
        <v>74</v>
      </c>
      <c r="D503" t="s">
        <v>74</v>
      </c>
      <c r="E503" t="s">
        <v>74</v>
      </c>
      <c r="F503" t="s">
        <v>10261</v>
      </c>
      <c r="G503" t="s">
        <v>74</v>
      </c>
      <c r="H503" t="s">
        <v>74</v>
      </c>
      <c r="I503" t="s">
        <v>10262</v>
      </c>
      <c r="J503" t="s">
        <v>10263</v>
      </c>
      <c r="K503" t="s">
        <v>74</v>
      </c>
      <c r="L503" t="s">
        <v>74</v>
      </c>
      <c r="M503" t="s">
        <v>78</v>
      </c>
      <c r="N503" t="s">
        <v>79</v>
      </c>
      <c r="O503" t="s">
        <v>74</v>
      </c>
      <c r="P503" t="s">
        <v>74</v>
      </c>
      <c r="Q503" t="s">
        <v>74</v>
      </c>
      <c r="R503" t="s">
        <v>74</v>
      </c>
      <c r="S503" t="s">
        <v>74</v>
      </c>
      <c r="T503" t="s">
        <v>74</v>
      </c>
      <c r="U503" t="s">
        <v>10264</v>
      </c>
      <c r="V503" t="s">
        <v>10265</v>
      </c>
      <c r="W503" t="s">
        <v>10266</v>
      </c>
      <c r="X503" t="s">
        <v>10267</v>
      </c>
      <c r="Y503" t="s">
        <v>10268</v>
      </c>
      <c r="Z503" t="s">
        <v>10269</v>
      </c>
      <c r="AA503" t="s">
        <v>10270</v>
      </c>
      <c r="AB503" t="s">
        <v>10271</v>
      </c>
      <c r="AC503" t="s">
        <v>10272</v>
      </c>
      <c r="AD503" t="s">
        <v>10273</v>
      </c>
      <c r="AE503" t="s">
        <v>10274</v>
      </c>
      <c r="AF503" t="s">
        <v>74</v>
      </c>
      <c r="AG503">
        <v>90</v>
      </c>
      <c r="AH503">
        <v>9</v>
      </c>
      <c r="AI503">
        <v>9</v>
      </c>
      <c r="AJ503">
        <v>1</v>
      </c>
      <c r="AK503">
        <v>1</v>
      </c>
      <c r="AL503" t="s">
        <v>400</v>
      </c>
      <c r="AM503" t="s">
        <v>401</v>
      </c>
      <c r="AN503" t="s">
        <v>402</v>
      </c>
      <c r="AO503" t="s">
        <v>74</v>
      </c>
      <c r="AP503" t="s">
        <v>10275</v>
      </c>
      <c r="AQ503" t="s">
        <v>74</v>
      </c>
      <c r="AR503" t="s">
        <v>10276</v>
      </c>
      <c r="AS503" t="s">
        <v>10277</v>
      </c>
      <c r="AT503" t="s">
        <v>10112</v>
      </c>
      <c r="AU503">
        <v>2022</v>
      </c>
      <c r="AV503">
        <v>2</v>
      </c>
      <c r="AW503">
        <v>1</v>
      </c>
      <c r="AX503" t="s">
        <v>74</v>
      </c>
      <c r="AY503" t="s">
        <v>74</v>
      </c>
      <c r="AZ503" t="s">
        <v>74</v>
      </c>
      <c r="BA503" t="s">
        <v>74</v>
      </c>
      <c r="BB503" t="s">
        <v>74</v>
      </c>
      <c r="BC503" t="s">
        <v>74</v>
      </c>
      <c r="BD503">
        <v>37</v>
      </c>
      <c r="BE503" t="s">
        <v>10278</v>
      </c>
      <c r="BF503" t="str">
        <f>HYPERLINK("http://dx.doi.org/10.1038/s43705-022-00118-3","http://dx.doi.org/10.1038/s43705-022-00118-3")</f>
        <v>http://dx.doi.org/10.1038/s43705-022-00118-3</v>
      </c>
      <c r="BG503" t="s">
        <v>74</v>
      </c>
      <c r="BH503" t="s">
        <v>74</v>
      </c>
      <c r="BI503">
        <v>11</v>
      </c>
      <c r="BJ503" t="s">
        <v>10279</v>
      </c>
      <c r="BK503" t="s">
        <v>839</v>
      </c>
      <c r="BL503" t="s">
        <v>10280</v>
      </c>
      <c r="BM503" t="s">
        <v>10281</v>
      </c>
      <c r="BN503">
        <v>37938273</v>
      </c>
      <c r="BO503" t="s">
        <v>660</v>
      </c>
      <c r="BP503" t="s">
        <v>74</v>
      </c>
      <c r="BQ503" t="s">
        <v>74</v>
      </c>
      <c r="BR503" t="s">
        <v>103</v>
      </c>
      <c r="BS503" t="s">
        <v>10282</v>
      </c>
      <c r="BT503" t="str">
        <f>HYPERLINK("https%3A%2F%2Fwww.webofscience.com%2Fwos%2Fwoscc%2Ffull-record%2FWOS:001105679600002","View Full Record in Web of Science")</f>
        <v>View Full Record in Web of Science</v>
      </c>
    </row>
    <row r="504" spans="1:72" x14ac:dyDescent="0.15">
      <c r="A504" t="s">
        <v>72</v>
      </c>
      <c r="B504" t="s">
        <v>10283</v>
      </c>
      <c r="C504" t="s">
        <v>74</v>
      </c>
      <c r="D504" t="s">
        <v>74</v>
      </c>
      <c r="E504" t="s">
        <v>74</v>
      </c>
      <c r="F504" t="s">
        <v>10284</v>
      </c>
      <c r="G504" t="s">
        <v>74</v>
      </c>
      <c r="H504" t="s">
        <v>74</v>
      </c>
      <c r="I504" t="s">
        <v>10285</v>
      </c>
      <c r="J504" t="s">
        <v>189</v>
      </c>
      <c r="K504" t="s">
        <v>74</v>
      </c>
      <c r="L504" t="s">
        <v>74</v>
      </c>
      <c r="M504" t="s">
        <v>78</v>
      </c>
      <c r="N504" t="s">
        <v>79</v>
      </c>
      <c r="O504" t="s">
        <v>74</v>
      </c>
      <c r="P504" t="s">
        <v>74</v>
      </c>
      <c r="Q504" t="s">
        <v>74</v>
      </c>
      <c r="R504" t="s">
        <v>74</v>
      </c>
      <c r="S504" t="s">
        <v>74</v>
      </c>
      <c r="T504" t="s">
        <v>10286</v>
      </c>
      <c r="U504" t="s">
        <v>10287</v>
      </c>
      <c r="V504" t="s">
        <v>10288</v>
      </c>
      <c r="W504" t="s">
        <v>10289</v>
      </c>
      <c r="X504" t="s">
        <v>10290</v>
      </c>
      <c r="Y504" t="s">
        <v>10291</v>
      </c>
      <c r="Z504" t="s">
        <v>10292</v>
      </c>
      <c r="AA504" t="s">
        <v>10293</v>
      </c>
      <c r="AB504" t="s">
        <v>74</v>
      </c>
      <c r="AC504" t="s">
        <v>10294</v>
      </c>
      <c r="AD504" t="s">
        <v>10295</v>
      </c>
      <c r="AE504" t="s">
        <v>10296</v>
      </c>
      <c r="AF504" t="s">
        <v>74</v>
      </c>
      <c r="AG504">
        <v>45</v>
      </c>
      <c r="AH504">
        <v>2</v>
      </c>
      <c r="AI504">
        <v>2</v>
      </c>
      <c r="AJ504">
        <v>0</v>
      </c>
      <c r="AK504">
        <v>12</v>
      </c>
      <c r="AL504" t="s">
        <v>199</v>
      </c>
      <c r="AM504" t="s">
        <v>200</v>
      </c>
      <c r="AN504" t="s">
        <v>201</v>
      </c>
      <c r="AO504" t="s">
        <v>202</v>
      </c>
      <c r="AP504" t="s">
        <v>203</v>
      </c>
      <c r="AQ504" t="s">
        <v>74</v>
      </c>
      <c r="AR504" t="s">
        <v>204</v>
      </c>
      <c r="AS504" t="s">
        <v>205</v>
      </c>
      <c r="AT504" t="s">
        <v>8316</v>
      </c>
      <c r="AU504">
        <v>2022</v>
      </c>
      <c r="AV504">
        <v>198</v>
      </c>
      <c r="AW504" t="s">
        <v>74</v>
      </c>
      <c r="AX504" t="s">
        <v>74</v>
      </c>
      <c r="AY504" t="s">
        <v>74</v>
      </c>
      <c r="AZ504" t="s">
        <v>74</v>
      </c>
      <c r="BA504" t="s">
        <v>74</v>
      </c>
      <c r="BB504" t="s">
        <v>74</v>
      </c>
      <c r="BC504" t="s">
        <v>74</v>
      </c>
      <c r="BD504">
        <v>105052</v>
      </c>
      <c r="BE504" t="s">
        <v>10297</v>
      </c>
      <c r="BF504" t="str">
        <f>HYPERLINK("http://dx.doi.org/10.1016/j.dsr2.2022.105052","http://dx.doi.org/10.1016/j.dsr2.2022.105052")</f>
        <v>http://dx.doi.org/10.1016/j.dsr2.2022.105052</v>
      </c>
      <c r="BG504" t="s">
        <v>74</v>
      </c>
      <c r="BH504" t="s">
        <v>7987</v>
      </c>
      <c r="BI504">
        <v>9</v>
      </c>
      <c r="BJ504" t="s">
        <v>208</v>
      </c>
      <c r="BK504" t="s">
        <v>101</v>
      </c>
      <c r="BL504" t="s">
        <v>208</v>
      </c>
      <c r="BM504" t="s">
        <v>10298</v>
      </c>
      <c r="BN504" t="s">
        <v>74</v>
      </c>
      <c r="BO504" t="s">
        <v>74</v>
      </c>
      <c r="BP504" t="s">
        <v>74</v>
      </c>
      <c r="BQ504" t="s">
        <v>74</v>
      </c>
      <c r="BR504" t="s">
        <v>103</v>
      </c>
      <c r="BS504" t="s">
        <v>10299</v>
      </c>
      <c r="BT504" t="str">
        <f>HYPERLINK("https%3A%2F%2Fwww.webofscience.com%2Fwos%2Fwoscc%2Ffull-record%2FWOS:000792647800006","View Full Record in Web of Science")</f>
        <v>View Full Record in Web of Science</v>
      </c>
    </row>
    <row r="505" spans="1:72" x14ac:dyDescent="0.15">
      <c r="A505" t="s">
        <v>72</v>
      </c>
      <c r="B505" t="s">
        <v>10300</v>
      </c>
      <c r="C505" t="s">
        <v>74</v>
      </c>
      <c r="D505" t="s">
        <v>74</v>
      </c>
      <c r="E505" t="s">
        <v>74</v>
      </c>
      <c r="F505" t="s">
        <v>10301</v>
      </c>
      <c r="G505" t="s">
        <v>74</v>
      </c>
      <c r="H505" t="s">
        <v>74</v>
      </c>
      <c r="I505" t="s">
        <v>10302</v>
      </c>
      <c r="J505" t="s">
        <v>189</v>
      </c>
      <c r="K505" t="s">
        <v>74</v>
      </c>
      <c r="L505" t="s">
        <v>74</v>
      </c>
      <c r="M505" t="s">
        <v>78</v>
      </c>
      <c r="N505" t="s">
        <v>79</v>
      </c>
      <c r="O505" t="s">
        <v>74</v>
      </c>
      <c r="P505" t="s">
        <v>74</v>
      </c>
      <c r="Q505" t="s">
        <v>74</v>
      </c>
      <c r="R505" t="s">
        <v>74</v>
      </c>
      <c r="S505" t="s">
        <v>74</v>
      </c>
      <c r="T505" t="s">
        <v>10303</v>
      </c>
      <c r="U505" t="s">
        <v>10304</v>
      </c>
      <c r="V505" t="s">
        <v>10305</v>
      </c>
      <c r="W505" t="s">
        <v>10306</v>
      </c>
      <c r="X505" t="s">
        <v>10307</v>
      </c>
      <c r="Y505" t="s">
        <v>10308</v>
      </c>
      <c r="Z505" t="s">
        <v>10309</v>
      </c>
      <c r="AA505" t="s">
        <v>10310</v>
      </c>
      <c r="AB505" t="s">
        <v>10311</v>
      </c>
      <c r="AC505" t="s">
        <v>10312</v>
      </c>
      <c r="AD505" t="s">
        <v>10313</v>
      </c>
      <c r="AE505" t="s">
        <v>10314</v>
      </c>
      <c r="AF505" t="s">
        <v>74</v>
      </c>
      <c r="AG505">
        <v>54</v>
      </c>
      <c r="AH505">
        <v>0</v>
      </c>
      <c r="AI505">
        <v>0</v>
      </c>
      <c r="AJ505">
        <v>3</v>
      </c>
      <c r="AK505">
        <v>17</v>
      </c>
      <c r="AL505" t="s">
        <v>199</v>
      </c>
      <c r="AM505" t="s">
        <v>200</v>
      </c>
      <c r="AN505" t="s">
        <v>201</v>
      </c>
      <c r="AO505" t="s">
        <v>202</v>
      </c>
      <c r="AP505" t="s">
        <v>203</v>
      </c>
      <c r="AQ505" t="s">
        <v>74</v>
      </c>
      <c r="AR505" t="s">
        <v>204</v>
      </c>
      <c r="AS505" t="s">
        <v>205</v>
      </c>
      <c r="AT505" t="s">
        <v>8316</v>
      </c>
      <c r="AU505">
        <v>2022</v>
      </c>
      <c r="AV505">
        <v>198</v>
      </c>
      <c r="AW505" t="s">
        <v>74</v>
      </c>
      <c r="AX505" t="s">
        <v>74</v>
      </c>
      <c r="AY505" t="s">
        <v>74</v>
      </c>
      <c r="AZ505" t="s">
        <v>74</v>
      </c>
      <c r="BA505" t="s">
        <v>74</v>
      </c>
      <c r="BB505" t="s">
        <v>74</v>
      </c>
      <c r="BC505" t="s">
        <v>74</v>
      </c>
      <c r="BD505">
        <v>105051</v>
      </c>
      <c r="BE505" t="s">
        <v>10315</v>
      </c>
      <c r="BF505" t="str">
        <f>HYPERLINK("http://dx.doi.org/10.1016/j.dsr2.2022.105051","http://dx.doi.org/10.1016/j.dsr2.2022.105051")</f>
        <v>http://dx.doi.org/10.1016/j.dsr2.2022.105051</v>
      </c>
      <c r="BG505" t="s">
        <v>74</v>
      </c>
      <c r="BH505" t="s">
        <v>7987</v>
      </c>
      <c r="BI505">
        <v>7</v>
      </c>
      <c r="BJ505" t="s">
        <v>208</v>
      </c>
      <c r="BK505" t="s">
        <v>101</v>
      </c>
      <c r="BL505" t="s">
        <v>208</v>
      </c>
      <c r="BM505" t="s">
        <v>10298</v>
      </c>
      <c r="BN505" t="s">
        <v>74</v>
      </c>
      <c r="BO505" t="s">
        <v>74</v>
      </c>
      <c r="BP505" t="s">
        <v>74</v>
      </c>
      <c r="BQ505" t="s">
        <v>74</v>
      </c>
      <c r="BR505" t="s">
        <v>103</v>
      </c>
      <c r="BS505" t="s">
        <v>10316</v>
      </c>
      <c r="BT505" t="str">
        <f>HYPERLINK("https%3A%2F%2Fwww.webofscience.com%2Fwos%2Fwoscc%2Ffull-record%2FWOS:000792647800005","View Full Record in Web of Science")</f>
        <v>View Full Record in Web of Science</v>
      </c>
    </row>
    <row r="506" spans="1:72" x14ac:dyDescent="0.15">
      <c r="A506" t="s">
        <v>72</v>
      </c>
      <c r="B506" t="s">
        <v>10317</v>
      </c>
      <c r="C506" t="s">
        <v>74</v>
      </c>
      <c r="D506" t="s">
        <v>74</v>
      </c>
      <c r="E506" t="s">
        <v>74</v>
      </c>
      <c r="F506" t="s">
        <v>10318</v>
      </c>
      <c r="G506" t="s">
        <v>74</v>
      </c>
      <c r="H506" t="s">
        <v>74</v>
      </c>
      <c r="I506" t="s">
        <v>10319</v>
      </c>
      <c r="J506" t="s">
        <v>189</v>
      </c>
      <c r="K506" t="s">
        <v>74</v>
      </c>
      <c r="L506" t="s">
        <v>74</v>
      </c>
      <c r="M506" t="s">
        <v>78</v>
      </c>
      <c r="N506" t="s">
        <v>79</v>
      </c>
      <c r="O506" t="s">
        <v>74</v>
      </c>
      <c r="P506" t="s">
        <v>74</v>
      </c>
      <c r="Q506" t="s">
        <v>74</v>
      </c>
      <c r="R506" t="s">
        <v>74</v>
      </c>
      <c r="S506" t="s">
        <v>74</v>
      </c>
      <c r="T506" t="s">
        <v>10320</v>
      </c>
      <c r="U506" t="s">
        <v>10321</v>
      </c>
      <c r="V506" t="s">
        <v>10322</v>
      </c>
      <c r="W506" t="s">
        <v>10323</v>
      </c>
      <c r="X506" t="s">
        <v>10324</v>
      </c>
      <c r="Y506" t="s">
        <v>10325</v>
      </c>
      <c r="Z506" t="s">
        <v>10326</v>
      </c>
      <c r="AA506" t="s">
        <v>10327</v>
      </c>
      <c r="AB506" t="s">
        <v>10328</v>
      </c>
      <c r="AC506" t="s">
        <v>10329</v>
      </c>
      <c r="AD506" t="s">
        <v>10329</v>
      </c>
      <c r="AE506" t="s">
        <v>10330</v>
      </c>
      <c r="AF506" t="s">
        <v>74</v>
      </c>
      <c r="AG506">
        <v>85</v>
      </c>
      <c r="AH506">
        <v>7</v>
      </c>
      <c r="AI506">
        <v>7</v>
      </c>
      <c r="AJ506">
        <v>3</v>
      </c>
      <c r="AK506">
        <v>16</v>
      </c>
      <c r="AL506" t="s">
        <v>199</v>
      </c>
      <c r="AM506" t="s">
        <v>200</v>
      </c>
      <c r="AN506" t="s">
        <v>201</v>
      </c>
      <c r="AO506" t="s">
        <v>202</v>
      </c>
      <c r="AP506" t="s">
        <v>203</v>
      </c>
      <c r="AQ506" t="s">
        <v>74</v>
      </c>
      <c r="AR506" t="s">
        <v>204</v>
      </c>
      <c r="AS506" t="s">
        <v>205</v>
      </c>
      <c r="AT506" t="s">
        <v>8316</v>
      </c>
      <c r="AU506">
        <v>2022</v>
      </c>
      <c r="AV506">
        <v>198</v>
      </c>
      <c r="AW506" t="s">
        <v>74</v>
      </c>
      <c r="AX506" t="s">
        <v>74</v>
      </c>
      <c r="AY506" t="s">
        <v>74</v>
      </c>
      <c r="AZ506" t="s">
        <v>74</v>
      </c>
      <c r="BA506" t="s">
        <v>74</v>
      </c>
      <c r="BB506" t="s">
        <v>74</v>
      </c>
      <c r="BC506" t="s">
        <v>74</v>
      </c>
      <c r="BD506">
        <v>105073</v>
      </c>
      <c r="BE506" t="s">
        <v>10331</v>
      </c>
      <c r="BF506" t="str">
        <f>HYPERLINK("http://dx.doi.org/10.1016/j.dsr2.2022.105073","http://dx.doi.org/10.1016/j.dsr2.2022.105073")</f>
        <v>http://dx.doi.org/10.1016/j.dsr2.2022.105073</v>
      </c>
      <c r="BG506" t="s">
        <v>74</v>
      </c>
      <c r="BH506" t="s">
        <v>7987</v>
      </c>
      <c r="BI506">
        <v>16</v>
      </c>
      <c r="BJ506" t="s">
        <v>208</v>
      </c>
      <c r="BK506" t="s">
        <v>101</v>
      </c>
      <c r="BL506" t="s">
        <v>208</v>
      </c>
      <c r="BM506" t="s">
        <v>10298</v>
      </c>
      <c r="BN506" t="s">
        <v>74</v>
      </c>
      <c r="BO506" t="s">
        <v>324</v>
      </c>
      <c r="BP506" t="s">
        <v>74</v>
      </c>
      <c r="BQ506" t="s">
        <v>74</v>
      </c>
      <c r="BR506" t="s">
        <v>103</v>
      </c>
      <c r="BS506" t="s">
        <v>10332</v>
      </c>
      <c r="BT506" t="str">
        <f>HYPERLINK("https%3A%2F%2Fwww.webofscience.com%2Fwos%2Fwoscc%2Ffull-record%2FWOS:000792647800004","View Full Record in Web of Science")</f>
        <v>View Full Record in Web of Science</v>
      </c>
    </row>
    <row r="507" spans="1:72" x14ac:dyDescent="0.15">
      <c r="A507" t="s">
        <v>72</v>
      </c>
      <c r="B507" t="s">
        <v>10333</v>
      </c>
      <c r="C507" t="s">
        <v>74</v>
      </c>
      <c r="D507" t="s">
        <v>74</v>
      </c>
      <c r="E507" t="s">
        <v>74</v>
      </c>
      <c r="F507" t="s">
        <v>10334</v>
      </c>
      <c r="G507" t="s">
        <v>74</v>
      </c>
      <c r="H507" t="s">
        <v>74</v>
      </c>
      <c r="I507" t="s">
        <v>10335</v>
      </c>
      <c r="J507" t="s">
        <v>189</v>
      </c>
      <c r="K507" t="s">
        <v>74</v>
      </c>
      <c r="L507" t="s">
        <v>74</v>
      </c>
      <c r="M507" t="s">
        <v>78</v>
      </c>
      <c r="N507" t="s">
        <v>79</v>
      </c>
      <c r="O507" t="s">
        <v>74</v>
      </c>
      <c r="P507" t="s">
        <v>74</v>
      </c>
      <c r="Q507" t="s">
        <v>74</v>
      </c>
      <c r="R507" t="s">
        <v>74</v>
      </c>
      <c r="S507" t="s">
        <v>74</v>
      </c>
      <c r="T507" t="s">
        <v>10336</v>
      </c>
      <c r="U507" t="s">
        <v>10337</v>
      </c>
      <c r="V507" t="s">
        <v>10338</v>
      </c>
      <c r="W507" t="s">
        <v>10339</v>
      </c>
      <c r="X507" t="s">
        <v>10340</v>
      </c>
      <c r="Y507" t="s">
        <v>10341</v>
      </c>
      <c r="Z507" t="s">
        <v>10342</v>
      </c>
      <c r="AA507" t="s">
        <v>10343</v>
      </c>
      <c r="AB507" t="s">
        <v>10344</v>
      </c>
      <c r="AC507" t="s">
        <v>10345</v>
      </c>
      <c r="AD507" t="s">
        <v>10346</v>
      </c>
      <c r="AE507" t="s">
        <v>10347</v>
      </c>
      <c r="AF507" t="s">
        <v>74</v>
      </c>
      <c r="AG507">
        <v>120</v>
      </c>
      <c r="AH507">
        <v>11</v>
      </c>
      <c r="AI507">
        <v>11</v>
      </c>
      <c r="AJ507">
        <v>6</v>
      </c>
      <c r="AK507">
        <v>9</v>
      </c>
      <c r="AL507" t="s">
        <v>199</v>
      </c>
      <c r="AM507" t="s">
        <v>200</v>
      </c>
      <c r="AN507" t="s">
        <v>201</v>
      </c>
      <c r="AO507" t="s">
        <v>202</v>
      </c>
      <c r="AP507" t="s">
        <v>203</v>
      </c>
      <c r="AQ507" t="s">
        <v>74</v>
      </c>
      <c r="AR507" t="s">
        <v>204</v>
      </c>
      <c r="AS507" t="s">
        <v>205</v>
      </c>
      <c r="AT507" t="s">
        <v>8316</v>
      </c>
      <c r="AU507">
        <v>2022</v>
      </c>
      <c r="AV507">
        <v>198</v>
      </c>
      <c r="AW507" t="s">
        <v>74</v>
      </c>
      <c r="AX507" t="s">
        <v>74</v>
      </c>
      <c r="AY507" t="s">
        <v>74</v>
      </c>
      <c r="AZ507" t="s">
        <v>74</v>
      </c>
      <c r="BA507" t="s">
        <v>74</v>
      </c>
      <c r="BB507" t="s">
        <v>74</v>
      </c>
      <c r="BC507" t="s">
        <v>74</v>
      </c>
      <c r="BD507">
        <v>105074</v>
      </c>
      <c r="BE507" t="s">
        <v>10348</v>
      </c>
      <c r="BF507" t="str">
        <f>HYPERLINK("http://dx.doi.org/10.1016/j.dsr2.2022.105074","http://dx.doi.org/10.1016/j.dsr2.2022.105074")</f>
        <v>http://dx.doi.org/10.1016/j.dsr2.2022.105074</v>
      </c>
      <c r="BG507" t="s">
        <v>74</v>
      </c>
      <c r="BH507" t="s">
        <v>7987</v>
      </c>
      <c r="BI507">
        <v>16</v>
      </c>
      <c r="BJ507" t="s">
        <v>208</v>
      </c>
      <c r="BK507" t="s">
        <v>101</v>
      </c>
      <c r="BL507" t="s">
        <v>208</v>
      </c>
      <c r="BM507" t="s">
        <v>10349</v>
      </c>
      <c r="BN507" t="s">
        <v>74</v>
      </c>
      <c r="BO507" t="s">
        <v>324</v>
      </c>
      <c r="BP507" t="s">
        <v>74</v>
      </c>
      <c r="BQ507" t="s">
        <v>74</v>
      </c>
      <c r="BR507" t="s">
        <v>103</v>
      </c>
      <c r="BS507" t="s">
        <v>10350</v>
      </c>
      <c r="BT507" t="str">
        <f>HYPERLINK("https%3A%2F%2Fwww.webofscience.com%2Fwos%2Fwoscc%2Ffull-record%2FWOS:000792678100002","View Full Record in Web of Science")</f>
        <v>View Full Record in Web of Science</v>
      </c>
    </row>
    <row r="508" spans="1:72" x14ac:dyDescent="0.15">
      <c r="A508" t="s">
        <v>72</v>
      </c>
      <c r="B508" t="s">
        <v>10351</v>
      </c>
      <c r="C508" t="s">
        <v>74</v>
      </c>
      <c r="D508" t="s">
        <v>74</v>
      </c>
      <c r="E508" t="s">
        <v>74</v>
      </c>
      <c r="F508" t="s">
        <v>10352</v>
      </c>
      <c r="G508" t="s">
        <v>74</v>
      </c>
      <c r="H508" t="s">
        <v>74</v>
      </c>
      <c r="I508" t="s">
        <v>10353</v>
      </c>
      <c r="J508" t="s">
        <v>189</v>
      </c>
      <c r="K508" t="s">
        <v>74</v>
      </c>
      <c r="L508" t="s">
        <v>74</v>
      </c>
      <c r="M508" t="s">
        <v>78</v>
      </c>
      <c r="N508" t="s">
        <v>79</v>
      </c>
      <c r="O508" t="s">
        <v>74</v>
      </c>
      <c r="P508" t="s">
        <v>74</v>
      </c>
      <c r="Q508" t="s">
        <v>74</v>
      </c>
      <c r="R508" t="s">
        <v>74</v>
      </c>
      <c r="S508" t="s">
        <v>74</v>
      </c>
      <c r="T508" t="s">
        <v>10354</v>
      </c>
      <c r="U508" t="s">
        <v>10355</v>
      </c>
      <c r="V508" t="s">
        <v>10356</v>
      </c>
      <c r="W508" t="s">
        <v>10357</v>
      </c>
      <c r="X508" t="s">
        <v>10358</v>
      </c>
      <c r="Y508" t="s">
        <v>10359</v>
      </c>
      <c r="Z508" t="s">
        <v>10360</v>
      </c>
      <c r="AA508" t="s">
        <v>10361</v>
      </c>
      <c r="AB508" t="s">
        <v>10362</v>
      </c>
      <c r="AC508" t="s">
        <v>74</v>
      </c>
      <c r="AD508" t="s">
        <v>74</v>
      </c>
      <c r="AE508" t="s">
        <v>74</v>
      </c>
      <c r="AF508" t="s">
        <v>74</v>
      </c>
      <c r="AG508">
        <v>76</v>
      </c>
      <c r="AH508">
        <v>4</v>
      </c>
      <c r="AI508">
        <v>4</v>
      </c>
      <c r="AJ508">
        <v>1</v>
      </c>
      <c r="AK508">
        <v>6</v>
      </c>
      <c r="AL508" t="s">
        <v>199</v>
      </c>
      <c r="AM508" t="s">
        <v>200</v>
      </c>
      <c r="AN508" t="s">
        <v>201</v>
      </c>
      <c r="AO508" t="s">
        <v>202</v>
      </c>
      <c r="AP508" t="s">
        <v>203</v>
      </c>
      <c r="AQ508" t="s">
        <v>74</v>
      </c>
      <c r="AR508" t="s">
        <v>204</v>
      </c>
      <c r="AS508" t="s">
        <v>205</v>
      </c>
      <c r="AT508" t="s">
        <v>8316</v>
      </c>
      <c r="AU508">
        <v>2022</v>
      </c>
      <c r="AV508">
        <v>198</v>
      </c>
      <c r="AW508" t="s">
        <v>74</v>
      </c>
      <c r="AX508" t="s">
        <v>74</v>
      </c>
      <c r="AY508" t="s">
        <v>74</v>
      </c>
      <c r="AZ508" t="s">
        <v>74</v>
      </c>
      <c r="BA508" t="s">
        <v>74</v>
      </c>
      <c r="BB508" t="s">
        <v>74</v>
      </c>
      <c r="BC508" t="s">
        <v>74</v>
      </c>
      <c r="BD508">
        <v>105056</v>
      </c>
      <c r="BE508" t="s">
        <v>10363</v>
      </c>
      <c r="BF508" t="str">
        <f>HYPERLINK("http://dx.doi.org/10.1016/j.dsr2.2022.105056","http://dx.doi.org/10.1016/j.dsr2.2022.105056")</f>
        <v>http://dx.doi.org/10.1016/j.dsr2.2022.105056</v>
      </c>
      <c r="BG508" t="s">
        <v>74</v>
      </c>
      <c r="BH508" t="s">
        <v>7987</v>
      </c>
      <c r="BI508">
        <v>12</v>
      </c>
      <c r="BJ508" t="s">
        <v>208</v>
      </c>
      <c r="BK508" t="s">
        <v>101</v>
      </c>
      <c r="BL508" t="s">
        <v>208</v>
      </c>
      <c r="BM508" t="s">
        <v>10349</v>
      </c>
      <c r="BN508" t="s">
        <v>74</v>
      </c>
      <c r="BO508" t="s">
        <v>1149</v>
      </c>
      <c r="BP508" t="s">
        <v>74</v>
      </c>
      <c r="BQ508" t="s">
        <v>74</v>
      </c>
      <c r="BR508" t="s">
        <v>103</v>
      </c>
      <c r="BS508" t="s">
        <v>10364</v>
      </c>
      <c r="BT508" t="str">
        <f>HYPERLINK("https%3A%2F%2Fwww.webofscience.com%2Fwos%2Fwoscc%2Ffull-record%2FWOS:000792678100003","View Full Record in Web of Science")</f>
        <v>View Full Record in Web of Science</v>
      </c>
    </row>
    <row r="509" spans="1:72" x14ac:dyDescent="0.15">
      <c r="A509" t="s">
        <v>72</v>
      </c>
      <c r="B509" t="s">
        <v>10365</v>
      </c>
      <c r="C509" t="s">
        <v>74</v>
      </c>
      <c r="D509" t="s">
        <v>74</v>
      </c>
      <c r="E509" t="s">
        <v>74</v>
      </c>
      <c r="F509" t="s">
        <v>10366</v>
      </c>
      <c r="G509" t="s">
        <v>74</v>
      </c>
      <c r="H509" t="s">
        <v>74</v>
      </c>
      <c r="I509" t="s">
        <v>10367</v>
      </c>
      <c r="J509" t="s">
        <v>189</v>
      </c>
      <c r="K509" t="s">
        <v>74</v>
      </c>
      <c r="L509" t="s">
        <v>74</v>
      </c>
      <c r="M509" t="s">
        <v>78</v>
      </c>
      <c r="N509" t="s">
        <v>79</v>
      </c>
      <c r="O509" t="s">
        <v>74</v>
      </c>
      <c r="P509" t="s">
        <v>74</v>
      </c>
      <c r="Q509" t="s">
        <v>74</v>
      </c>
      <c r="R509" t="s">
        <v>74</v>
      </c>
      <c r="S509" t="s">
        <v>74</v>
      </c>
      <c r="T509" t="s">
        <v>74</v>
      </c>
      <c r="U509" t="s">
        <v>10368</v>
      </c>
      <c r="V509" t="s">
        <v>10369</v>
      </c>
      <c r="W509" t="s">
        <v>10370</v>
      </c>
      <c r="X509" t="s">
        <v>10371</v>
      </c>
      <c r="Y509" t="s">
        <v>10372</v>
      </c>
      <c r="Z509" t="s">
        <v>10373</v>
      </c>
      <c r="AA509" t="s">
        <v>10374</v>
      </c>
      <c r="AB509" t="s">
        <v>10375</v>
      </c>
      <c r="AC509" t="s">
        <v>10376</v>
      </c>
      <c r="AD509" t="s">
        <v>10377</v>
      </c>
      <c r="AE509" t="s">
        <v>10378</v>
      </c>
      <c r="AF509" t="s">
        <v>74</v>
      </c>
      <c r="AG509">
        <v>78</v>
      </c>
      <c r="AH509">
        <v>5</v>
      </c>
      <c r="AI509">
        <v>5</v>
      </c>
      <c r="AJ509">
        <v>1</v>
      </c>
      <c r="AK509">
        <v>10</v>
      </c>
      <c r="AL509" t="s">
        <v>199</v>
      </c>
      <c r="AM509" t="s">
        <v>200</v>
      </c>
      <c r="AN509" t="s">
        <v>201</v>
      </c>
      <c r="AO509" t="s">
        <v>202</v>
      </c>
      <c r="AP509" t="s">
        <v>203</v>
      </c>
      <c r="AQ509" t="s">
        <v>74</v>
      </c>
      <c r="AR509" t="s">
        <v>204</v>
      </c>
      <c r="AS509" t="s">
        <v>205</v>
      </c>
      <c r="AT509" t="s">
        <v>8316</v>
      </c>
      <c r="AU509">
        <v>2022</v>
      </c>
      <c r="AV509">
        <v>198</v>
      </c>
      <c r="AW509" t="s">
        <v>74</v>
      </c>
      <c r="AX509" t="s">
        <v>74</v>
      </c>
      <c r="AY509" t="s">
        <v>74</v>
      </c>
      <c r="AZ509" t="s">
        <v>74</v>
      </c>
      <c r="BA509" t="s">
        <v>74</v>
      </c>
      <c r="BB509" t="s">
        <v>74</v>
      </c>
      <c r="BC509" t="s">
        <v>74</v>
      </c>
      <c r="BD509">
        <v>105054</v>
      </c>
      <c r="BE509" t="s">
        <v>10379</v>
      </c>
      <c r="BF509" t="str">
        <f>HYPERLINK("http://dx.doi.org/10.1016/j.dsr2.2022.105054","http://dx.doi.org/10.1016/j.dsr2.2022.105054")</f>
        <v>http://dx.doi.org/10.1016/j.dsr2.2022.105054</v>
      </c>
      <c r="BG509" t="s">
        <v>74</v>
      </c>
      <c r="BH509" t="s">
        <v>7987</v>
      </c>
      <c r="BI509">
        <v>15</v>
      </c>
      <c r="BJ509" t="s">
        <v>208</v>
      </c>
      <c r="BK509" t="s">
        <v>101</v>
      </c>
      <c r="BL509" t="s">
        <v>208</v>
      </c>
      <c r="BM509" t="s">
        <v>10380</v>
      </c>
      <c r="BN509" t="s">
        <v>74</v>
      </c>
      <c r="BO509" t="s">
        <v>1149</v>
      </c>
      <c r="BP509" t="s">
        <v>74</v>
      </c>
      <c r="BQ509" t="s">
        <v>74</v>
      </c>
      <c r="BR509" t="s">
        <v>103</v>
      </c>
      <c r="BS509" t="s">
        <v>10381</v>
      </c>
      <c r="BT509" t="str">
        <f>HYPERLINK("https%3A%2F%2Fwww.webofscience.com%2Fwos%2Fwoscc%2Ffull-record%2FWOS:000792634100002","View Full Record in Web of Science")</f>
        <v>View Full Record in Web of Science</v>
      </c>
    </row>
    <row r="510" spans="1:72" x14ac:dyDescent="0.15">
      <c r="A510" t="s">
        <v>72</v>
      </c>
      <c r="B510" t="s">
        <v>10382</v>
      </c>
      <c r="C510" t="s">
        <v>74</v>
      </c>
      <c r="D510" t="s">
        <v>74</v>
      </c>
      <c r="E510" t="s">
        <v>74</v>
      </c>
      <c r="F510" t="s">
        <v>10383</v>
      </c>
      <c r="G510" t="s">
        <v>74</v>
      </c>
      <c r="H510" t="s">
        <v>74</v>
      </c>
      <c r="I510" t="s">
        <v>10384</v>
      </c>
      <c r="J510" t="s">
        <v>189</v>
      </c>
      <c r="K510" t="s">
        <v>74</v>
      </c>
      <c r="L510" t="s">
        <v>74</v>
      </c>
      <c r="M510" t="s">
        <v>78</v>
      </c>
      <c r="N510" t="s">
        <v>79</v>
      </c>
      <c r="O510" t="s">
        <v>74</v>
      </c>
      <c r="P510" t="s">
        <v>74</v>
      </c>
      <c r="Q510" t="s">
        <v>74</v>
      </c>
      <c r="R510" t="s">
        <v>74</v>
      </c>
      <c r="S510" t="s">
        <v>74</v>
      </c>
      <c r="T510" t="s">
        <v>10385</v>
      </c>
      <c r="U510" t="s">
        <v>10386</v>
      </c>
      <c r="V510" t="s">
        <v>10387</v>
      </c>
      <c r="W510" t="s">
        <v>10388</v>
      </c>
      <c r="X510" t="s">
        <v>3179</v>
      </c>
      <c r="Y510" t="s">
        <v>10389</v>
      </c>
      <c r="Z510" t="s">
        <v>10390</v>
      </c>
      <c r="AA510" t="s">
        <v>10391</v>
      </c>
      <c r="AB510" t="s">
        <v>10392</v>
      </c>
      <c r="AC510" t="s">
        <v>10393</v>
      </c>
      <c r="AD510" t="s">
        <v>10393</v>
      </c>
      <c r="AE510" t="s">
        <v>10394</v>
      </c>
      <c r="AF510" t="s">
        <v>74</v>
      </c>
      <c r="AG510">
        <v>109</v>
      </c>
      <c r="AH510">
        <v>5</v>
      </c>
      <c r="AI510">
        <v>5</v>
      </c>
      <c r="AJ510">
        <v>1</v>
      </c>
      <c r="AK510">
        <v>4</v>
      </c>
      <c r="AL510" t="s">
        <v>199</v>
      </c>
      <c r="AM510" t="s">
        <v>200</v>
      </c>
      <c r="AN510" t="s">
        <v>201</v>
      </c>
      <c r="AO510" t="s">
        <v>202</v>
      </c>
      <c r="AP510" t="s">
        <v>203</v>
      </c>
      <c r="AQ510" t="s">
        <v>74</v>
      </c>
      <c r="AR510" t="s">
        <v>204</v>
      </c>
      <c r="AS510" t="s">
        <v>205</v>
      </c>
      <c r="AT510" t="s">
        <v>8316</v>
      </c>
      <c r="AU510">
        <v>2022</v>
      </c>
      <c r="AV510">
        <v>198</v>
      </c>
      <c r="AW510" t="s">
        <v>74</v>
      </c>
      <c r="AX510" t="s">
        <v>74</v>
      </c>
      <c r="AY510" t="s">
        <v>74</v>
      </c>
      <c r="AZ510" t="s">
        <v>74</v>
      </c>
      <c r="BA510" t="s">
        <v>74</v>
      </c>
      <c r="BB510" t="s">
        <v>74</v>
      </c>
      <c r="BC510" t="s">
        <v>74</v>
      </c>
      <c r="BD510">
        <v>105057</v>
      </c>
      <c r="BE510" t="s">
        <v>10395</v>
      </c>
      <c r="BF510" t="str">
        <f>HYPERLINK("http://dx.doi.org/10.1016/j.dsr2.2022.105057","http://dx.doi.org/10.1016/j.dsr2.2022.105057")</f>
        <v>http://dx.doi.org/10.1016/j.dsr2.2022.105057</v>
      </c>
      <c r="BG510" t="s">
        <v>74</v>
      </c>
      <c r="BH510" t="s">
        <v>7987</v>
      </c>
      <c r="BI510">
        <v>16</v>
      </c>
      <c r="BJ510" t="s">
        <v>208</v>
      </c>
      <c r="BK510" t="s">
        <v>101</v>
      </c>
      <c r="BL510" t="s">
        <v>208</v>
      </c>
      <c r="BM510" t="s">
        <v>10380</v>
      </c>
      <c r="BN510" t="s">
        <v>74</v>
      </c>
      <c r="BO510" t="s">
        <v>1149</v>
      </c>
      <c r="BP510" t="s">
        <v>74</v>
      </c>
      <c r="BQ510" t="s">
        <v>74</v>
      </c>
      <c r="BR510" t="s">
        <v>103</v>
      </c>
      <c r="BS510" t="s">
        <v>10396</v>
      </c>
      <c r="BT510" t="str">
        <f>HYPERLINK("https%3A%2F%2Fwww.webofscience.com%2Fwos%2Fwoscc%2Ffull-record%2FWOS:000792634100003","View Full Record in Web of Science")</f>
        <v>View Full Record in Web of Science</v>
      </c>
    </row>
    <row r="511" spans="1:72" x14ac:dyDescent="0.15">
      <c r="A511" t="s">
        <v>72</v>
      </c>
      <c r="B511" t="s">
        <v>10397</v>
      </c>
      <c r="C511" t="s">
        <v>74</v>
      </c>
      <c r="D511" t="s">
        <v>74</v>
      </c>
      <c r="E511" t="s">
        <v>74</v>
      </c>
      <c r="F511" t="s">
        <v>10398</v>
      </c>
      <c r="G511" t="s">
        <v>74</v>
      </c>
      <c r="H511" t="s">
        <v>74</v>
      </c>
      <c r="I511" t="s">
        <v>10399</v>
      </c>
      <c r="J511" t="s">
        <v>189</v>
      </c>
      <c r="K511" t="s">
        <v>74</v>
      </c>
      <c r="L511" t="s">
        <v>74</v>
      </c>
      <c r="M511" t="s">
        <v>78</v>
      </c>
      <c r="N511" t="s">
        <v>79</v>
      </c>
      <c r="O511" t="s">
        <v>74</v>
      </c>
      <c r="P511" t="s">
        <v>74</v>
      </c>
      <c r="Q511" t="s">
        <v>74</v>
      </c>
      <c r="R511" t="s">
        <v>74</v>
      </c>
      <c r="S511" t="s">
        <v>74</v>
      </c>
      <c r="T511" t="s">
        <v>10400</v>
      </c>
      <c r="U511" t="s">
        <v>10401</v>
      </c>
      <c r="V511" t="s">
        <v>10402</v>
      </c>
      <c r="W511" t="s">
        <v>10403</v>
      </c>
      <c r="X511" t="s">
        <v>10404</v>
      </c>
      <c r="Y511" t="s">
        <v>10405</v>
      </c>
      <c r="Z511" t="s">
        <v>10406</v>
      </c>
      <c r="AA511" t="s">
        <v>74</v>
      </c>
      <c r="AB511" t="s">
        <v>10407</v>
      </c>
      <c r="AC511" t="s">
        <v>10408</v>
      </c>
      <c r="AD511" t="s">
        <v>10409</v>
      </c>
      <c r="AE511" t="s">
        <v>10410</v>
      </c>
      <c r="AF511" t="s">
        <v>74</v>
      </c>
      <c r="AG511">
        <v>85</v>
      </c>
      <c r="AH511">
        <v>1</v>
      </c>
      <c r="AI511">
        <v>1</v>
      </c>
      <c r="AJ511">
        <v>6</v>
      </c>
      <c r="AK511">
        <v>23</v>
      </c>
      <c r="AL511" t="s">
        <v>199</v>
      </c>
      <c r="AM511" t="s">
        <v>200</v>
      </c>
      <c r="AN511" t="s">
        <v>201</v>
      </c>
      <c r="AO511" t="s">
        <v>202</v>
      </c>
      <c r="AP511" t="s">
        <v>203</v>
      </c>
      <c r="AQ511" t="s">
        <v>74</v>
      </c>
      <c r="AR511" t="s">
        <v>204</v>
      </c>
      <c r="AS511" t="s">
        <v>205</v>
      </c>
      <c r="AT511" t="s">
        <v>8316</v>
      </c>
      <c r="AU511">
        <v>2022</v>
      </c>
      <c r="AV511">
        <v>198</v>
      </c>
      <c r="AW511" t="s">
        <v>74</v>
      </c>
      <c r="AX511" t="s">
        <v>74</v>
      </c>
      <c r="AY511" t="s">
        <v>74</v>
      </c>
      <c r="AZ511" t="s">
        <v>74</v>
      </c>
      <c r="BA511" t="s">
        <v>74</v>
      </c>
      <c r="BB511" t="s">
        <v>74</v>
      </c>
      <c r="BC511" t="s">
        <v>74</v>
      </c>
      <c r="BD511">
        <v>105049</v>
      </c>
      <c r="BE511" t="s">
        <v>10411</v>
      </c>
      <c r="BF511" t="str">
        <f>HYPERLINK("http://dx.doi.org/10.1016/j.dsr2.2022.105049","http://dx.doi.org/10.1016/j.dsr2.2022.105049")</f>
        <v>http://dx.doi.org/10.1016/j.dsr2.2022.105049</v>
      </c>
      <c r="BG511" t="s">
        <v>74</v>
      </c>
      <c r="BH511" t="s">
        <v>7987</v>
      </c>
      <c r="BI511">
        <v>8</v>
      </c>
      <c r="BJ511" t="s">
        <v>208</v>
      </c>
      <c r="BK511" t="s">
        <v>101</v>
      </c>
      <c r="BL511" t="s">
        <v>208</v>
      </c>
      <c r="BM511" t="s">
        <v>10380</v>
      </c>
      <c r="BN511" t="s">
        <v>74</v>
      </c>
      <c r="BO511" t="s">
        <v>74</v>
      </c>
      <c r="BP511" t="s">
        <v>74</v>
      </c>
      <c r="BQ511" t="s">
        <v>74</v>
      </c>
      <c r="BR511" t="s">
        <v>103</v>
      </c>
      <c r="BS511" t="s">
        <v>10412</v>
      </c>
      <c r="BT511" t="str">
        <f>HYPERLINK("https%3A%2F%2Fwww.webofscience.com%2Fwos%2Fwoscc%2Ffull-record%2FWOS:000792634100001","View Full Record in Web of Science")</f>
        <v>View Full Record in Web of Science</v>
      </c>
    </row>
    <row r="512" spans="1:72" x14ac:dyDescent="0.15">
      <c r="A512" t="s">
        <v>72</v>
      </c>
      <c r="B512" t="s">
        <v>10413</v>
      </c>
      <c r="C512" t="s">
        <v>74</v>
      </c>
      <c r="D512" t="s">
        <v>74</v>
      </c>
      <c r="E512" t="s">
        <v>74</v>
      </c>
      <c r="F512" t="s">
        <v>10414</v>
      </c>
      <c r="G512" t="s">
        <v>74</v>
      </c>
      <c r="H512" t="s">
        <v>74</v>
      </c>
      <c r="I512" t="s">
        <v>10415</v>
      </c>
      <c r="J512" t="s">
        <v>189</v>
      </c>
      <c r="K512" t="s">
        <v>74</v>
      </c>
      <c r="L512" t="s">
        <v>74</v>
      </c>
      <c r="M512" t="s">
        <v>78</v>
      </c>
      <c r="N512" t="s">
        <v>79</v>
      </c>
      <c r="O512" t="s">
        <v>74</v>
      </c>
      <c r="P512" t="s">
        <v>74</v>
      </c>
      <c r="Q512" t="s">
        <v>74</v>
      </c>
      <c r="R512" t="s">
        <v>74</v>
      </c>
      <c r="S512" t="s">
        <v>74</v>
      </c>
      <c r="T512" t="s">
        <v>10416</v>
      </c>
      <c r="U512" t="s">
        <v>10417</v>
      </c>
      <c r="V512" t="s">
        <v>10418</v>
      </c>
      <c r="W512" t="s">
        <v>10419</v>
      </c>
      <c r="X512" t="s">
        <v>10420</v>
      </c>
      <c r="Y512" t="s">
        <v>10421</v>
      </c>
      <c r="Z512" t="s">
        <v>10422</v>
      </c>
      <c r="AA512" t="s">
        <v>10423</v>
      </c>
      <c r="AB512" t="s">
        <v>10424</v>
      </c>
      <c r="AC512" t="s">
        <v>10425</v>
      </c>
      <c r="AD512" t="s">
        <v>10426</v>
      </c>
      <c r="AE512" t="s">
        <v>10427</v>
      </c>
      <c r="AF512" t="s">
        <v>74</v>
      </c>
      <c r="AG512">
        <v>89</v>
      </c>
      <c r="AH512">
        <v>4</v>
      </c>
      <c r="AI512">
        <v>4</v>
      </c>
      <c r="AJ512">
        <v>2</v>
      </c>
      <c r="AK512">
        <v>6</v>
      </c>
      <c r="AL512" t="s">
        <v>199</v>
      </c>
      <c r="AM512" t="s">
        <v>200</v>
      </c>
      <c r="AN512" t="s">
        <v>201</v>
      </c>
      <c r="AO512" t="s">
        <v>202</v>
      </c>
      <c r="AP512" t="s">
        <v>203</v>
      </c>
      <c r="AQ512" t="s">
        <v>74</v>
      </c>
      <c r="AR512" t="s">
        <v>204</v>
      </c>
      <c r="AS512" t="s">
        <v>205</v>
      </c>
      <c r="AT512" t="s">
        <v>8316</v>
      </c>
      <c r="AU512">
        <v>2022</v>
      </c>
      <c r="AV512">
        <v>198</v>
      </c>
      <c r="AW512" t="s">
        <v>74</v>
      </c>
      <c r="AX512" t="s">
        <v>74</v>
      </c>
      <c r="AY512" t="s">
        <v>74</v>
      </c>
      <c r="AZ512" t="s">
        <v>74</v>
      </c>
      <c r="BA512" t="s">
        <v>74</v>
      </c>
      <c r="BB512" t="s">
        <v>74</v>
      </c>
      <c r="BC512" t="s">
        <v>74</v>
      </c>
      <c r="BD512">
        <v>105075</v>
      </c>
      <c r="BE512" t="s">
        <v>10428</v>
      </c>
      <c r="BF512" t="str">
        <f>HYPERLINK("http://dx.doi.org/10.1016/j.dsr2.2022.105075","http://dx.doi.org/10.1016/j.dsr2.2022.105075")</f>
        <v>http://dx.doi.org/10.1016/j.dsr2.2022.105075</v>
      </c>
      <c r="BG512" t="s">
        <v>74</v>
      </c>
      <c r="BH512" t="s">
        <v>7987</v>
      </c>
      <c r="BI512">
        <v>13</v>
      </c>
      <c r="BJ512" t="s">
        <v>208</v>
      </c>
      <c r="BK512" t="s">
        <v>101</v>
      </c>
      <c r="BL512" t="s">
        <v>208</v>
      </c>
      <c r="BM512" t="s">
        <v>10429</v>
      </c>
      <c r="BN512" t="s">
        <v>74</v>
      </c>
      <c r="BO512" t="s">
        <v>267</v>
      </c>
      <c r="BP512" t="s">
        <v>74</v>
      </c>
      <c r="BQ512" t="s">
        <v>74</v>
      </c>
      <c r="BR512" t="s">
        <v>103</v>
      </c>
      <c r="BS512" t="s">
        <v>10430</v>
      </c>
      <c r="BT512" t="str">
        <f>HYPERLINK("https%3A%2F%2Fwww.webofscience.com%2Fwos%2Fwoscc%2Ffull-record%2FWOS:000792695600001","View Full Record in Web of Science")</f>
        <v>View Full Record in Web of Science</v>
      </c>
    </row>
    <row r="513" spans="1:72" x14ac:dyDescent="0.15">
      <c r="A513" t="s">
        <v>72</v>
      </c>
      <c r="B513" t="s">
        <v>10431</v>
      </c>
      <c r="C513" t="s">
        <v>74</v>
      </c>
      <c r="D513" t="s">
        <v>74</v>
      </c>
      <c r="E513" t="s">
        <v>74</v>
      </c>
      <c r="F513" t="s">
        <v>10432</v>
      </c>
      <c r="G513" t="s">
        <v>74</v>
      </c>
      <c r="H513" t="s">
        <v>74</v>
      </c>
      <c r="I513" t="s">
        <v>10433</v>
      </c>
      <c r="J513" t="s">
        <v>272</v>
      </c>
      <c r="K513" t="s">
        <v>74</v>
      </c>
      <c r="L513" t="s">
        <v>74</v>
      </c>
      <c r="M513" t="s">
        <v>78</v>
      </c>
      <c r="N513" t="s">
        <v>79</v>
      </c>
      <c r="O513" t="s">
        <v>74</v>
      </c>
      <c r="P513" t="s">
        <v>74</v>
      </c>
      <c r="Q513" t="s">
        <v>74</v>
      </c>
      <c r="R513" t="s">
        <v>74</v>
      </c>
      <c r="S513" t="s">
        <v>74</v>
      </c>
      <c r="T513" t="s">
        <v>10434</v>
      </c>
      <c r="U513" t="s">
        <v>10435</v>
      </c>
      <c r="V513" t="s">
        <v>10436</v>
      </c>
      <c r="W513" t="s">
        <v>10437</v>
      </c>
      <c r="X513" t="s">
        <v>10438</v>
      </c>
      <c r="Y513" t="s">
        <v>10439</v>
      </c>
      <c r="Z513" t="s">
        <v>10440</v>
      </c>
      <c r="AA513" t="s">
        <v>74</v>
      </c>
      <c r="AB513" t="s">
        <v>74</v>
      </c>
      <c r="AC513" t="s">
        <v>74</v>
      </c>
      <c r="AD513" t="s">
        <v>74</v>
      </c>
      <c r="AE513" t="s">
        <v>74</v>
      </c>
      <c r="AF513" t="s">
        <v>74</v>
      </c>
      <c r="AG513">
        <v>49</v>
      </c>
      <c r="AH513">
        <v>8</v>
      </c>
      <c r="AI513">
        <v>8</v>
      </c>
      <c r="AJ513">
        <v>3</v>
      </c>
      <c r="AK513">
        <v>19</v>
      </c>
      <c r="AL513" t="s">
        <v>285</v>
      </c>
      <c r="AM513" t="s">
        <v>286</v>
      </c>
      <c r="AN513" t="s">
        <v>287</v>
      </c>
      <c r="AO513" t="s">
        <v>74</v>
      </c>
      <c r="AP513" t="s">
        <v>288</v>
      </c>
      <c r="AQ513" t="s">
        <v>74</v>
      </c>
      <c r="AR513" t="s">
        <v>289</v>
      </c>
      <c r="AS513" t="s">
        <v>290</v>
      </c>
      <c r="AT513" t="s">
        <v>10441</v>
      </c>
      <c r="AU513">
        <v>2022</v>
      </c>
      <c r="AV513">
        <v>13</v>
      </c>
      <c r="AW513" t="s">
        <v>74</v>
      </c>
      <c r="AX513" t="s">
        <v>74</v>
      </c>
      <c r="AY513" t="s">
        <v>74</v>
      </c>
      <c r="AZ513" t="s">
        <v>74</v>
      </c>
      <c r="BA513" t="s">
        <v>74</v>
      </c>
      <c r="BB513" t="s">
        <v>74</v>
      </c>
      <c r="BC513" t="s">
        <v>74</v>
      </c>
      <c r="BD513">
        <v>834477</v>
      </c>
      <c r="BE513" t="s">
        <v>10442</v>
      </c>
      <c r="BF513" t="str">
        <f>HYPERLINK("http://dx.doi.org/10.3389/fmicb.2022.834477","http://dx.doi.org/10.3389/fmicb.2022.834477")</f>
        <v>http://dx.doi.org/10.3389/fmicb.2022.834477</v>
      </c>
      <c r="BG513" t="s">
        <v>74</v>
      </c>
      <c r="BH513" t="s">
        <v>74</v>
      </c>
      <c r="BI513">
        <v>10</v>
      </c>
      <c r="BJ513" t="s">
        <v>293</v>
      </c>
      <c r="BK513" t="s">
        <v>101</v>
      </c>
      <c r="BL513" t="s">
        <v>293</v>
      </c>
      <c r="BM513" t="s">
        <v>10443</v>
      </c>
      <c r="BN513">
        <v>35495646</v>
      </c>
      <c r="BO513" t="s">
        <v>295</v>
      </c>
      <c r="BP513" t="s">
        <v>74</v>
      </c>
      <c r="BQ513" t="s">
        <v>74</v>
      </c>
      <c r="BR513" t="s">
        <v>103</v>
      </c>
      <c r="BS513" t="s">
        <v>10444</v>
      </c>
      <c r="BT513" t="str">
        <f>HYPERLINK("https%3A%2F%2Fwww.webofscience.com%2Fwos%2Fwoscc%2Ffull-record%2FWOS:000791194200001","View Full Record in Web of Science")</f>
        <v>View Full Record in Web of Science</v>
      </c>
    </row>
    <row r="514" spans="1:72" x14ac:dyDescent="0.15">
      <c r="A514" t="s">
        <v>72</v>
      </c>
      <c r="B514" t="s">
        <v>10445</v>
      </c>
      <c r="C514" t="s">
        <v>74</v>
      </c>
      <c r="D514" t="s">
        <v>74</v>
      </c>
      <c r="E514" t="s">
        <v>74</v>
      </c>
      <c r="F514" t="s">
        <v>10446</v>
      </c>
      <c r="G514" t="s">
        <v>74</v>
      </c>
      <c r="H514" t="s">
        <v>74</v>
      </c>
      <c r="I514" t="s">
        <v>10447</v>
      </c>
      <c r="J514" t="s">
        <v>3064</v>
      </c>
      <c r="K514" t="s">
        <v>74</v>
      </c>
      <c r="L514" t="s">
        <v>74</v>
      </c>
      <c r="M514" t="s">
        <v>78</v>
      </c>
      <c r="N514" t="s">
        <v>161</v>
      </c>
      <c r="O514" t="s">
        <v>74</v>
      </c>
      <c r="P514" t="s">
        <v>74</v>
      </c>
      <c r="Q514" t="s">
        <v>74</v>
      </c>
      <c r="R514" t="s">
        <v>74</v>
      </c>
      <c r="S514" t="s">
        <v>74</v>
      </c>
      <c r="T514" t="s">
        <v>10448</v>
      </c>
      <c r="U514" t="s">
        <v>10449</v>
      </c>
      <c r="V514" t="s">
        <v>10450</v>
      </c>
      <c r="W514" t="s">
        <v>10451</v>
      </c>
      <c r="X514" t="s">
        <v>10452</v>
      </c>
      <c r="Y514" t="s">
        <v>10453</v>
      </c>
      <c r="Z514" t="s">
        <v>10454</v>
      </c>
      <c r="AA514" t="s">
        <v>10455</v>
      </c>
      <c r="AB514" t="s">
        <v>10456</v>
      </c>
      <c r="AC514" t="s">
        <v>74</v>
      </c>
      <c r="AD514" t="s">
        <v>74</v>
      </c>
      <c r="AE514" t="s">
        <v>74</v>
      </c>
      <c r="AF514" t="s">
        <v>74</v>
      </c>
      <c r="AG514">
        <v>154</v>
      </c>
      <c r="AH514">
        <v>3</v>
      </c>
      <c r="AI514">
        <v>4</v>
      </c>
      <c r="AJ514">
        <v>23</v>
      </c>
      <c r="AK514">
        <v>109</v>
      </c>
      <c r="AL514" t="s">
        <v>285</v>
      </c>
      <c r="AM514" t="s">
        <v>286</v>
      </c>
      <c r="AN514" t="s">
        <v>287</v>
      </c>
      <c r="AO514" t="s">
        <v>74</v>
      </c>
      <c r="AP514" t="s">
        <v>3072</v>
      </c>
      <c r="AQ514" t="s">
        <v>74</v>
      </c>
      <c r="AR514" t="s">
        <v>3073</v>
      </c>
      <c r="AS514" t="s">
        <v>3074</v>
      </c>
      <c r="AT514" t="s">
        <v>10441</v>
      </c>
      <c r="AU514">
        <v>2022</v>
      </c>
      <c r="AV514">
        <v>10</v>
      </c>
      <c r="AW514" t="s">
        <v>74</v>
      </c>
      <c r="AX514" t="s">
        <v>74</v>
      </c>
      <c r="AY514" t="s">
        <v>74</v>
      </c>
      <c r="AZ514" t="s">
        <v>74</v>
      </c>
      <c r="BA514" t="s">
        <v>74</v>
      </c>
      <c r="BB514" t="s">
        <v>74</v>
      </c>
      <c r="BC514" t="s">
        <v>74</v>
      </c>
      <c r="BD514">
        <v>874635</v>
      </c>
      <c r="BE514" t="s">
        <v>10457</v>
      </c>
      <c r="BF514" t="str">
        <f>HYPERLINK("http://dx.doi.org/10.3389/fenvs.2022.874635","http://dx.doi.org/10.3389/fenvs.2022.874635")</f>
        <v>http://dx.doi.org/10.3389/fenvs.2022.874635</v>
      </c>
      <c r="BG514" t="s">
        <v>74</v>
      </c>
      <c r="BH514" t="s">
        <v>74</v>
      </c>
      <c r="BI514">
        <v>15</v>
      </c>
      <c r="BJ514" t="s">
        <v>1104</v>
      </c>
      <c r="BK514" t="s">
        <v>101</v>
      </c>
      <c r="BL514" t="s">
        <v>840</v>
      </c>
      <c r="BM514" t="s">
        <v>10458</v>
      </c>
      <c r="BN514" t="s">
        <v>74</v>
      </c>
      <c r="BO514" t="s">
        <v>438</v>
      </c>
      <c r="BP514" t="s">
        <v>74</v>
      </c>
      <c r="BQ514" t="s">
        <v>74</v>
      </c>
      <c r="BR514" t="s">
        <v>103</v>
      </c>
      <c r="BS514" t="s">
        <v>10459</v>
      </c>
      <c r="BT514" t="str">
        <f>HYPERLINK("https%3A%2F%2Fwww.webofscience.com%2Fwos%2Fwoscc%2Ffull-record%2FWOS:000791197900001","View Full Record in Web of Science")</f>
        <v>View Full Record in Web of Science</v>
      </c>
    </row>
    <row r="515" spans="1:72" x14ac:dyDescent="0.15">
      <c r="A515" t="s">
        <v>72</v>
      </c>
      <c r="B515" t="s">
        <v>10460</v>
      </c>
      <c r="C515" t="s">
        <v>74</v>
      </c>
      <c r="D515" t="s">
        <v>74</v>
      </c>
      <c r="E515" t="s">
        <v>74</v>
      </c>
      <c r="F515" t="s">
        <v>10461</v>
      </c>
      <c r="G515" t="s">
        <v>74</v>
      </c>
      <c r="H515" t="s">
        <v>74</v>
      </c>
      <c r="I515" t="s">
        <v>10462</v>
      </c>
      <c r="J515" t="s">
        <v>10463</v>
      </c>
      <c r="K515" t="s">
        <v>74</v>
      </c>
      <c r="L515" t="s">
        <v>74</v>
      </c>
      <c r="M515" t="s">
        <v>78</v>
      </c>
      <c r="N515" t="s">
        <v>79</v>
      </c>
      <c r="O515" t="s">
        <v>74</v>
      </c>
      <c r="P515" t="s">
        <v>74</v>
      </c>
      <c r="Q515" t="s">
        <v>74</v>
      </c>
      <c r="R515" t="s">
        <v>74</v>
      </c>
      <c r="S515" t="s">
        <v>74</v>
      </c>
      <c r="T515" t="s">
        <v>10464</v>
      </c>
      <c r="U515" t="s">
        <v>10465</v>
      </c>
      <c r="V515" t="s">
        <v>10466</v>
      </c>
      <c r="W515" t="s">
        <v>10467</v>
      </c>
      <c r="X515" t="s">
        <v>1853</v>
      </c>
      <c r="Y515" t="s">
        <v>10468</v>
      </c>
      <c r="Z515" t="s">
        <v>10469</v>
      </c>
      <c r="AA515" t="s">
        <v>74</v>
      </c>
      <c r="AB515" t="s">
        <v>74</v>
      </c>
      <c r="AC515" t="s">
        <v>10470</v>
      </c>
      <c r="AD515" t="s">
        <v>4081</v>
      </c>
      <c r="AE515" t="s">
        <v>10471</v>
      </c>
      <c r="AF515" t="s">
        <v>74</v>
      </c>
      <c r="AG515">
        <v>65</v>
      </c>
      <c r="AH515">
        <v>0</v>
      </c>
      <c r="AI515">
        <v>0</v>
      </c>
      <c r="AJ515">
        <v>0</v>
      </c>
      <c r="AK515">
        <v>2</v>
      </c>
      <c r="AL515" t="s">
        <v>530</v>
      </c>
      <c r="AM515" t="s">
        <v>531</v>
      </c>
      <c r="AN515" t="s">
        <v>532</v>
      </c>
      <c r="AO515" t="s">
        <v>10472</v>
      </c>
      <c r="AP515" t="s">
        <v>10473</v>
      </c>
      <c r="AQ515" t="s">
        <v>74</v>
      </c>
      <c r="AR515" t="s">
        <v>10474</v>
      </c>
      <c r="AS515" t="s">
        <v>10475</v>
      </c>
      <c r="AT515" t="s">
        <v>10441</v>
      </c>
      <c r="AU515">
        <v>2022</v>
      </c>
      <c r="AV515">
        <v>84</v>
      </c>
      <c r="AW515">
        <v>5</v>
      </c>
      <c r="AX515" t="s">
        <v>74</v>
      </c>
      <c r="AY515" t="s">
        <v>74</v>
      </c>
      <c r="AZ515" t="s">
        <v>74</v>
      </c>
      <c r="BA515" t="s">
        <v>74</v>
      </c>
      <c r="BB515" t="s">
        <v>74</v>
      </c>
      <c r="BC515" t="s">
        <v>74</v>
      </c>
      <c r="BD515">
        <v>48</v>
      </c>
      <c r="BE515" t="s">
        <v>10476</v>
      </c>
      <c r="BF515" t="str">
        <f>HYPERLINK("http://dx.doi.org/10.1007/s00445-022-01558-4","http://dx.doi.org/10.1007/s00445-022-01558-4")</f>
        <v>http://dx.doi.org/10.1007/s00445-022-01558-4</v>
      </c>
      <c r="BG515" t="s">
        <v>74</v>
      </c>
      <c r="BH515" t="s">
        <v>74</v>
      </c>
      <c r="BI515">
        <v>11</v>
      </c>
      <c r="BJ515" t="s">
        <v>265</v>
      </c>
      <c r="BK515" t="s">
        <v>101</v>
      </c>
      <c r="BL515" t="s">
        <v>100</v>
      </c>
      <c r="BM515" t="s">
        <v>10477</v>
      </c>
      <c r="BN515" t="s">
        <v>74</v>
      </c>
      <c r="BO515" t="s">
        <v>74</v>
      </c>
      <c r="BP515" t="s">
        <v>74</v>
      </c>
      <c r="BQ515" t="s">
        <v>74</v>
      </c>
      <c r="BR515" t="s">
        <v>103</v>
      </c>
      <c r="BS515" t="s">
        <v>10478</v>
      </c>
      <c r="BT515" t="str">
        <f>HYPERLINK("https%3A%2F%2Fwww.webofscience.com%2Fwos%2Fwoscc%2Ffull-record%2FWOS:000783368900001","View Full Record in Web of Science")</f>
        <v>View Full Record in Web of Science</v>
      </c>
    </row>
    <row r="516" spans="1:72" x14ac:dyDescent="0.15">
      <c r="A516" t="s">
        <v>72</v>
      </c>
      <c r="B516" t="s">
        <v>10479</v>
      </c>
      <c r="C516" t="s">
        <v>74</v>
      </c>
      <c r="D516" t="s">
        <v>74</v>
      </c>
      <c r="E516" t="s">
        <v>74</v>
      </c>
      <c r="F516" t="s">
        <v>10480</v>
      </c>
      <c r="G516" t="s">
        <v>74</v>
      </c>
      <c r="H516" t="s">
        <v>74</v>
      </c>
      <c r="I516" t="s">
        <v>10481</v>
      </c>
      <c r="J516" t="s">
        <v>415</v>
      </c>
      <c r="K516" t="s">
        <v>74</v>
      </c>
      <c r="L516" t="s">
        <v>74</v>
      </c>
      <c r="M516" t="s">
        <v>78</v>
      </c>
      <c r="N516" t="s">
        <v>79</v>
      </c>
      <c r="O516" t="s">
        <v>74</v>
      </c>
      <c r="P516" t="s">
        <v>74</v>
      </c>
      <c r="Q516" t="s">
        <v>74</v>
      </c>
      <c r="R516" t="s">
        <v>74</v>
      </c>
      <c r="S516" t="s">
        <v>74</v>
      </c>
      <c r="T516" t="s">
        <v>10482</v>
      </c>
      <c r="U516" t="s">
        <v>10483</v>
      </c>
      <c r="V516" t="s">
        <v>10484</v>
      </c>
      <c r="W516" t="s">
        <v>10485</v>
      </c>
      <c r="X516" t="s">
        <v>10486</v>
      </c>
      <c r="Y516" t="s">
        <v>10487</v>
      </c>
      <c r="Z516" t="s">
        <v>10488</v>
      </c>
      <c r="AA516" t="s">
        <v>74</v>
      </c>
      <c r="AB516" t="s">
        <v>10489</v>
      </c>
      <c r="AC516" t="s">
        <v>10490</v>
      </c>
      <c r="AD516" t="s">
        <v>10491</v>
      </c>
      <c r="AE516" t="s">
        <v>10492</v>
      </c>
      <c r="AF516" t="s">
        <v>74</v>
      </c>
      <c r="AG516">
        <v>69</v>
      </c>
      <c r="AH516">
        <v>9</v>
      </c>
      <c r="AI516">
        <v>10</v>
      </c>
      <c r="AJ516">
        <v>4</v>
      </c>
      <c r="AK516">
        <v>16</v>
      </c>
      <c r="AL516" t="s">
        <v>428</v>
      </c>
      <c r="AM516" t="s">
        <v>174</v>
      </c>
      <c r="AN516" t="s">
        <v>429</v>
      </c>
      <c r="AO516" t="s">
        <v>430</v>
      </c>
      <c r="AP516" t="s">
        <v>431</v>
      </c>
      <c r="AQ516" t="s">
        <v>74</v>
      </c>
      <c r="AR516" t="s">
        <v>432</v>
      </c>
      <c r="AS516" t="s">
        <v>433</v>
      </c>
      <c r="AT516" t="s">
        <v>97</v>
      </c>
      <c r="AU516">
        <v>2022</v>
      </c>
      <c r="AV516">
        <v>68</v>
      </c>
      <c r="AW516">
        <v>272</v>
      </c>
      <c r="AX516" t="s">
        <v>74</v>
      </c>
      <c r="AY516" t="s">
        <v>74</v>
      </c>
      <c r="AZ516" t="s">
        <v>74</v>
      </c>
      <c r="BA516" t="s">
        <v>74</v>
      </c>
      <c r="BB516">
        <v>1127</v>
      </c>
      <c r="BC516">
        <v>1140</v>
      </c>
      <c r="BD516" t="s">
        <v>10493</v>
      </c>
      <c r="BE516" t="s">
        <v>10494</v>
      </c>
      <c r="BF516" t="str">
        <f>HYPERLINK("http://dx.doi.org/10.1017/jog.2022.27","http://dx.doi.org/10.1017/jog.2022.27")</f>
        <v>http://dx.doi.org/10.1017/jog.2022.27</v>
      </c>
      <c r="BG516" t="s">
        <v>74</v>
      </c>
      <c r="BH516" t="s">
        <v>7987</v>
      </c>
      <c r="BI516">
        <v>14</v>
      </c>
      <c r="BJ516" t="s">
        <v>125</v>
      </c>
      <c r="BK516" t="s">
        <v>101</v>
      </c>
      <c r="BL516" t="s">
        <v>126</v>
      </c>
      <c r="BM516" t="s">
        <v>3372</v>
      </c>
      <c r="BN516" t="s">
        <v>74</v>
      </c>
      <c r="BO516" t="s">
        <v>438</v>
      </c>
      <c r="BP516" t="s">
        <v>74</v>
      </c>
      <c r="BQ516" t="s">
        <v>74</v>
      </c>
      <c r="BR516" t="s">
        <v>103</v>
      </c>
      <c r="BS516" t="s">
        <v>10495</v>
      </c>
      <c r="BT516" t="str">
        <f>HYPERLINK("https%3A%2F%2Fwww.webofscience.com%2Fwos%2Fwoscc%2Ffull-record%2FWOS:000781960400001","View Full Record in Web of Science")</f>
        <v>View Full Record in Web of Science</v>
      </c>
    </row>
    <row r="517" spans="1:72" x14ac:dyDescent="0.15">
      <c r="A517" t="s">
        <v>72</v>
      </c>
      <c r="B517" t="s">
        <v>10496</v>
      </c>
      <c r="C517" t="s">
        <v>74</v>
      </c>
      <c r="D517" t="s">
        <v>74</v>
      </c>
      <c r="E517" t="s">
        <v>74</v>
      </c>
      <c r="F517" t="s">
        <v>10497</v>
      </c>
      <c r="G517" t="s">
        <v>74</v>
      </c>
      <c r="H517" t="s">
        <v>74</v>
      </c>
      <c r="I517" t="s">
        <v>10498</v>
      </c>
      <c r="J517" t="s">
        <v>10499</v>
      </c>
      <c r="K517" t="s">
        <v>74</v>
      </c>
      <c r="L517" t="s">
        <v>74</v>
      </c>
      <c r="M517" t="s">
        <v>78</v>
      </c>
      <c r="N517" t="s">
        <v>79</v>
      </c>
      <c r="O517" t="s">
        <v>74</v>
      </c>
      <c r="P517" t="s">
        <v>74</v>
      </c>
      <c r="Q517" t="s">
        <v>74</v>
      </c>
      <c r="R517" t="s">
        <v>74</v>
      </c>
      <c r="S517" t="s">
        <v>74</v>
      </c>
      <c r="T517" t="s">
        <v>10500</v>
      </c>
      <c r="U517" t="s">
        <v>74</v>
      </c>
      <c r="V517" t="s">
        <v>10501</v>
      </c>
      <c r="W517" t="s">
        <v>10502</v>
      </c>
      <c r="X517" t="s">
        <v>10503</v>
      </c>
      <c r="Y517" t="s">
        <v>10504</v>
      </c>
      <c r="Z517" t="s">
        <v>10505</v>
      </c>
      <c r="AA517" t="s">
        <v>74</v>
      </c>
      <c r="AB517" t="s">
        <v>74</v>
      </c>
      <c r="AC517" t="s">
        <v>74</v>
      </c>
      <c r="AD517" t="s">
        <v>74</v>
      </c>
      <c r="AE517" t="s">
        <v>74</v>
      </c>
      <c r="AF517" t="s">
        <v>74</v>
      </c>
      <c r="AG517">
        <v>51</v>
      </c>
      <c r="AH517">
        <v>0</v>
      </c>
      <c r="AI517">
        <v>0</v>
      </c>
      <c r="AJ517">
        <v>0</v>
      </c>
      <c r="AK517">
        <v>4</v>
      </c>
      <c r="AL517" t="s">
        <v>530</v>
      </c>
      <c r="AM517" t="s">
        <v>531</v>
      </c>
      <c r="AN517" t="s">
        <v>532</v>
      </c>
      <c r="AO517" t="s">
        <v>10506</v>
      </c>
      <c r="AP517" t="s">
        <v>10507</v>
      </c>
      <c r="AQ517" t="s">
        <v>74</v>
      </c>
      <c r="AR517" t="s">
        <v>10508</v>
      </c>
      <c r="AS517" t="s">
        <v>10509</v>
      </c>
      <c r="AT517" t="s">
        <v>537</v>
      </c>
      <c r="AU517">
        <v>2022</v>
      </c>
      <c r="AV517">
        <v>15</v>
      </c>
      <c r="AW517" t="s">
        <v>3167</v>
      </c>
      <c r="AX517" t="s">
        <v>74</v>
      </c>
      <c r="AY517" t="s">
        <v>74</v>
      </c>
      <c r="AZ517" t="s">
        <v>74</v>
      </c>
      <c r="BA517" t="s">
        <v>74</v>
      </c>
      <c r="BB517">
        <v>41</v>
      </c>
      <c r="BC517">
        <v>67</v>
      </c>
      <c r="BD517" t="s">
        <v>74</v>
      </c>
      <c r="BE517" t="s">
        <v>10510</v>
      </c>
      <c r="BF517" t="str">
        <f>HYPERLINK("http://dx.doi.org/10.1007/s12198-021-00241-7","http://dx.doi.org/10.1007/s12198-021-00241-7")</f>
        <v>http://dx.doi.org/10.1007/s12198-021-00241-7</v>
      </c>
      <c r="BG517" t="s">
        <v>74</v>
      </c>
      <c r="BH517" t="s">
        <v>7987</v>
      </c>
      <c r="BI517">
        <v>27</v>
      </c>
      <c r="BJ517" t="s">
        <v>10511</v>
      </c>
      <c r="BK517" t="s">
        <v>839</v>
      </c>
      <c r="BL517" t="s">
        <v>10511</v>
      </c>
      <c r="BM517" t="s">
        <v>10512</v>
      </c>
      <c r="BN517" t="s">
        <v>74</v>
      </c>
      <c r="BO517" t="s">
        <v>267</v>
      </c>
      <c r="BP517" t="s">
        <v>74</v>
      </c>
      <c r="BQ517" t="s">
        <v>74</v>
      </c>
      <c r="BR517" t="s">
        <v>103</v>
      </c>
      <c r="BS517" t="s">
        <v>10513</v>
      </c>
      <c r="BT517" t="str">
        <f>HYPERLINK("https%3A%2F%2Fwww.webofscience.com%2Fwos%2Fwoscc%2Ffull-record%2FWOS:000781816500001","View Full Record in Web of Science")</f>
        <v>View Full Record in Web of Science</v>
      </c>
    </row>
    <row r="518" spans="1:72" x14ac:dyDescent="0.15">
      <c r="A518" t="s">
        <v>72</v>
      </c>
      <c r="B518" t="s">
        <v>10514</v>
      </c>
      <c r="C518" t="s">
        <v>74</v>
      </c>
      <c r="D518" t="s">
        <v>74</v>
      </c>
      <c r="E518" t="s">
        <v>74</v>
      </c>
      <c r="F518" t="s">
        <v>10515</v>
      </c>
      <c r="G518" t="s">
        <v>74</v>
      </c>
      <c r="H518" t="s">
        <v>74</v>
      </c>
      <c r="I518" t="s">
        <v>10516</v>
      </c>
      <c r="J518" t="s">
        <v>10517</v>
      </c>
      <c r="K518" t="s">
        <v>74</v>
      </c>
      <c r="L518" t="s">
        <v>74</v>
      </c>
      <c r="M518" t="s">
        <v>78</v>
      </c>
      <c r="N518" t="s">
        <v>79</v>
      </c>
      <c r="O518" t="s">
        <v>74</v>
      </c>
      <c r="P518" t="s">
        <v>74</v>
      </c>
      <c r="Q518" t="s">
        <v>74</v>
      </c>
      <c r="R518" t="s">
        <v>74</v>
      </c>
      <c r="S518" t="s">
        <v>74</v>
      </c>
      <c r="T518" t="s">
        <v>10518</v>
      </c>
      <c r="U518" t="s">
        <v>10519</v>
      </c>
      <c r="V518" t="s">
        <v>10520</v>
      </c>
      <c r="W518" t="s">
        <v>10521</v>
      </c>
      <c r="X518" t="s">
        <v>10522</v>
      </c>
      <c r="Y518" t="s">
        <v>10523</v>
      </c>
      <c r="Z518" t="s">
        <v>10524</v>
      </c>
      <c r="AA518" t="s">
        <v>10525</v>
      </c>
      <c r="AB518" t="s">
        <v>74</v>
      </c>
      <c r="AC518" t="s">
        <v>10526</v>
      </c>
      <c r="AD518" t="s">
        <v>10527</v>
      </c>
      <c r="AE518" t="s">
        <v>10528</v>
      </c>
      <c r="AF518" t="s">
        <v>74</v>
      </c>
      <c r="AG518">
        <v>36</v>
      </c>
      <c r="AH518">
        <v>4</v>
      </c>
      <c r="AI518">
        <v>4</v>
      </c>
      <c r="AJ518">
        <v>5</v>
      </c>
      <c r="AK518">
        <v>18</v>
      </c>
      <c r="AL518" t="s">
        <v>530</v>
      </c>
      <c r="AM518" t="s">
        <v>1121</v>
      </c>
      <c r="AN518" t="s">
        <v>1122</v>
      </c>
      <c r="AO518" t="s">
        <v>10529</v>
      </c>
      <c r="AP518" t="s">
        <v>10530</v>
      </c>
      <c r="AQ518" t="s">
        <v>74</v>
      </c>
      <c r="AR518" t="s">
        <v>10531</v>
      </c>
      <c r="AS518" t="s">
        <v>10532</v>
      </c>
      <c r="AT518" t="s">
        <v>206</v>
      </c>
      <c r="AU518">
        <v>2022</v>
      </c>
      <c r="AV518">
        <v>49</v>
      </c>
      <c r="AW518">
        <v>7</v>
      </c>
      <c r="AX518" t="s">
        <v>74</v>
      </c>
      <c r="AY518" t="s">
        <v>74</v>
      </c>
      <c r="AZ518" t="s">
        <v>74</v>
      </c>
      <c r="BA518" t="s">
        <v>74</v>
      </c>
      <c r="BB518">
        <v>6225</v>
      </c>
      <c r="BC518">
        <v>6233</v>
      </c>
      <c r="BD518" t="s">
        <v>74</v>
      </c>
      <c r="BE518" t="s">
        <v>10533</v>
      </c>
      <c r="BF518" t="str">
        <f>HYPERLINK("http://dx.doi.org/10.1007/s11033-022-07418-w","http://dx.doi.org/10.1007/s11033-022-07418-w")</f>
        <v>http://dx.doi.org/10.1007/s11033-022-07418-w</v>
      </c>
      <c r="BG518" t="s">
        <v>74</v>
      </c>
      <c r="BH518" t="s">
        <v>7987</v>
      </c>
      <c r="BI518">
        <v>9</v>
      </c>
      <c r="BJ518" t="s">
        <v>10534</v>
      </c>
      <c r="BK518" t="s">
        <v>101</v>
      </c>
      <c r="BL518" t="s">
        <v>10534</v>
      </c>
      <c r="BM518" t="s">
        <v>10535</v>
      </c>
      <c r="BN518">
        <v>35412176</v>
      </c>
      <c r="BO518" t="s">
        <v>74</v>
      </c>
      <c r="BP518" t="s">
        <v>74</v>
      </c>
      <c r="BQ518" t="s">
        <v>74</v>
      </c>
      <c r="BR518" t="s">
        <v>103</v>
      </c>
      <c r="BS518" t="s">
        <v>10536</v>
      </c>
      <c r="BT518" t="str">
        <f>HYPERLINK("https%3A%2F%2Fwww.webofscience.com%2Fwos%2Fwoscc%2Ffull-record%2FWOS:000781750600002","View Full Record in Web of Science")</f>
        <v>View Full Record in Web of Science</v>
      </c>
    </row>
    <row r="519" spans="1:72" x14ac:dyDescent="0.15">
      <c r="A519" t="s">
        <v>72</v>
      </c>
      <c r="B519" t="s">
        <v>10537</v>
      </c>
      <c r="C519" t="s">
        <v>74</v>
      </c>
      <c r="D519" t="s">
        <v>74</v>
      </c>
      <c r="E519" t="s">
        <v>74</v>
      </c>
      <c r="F519" t="s">
        <v>10538</v>
      </c>
      <c r="G519" t="s">
        <v>74</v>
      </c>
      <c r="H519" t="s">
        <v>74</v>
      </c>
      <c r="I519" t="s">
        <v>10539</v>
      </c>
      <c r="J519" t="s">
        <v>10540</v>
      </c>
      <c r="K519" t="s">
        <v>74</v>
      </c>
      <c r="L519" t="s">
        <v>74</v>
      </c>
      <c r="M519" t="s">
        <v>78</v>
      </c>
      <c r="N519" t="s">
        <v>161</v>
      </c>
      <c r="O519" t="s">
        <v>74</v>
      </c>
      <c r="P519" t="s">
        <v>74</v>
      </c>
      <c r="Q519" t="s">
        <v>74</v>
      </c>
      <c r="R519" t="s">
        <v>74</v>
      </c>
      <c r="S519" t="s">
        <v>74</v>
      </c>
      <c r="T519" t="s">
        <v>74</v>
      </c>
      <c r="U519" t="s">
        <v>10541</v>
      </c>
      <c r="V519" t="s">
        <v>10542</v>
      </c>
      <c r="W519" t="s">
        <v>10543</v>
      </c>
      <c r="X519" t="s">
        <v>10544</v>
      </c>
      <c r="Y519" t="s">
        <v>10545</v>
      </c>
      <c r="Z519" t="s">
        <v>10546</v>
      </c>
      <c r="AA519" t="s">
        <v>10547</v>
      </c>
      <c r="AB519" t="s">
        <v>10548</v>
      </c>
      <c r="AC519" t="s">
        <v>10549</v>
      </c>
      <c r="AD519" t="s">
        <v>10550</v>
      </c>
      <c r="AE519" t="s">
        <v>10551</v>
      </c>
      <c r="AF519" t="s">
        <v>74</v>
      </c>
      <c r="AG519">
        <v>199</v>
      </c>
      <c r="AH519">
        <v>32</v>
      </c>
      <c r="AI519">
        <v>32</v>
      </c>
      <c r="AJ519">
        <v>22</v>
      </c>
      <c r="AK519">
        <v>119</v>
      </c>
      <c r="AL519" t="s">
        <v>455</v>
      </c>
      <c r="AM519" t="s">
        <v>456</v>
      </c>
      <c r="AN519" t="s">
        <v>457</v>
      </c>
      <c r="AO519" t="s">
        <v>10552</v>
      </c>
      <c r="AP519" t="s">
        <v>10553</v>
      </c>
      <c r="AQ519" t="s">
        <v>74</v>
      </c>
      <c r="AR519" t="s">
        <v>10554</v>
      </c>
      <c r="AS519" t="s">
        <v>10555</v>
      </c>
      <c r="AT519" t="s">
        <v>150</v>
      </c>
      <c r="AU519">
        <v>2022</v>
      </c>
      <c r="AV519">
        <v>20</v>
      </c>
      <c r="AW519">
        <v>9</v>
      </c>
      <c r="AX519" t="s">
        <v>74</v>
      </c>
      <c r="AY519" t="s">
        <v>74</v>
      </c>
      <c r="AZ519" t="s">
        <v>74</v>
      </c>
      <c r="BA519" t="s">
        <v>74</v>
      </c>
      <c r="BB519">
        <v>513</v>
      </c>
      <c r="BC519">
        <v>528</v>
      </c>
      <c r="BD519" t="s">
        <v>74</v>
      </c>
      <c r="BE519" t="s">
        <v>10556</v>
      </c>
      <c r="BF519" t="str">
        <f>HYPERLINK("http://dx.doi.org/10.1038/s41579-022-00724-x","http://dx.doi.org/10.1038/s41579-022-00724-x")</f>
        <v>http://dx.doi.org/10.1038/s41579-022-00724-x</v>
      </c>
      <c r="BG519" t="s">
        <v>74</v>
      </c>
      <c r="BH519" t="s">
        <v>7987</v>
      </c>
      <c r="BI519">
        <v>16</v>
      </c>
      <c r="BJ519" t="s">
        <v>293</v>
      </c>
      <c r="BK519" t="s">
        <v>101</v>
      </c>
      <c r="BL519" t="s">
        <v>293</v>
      </c>
      <c r="BM519" t="s">
        <v>10557</v>
      </c>
      <c r="BN519">
        <v>35414013</v>
      </c>
      <c r="BO519" t="s">
        <v>74</v>
      </c>
      <c r="BP519" t="s">
        <v>74</v>
      </c>
      <c r="BQ519" t="s">
        <v>74</v>
      </c>
      <c r="BR519" t="s">
        <v>103</v>
      </c>
      <c r="BS519" t="s">
        <v>10558</v>
      </c>
      <c r="BT519" t="str">
        <f>HYPERLINK("https%3A%2F%2Fwww.webofscience.com%2Fwos%2Fwoscc%2Ffull-record%2FWOS:000781790700001","View Full Record in Web of Science")</f>
        <v>View Full Record in Web of Science</v>
      </c>
    </row>
    <row r="520" spans="1:72" x14ac:dyDescent="0.15">
      <c r="A520" t="s">
        <v>72</v>
      </c>
      <c r="B520" t="s">
        <v>10559</v>
      </c>
      <c r="C520" t="s">
        <v>74</v>
      </c>
      <c r="D520" t="s">
        <v>74</v>
      </c>
      <c r="E520" t="s">
        <v>74</v>
      </c>
      <c r="F520" t="s">
        <v>10560</v>
      </c>
      <c r="G520" t="s">
        <v>74</v>
      </c>
      <c r="H520" t="s">
        <v>74</v>
      </c>
      <c r="I520" t="s">
        <v>10561</v>
      </c>
      <c r="J520" t="s">
        <v>108</v>
      </c>
      <c r="K520" t="s">
        <v>74</v>
      </c>
      <c r="L520" t="s">
        <v>74</v>
      </c>
      <c r="M520" t="s">
        <v>78</v>
      </c>
      <c r="N520" t="s">
        <v>79</v>
      </c>
      <c r="O520" t="s">
        <v>74</v>
      </c>
      <c r="P520" t="s">
        <v>74</v>
      </c>
      <c r="Q520" t="s">
        <v>74</v>
      </c>
      <c r="R520" t="s">
        <v>74</v>
      </c>
      <c r="S520" t="s">
        <v>74</v>
      </c>
      <c r="T520" t="s">
        <v>74</v>
      </c>
      <c r="U520" t="s">
        <v>10562</v>
      </c>
      <c r="V520" t="s">
        <v>10563</v>
      </c>
      <c r="W520" t="s">
        <v>10564</v>
      </c>
      <c r="X520" t="s">
        <v>10565</v>
      </c>
      <c r="Y520" t="s">
        <v>10566</v>
      </c>
      <c r="Z520" t="s">
        <v>10567</v>
      </c>
      <c r="AA520" t="s">
        <v>10568</v>
      </c>
      <c r="AB520" t="s">
        <v>10569</v>
      </c>
      <c r="AC520" t="s">
        <v>10570</v>
      </c>
      <c r="AD520" t="s">
        <v>10571</v>
      </c>
      <c r="AE520" t="s">
        <v>10572</v>
      </c>
      <c r="AF520" t="s">
        <v>74</v>
      </c>
      <c r="AG520">
        <v>70</v>
      </c>
      <c r="AH520">
        <v>5</v>
      </c>
      <c r="AI520">
        <v>5</v>
      </c>
      <c r="AJ520">
        <v>1</v>
      </c>
      <c r="AK520">
        <v>8</v>
      </c>
      <c r="AL520" t="s">
        <v>117</v>
      </c>
      <c r="AM520" t="s">
        <v>118</v>
      </c>
      <c r="AN520" t="s">
        <v>119</v>
      </c>
      <c r="AO520" t="s">
        <v>120</v>
      </c>
      <c r="AP520" t="s">
        <v>121</v>
      </c>
      <c r="AQ520" t="s">
        <v>74</v>
      </c>
      <c r="AR520" t="s">
        <v>108</v>
      </c>
      <c r="AS520" t="s">
        <v>122</v>
      </c>
      <c r="AT520" t="s">
        <v>10441</v>
      </c>
      <c r="AU520">
        <v>2022</v>
      </c>
      <c r="AV520">
        <v>16</v>
      </c>
      <c r="AW520">
        <v>4</v>
      </c>
      <c r="AX520" t="s">
        <v>74</v>
      </c>
      <c r="AY520" t="s">
        <v>74</v>
      </c>
      <c r="AZ520" t="s">
        <v>74</v>
      </c>
      <c r="BA520" t="s">
        <v>74</v>
      </c>
      <c r="BB520">
        <v>1349</v>
      </c>
      <c r="BC520">
        <v>1367</v>
      </c>
      <c r="BD520" t="s">
        <v>74</v>
      </c>
      <c r="BE520" t="s">
        <v>10573</v>
      </c>
      <c r="BF520" t="str">
        <f>HYPERLINK("http://dx.doi.org/10.5194/tc-16-1349-2022","http://dx.doi.org/10.5194/tc-16-1349-2022")</f>
        <v>http://dx.doi.org/10.5194/tc-16-1349-2022</v>
      </c>
      <c r="BG520" t="s">
        <v>74</v>
      </c>
      <c r="BH520" t="s">
        <v>74</v>
      </c>
      <c r="BI520">
        <v>19</v>
      </c>
      <c r="BJ520" t="s">
        <v>125</v>
      </c>
      <c r="BK520" t="s">
        <v>101</v>
      </c>
      <c r="BL520" t="s">
        <v>126</v>
      </c>
      <c r="BM520" t="s">
        <v>10574</v>
      </c>
      <c r="BN520" t="s">
        <v>74</v>
      </c>
      <c r="BO520" t="s">
        <v>2560</v>
      </c>
      <c r="BP520" t="s">
        <v>74</v>
      </c>
      <c r="BQ520" t="s">
        <v>74</v>
      </c>
      <c r="BR520" t="s">
        <v>103</v>
      </c>
      <c r="BS520" t="s">
        <v>10575</v>
      </c>
      <c r="BT520" t="str">
        <f>HYPERLINK("https%3A%2F%2Fwww.webofscience.com%2Fwos%2Fwoscc%2Ffull-record%2FWOS:000780829200001","View Full Record in Web of Science")</f>
        <v>View Full Record in Web of Science</v>
      </c>
    </row>
    <row r="521" spans="1:72" x14ac:dyDescent="0.15">
      <c r="A521" t="s">
        <v>72</v>
      </c>
      <c r="B521" t="s">
        <v>10576</v>
      </c>
      <c r="C521" t="s">
        <v>74</v>
      </c>
      <c r="D521" t="s">
        <v>74</v>
      </c>
      <c r="E521" t="s">
        <v>74</v>
      </c>
      <c r="F521" t="s">
        <v>10577</v>
      </c>
      <c r="G521" t="s">
        <v>74</v>
      </c>
      <c r="H521" t="s">
        <v>74</v>
      </c>
      <c r="I521" t="s">
        <v>10578</v>
      </c>
      <c r="J521" t="s">
        <v>10579</v>
      </c>
      <c r="K521" t="s">
        <v>74</v>
      </c>
      <c r="L521" t="s">
        <v>74</v>
      </c>
      <c r="M521" t="s">
        <v>78</v>
      </c>
      <c r="N521" t="s">
        <v>79</v>
      </c>
      <c r="O521" t="s">
        <v>74</v>
      </c>
      <c r="P521" t="s">
        <v>74</v>
      </c>
      <c r="Q521" t="s">
        <v>74</v>
      </c>
      <c r="R521" t="s">
        <v>74</v>
      </c>
      <c r="S521" t="s">
        <v>74</v>
      </c>
      <c r="T521" t="s">
        <v>10580</v>
      </c>
      <c r="U521" t="s">
        <v>10581</v>
      </c>
      <c r="V521" t="s">
        <v>10582</v>
      </c>
      <c r="W521" t="s">
        <v>10583</v>
      </c>
      <c r="X521" t="s">
        <v>10584</v>
      </c>
      <c r="Y521" t="s">
        <v>10585</v>
      </c>
      <c r="Z521" t="s">
        <v>10586</v>
      </c>
      <c r="AA521" t="s">
        <v>10587</v>
      </c>
      <c r="AB521" t="s">
        <v>10588</v>
      </c>
      <c r="AC521" t="s">
        <v>10589</v>
      </c>
      <c r="AD521" t="s">
        <v>10590</v>
      </c>
      <c r="AE521" t="s">
        <v>10591</v>
      </c>
      <c r="AF521" t="s">
        <v>74</v>
      </c>
      <c r="AG521">
        <v>256</v>
      </c>
      <c r="AH521">
        <v>67</v>
      </c>
      <c r="AI521">
        <v>69</v>
      </c>
      <c r="AJ521">
        <v>39</v>
      </c>
      <c r="AK521">
        <v>140</v>
      </c>
      <c r="AL521" t="s">
        <v>91</v>
      </c>
      <c r="AM521" t="s">
        <v>92</v>
      </c>
      <c r="AN521" t="s">
        <v>93</v>
      </c>
      <c r="AO521" t="s">
        <v>10592</v>
      </c>
      <c r="AP521" t="s">
        <v>10593</v>
      </c>
      <c r="AQ521" t="s">
        <v>74</v>
      </c>
      <c r="AR521" t="s">
        <v>10594</v>
      </c>
      <c r="AS521" t="s">
        <v>10595</v>
      </c>
      <c r="AT521" t="s">
        <v>346</v>
      </c>
      <c r="AU521">
        <v>2022</v>
      </c>
      <c r="AV521">
        <v>97</v>
      </c>
      <c r="AW521">
        <v>4</v>
      </c>
      <c r="AX521" t="s">
        <v>74</v>
      </c>
      <c r="AY521" t="s">
        <v>74</v>
      </c>
      <c r="AZ521" t="s">
        <v>74</v>
      </c>
      <c r="BA521" t="s">
        <v>74</v>
      </c>
      <c r="BB521">
        <v>1511</v>
      </c>
      <c r="BC521">
        <v>1538</v>
      </c>
      <c r="BD521" t="s">
        <v>74</v>
      </c>
      <c r="BE521" t="s">
        <v>10596</v>
      </c>
      <c r="BF521" t="str">
        <f>HYPERLINK("http://dx.doi.org/10.1111/brv.12852","http://dx.doi.org/10.1111/brv.12852")</f>
        <v>http://dx.doi.org/10.1111/brv.12852</v>
      </c>
      <c r="BG521" t="s">
        <v>74</v>
      </c>
      <c r="BH521" t="s">
        <v>7987</v>
      </c>
      <c r="BI521">
        <v>28</v>
      </c>
      <c r="BJ521" t="s">
        <v>1819</v>
      </c>
      <c r="BK521" t="s">
        <v>101</v>
      </c>
      <c r="BL521" t="s">
        <v>1820</v>
      </c>
      <c r="BM521" t="s">
        <v>10597</v>
      </c>
      <c r="BN521">
        <v>35415952</v>
      </c>
      <c r="BO521" t="s">
        <v>2438</v>
      </c>
      <c r="BP521" t="s">
        <v>816</v>
      </c>
      <c r="BQ521" t="s">
        <v>5404</v>
      </c>
      <c r="BR521" t="s">
        <v>103</v>
      </c>
      <c r="BS521" t="s">
        <v>10598</v>
      </c>
      <c r="BT521" t="str">
        <f>HYPERLINK("https%3A%2F%2Fwww.webofscience.com%2Fwos%2Fwoscc%2Ffull-record%2FWOS:000781686900001","View Full Record in Web of Science")</f>
        <v>View Full Record in Web of Science</v>
      </c>
    </row>
    <row r="522" spans="1:72" x14ac:dyDescent="0.15">
      <c r="A522" t="s">
        <v>72</v>
      </c>
      <c r="B522" t="s">
        <v>10599</v>
      </c>
      <c r="C522" t="s">
        <v>74</v>
      </c>
      <c r="D522" t="s">
        <v>74</v>
      </c>
      <c r="E522" t="s">
        <v>74</v>
      </c>
      <c r="F522" t="s">
        <v>10600</v>
      </c>
      <c r="G522" t="s">
        <v>74</v>
      </c>
      <c r="H522" t="s">
        <v>74</v>
      </c>
      <c r="I522" t="s">
        <v>10601</v>
      </c>
      <c r="J522" t="s">
        <v>4070</v>
      </c>
      <c r="K522" t="s">
        <v>74</v>
      </c>
      <c r="L522" t="s">
        <v>74</v>
      </c>
      <c r="M522" t="s">
        <v>78</v>
      </c>
      <c r="N522" t="s">
        <v>79</v>
      </c>
      <c r="O522" t="s">
        <v>74</v>
      </c>
      <c r="P522" t="s">
        <v>74</v>
      </c>
      <c r="Q522" t="s">
        <v>74</v>
      </c>
      <c r="R522" t="s">
        <v>74</v>
      </c>
      <c r="S522" t="s">
        <v>74</v>
      </c>
      <c r="T522" t="s">
        <v>10602</v>
      </c>
      <c r="U522" t="s">
        <v>10603</v>
      </c>
      <c r="V522" t="s">
        <v>10604</v>
      </c>
      <c r="W522" t="s">
        <v>10605</v>
      </c>
      <c r="X522" t="s">
        <v>10606</v>
      </c>
      <c r="Y522" t="s">
        <v>10607</v>
      </c>
      <c r="Z522" t="s">
        <v>10608</v>
      </c>
      <c r="AA522" t="s">
        <v>10609</v>
      </c>
      <c r="AB522" t="s">
        <v>10610</v>
      </c>
      <c r="AC522" t="s">
        <v>10611</v>
      </c>
      <c r="AD522" t="s">
        <v>10612</v>
      </c>
      <c r="AE522" t="s">
        <v>10613</v>
      </c>
      <c r="AF522" t="s">
        <v>74</v>
      </c>
      <c r="AG522">
        <v>132</v>
      </c>
      <c r="AH522">
        <v>5</v>
      </c>
      <c r="AI522">
        <v>5</v>
      </c>
      <c r="AJ522">
        <v>3</v>
      </c>
      <c r="AK522">
        <v>6</v>
      </c>
      <c r="AL522" t="s">
        <v>199</v>
      </c>
      <c r="AM522" t="s">
        <v>200</v>
      </c>
      <c r="AN522" t="s">
        <v>201</v>
      </c>
      <c r="AO522" t="s">
        <v>4083</v>
      </c>
      <c r="AP522" t="s">
        <v>4084</v>
      </c>
      <c r="AQ522" t="s">
        <v>74</v>
      </c>
      <c r="AR522" t="s">
        <v>4085</v>
      </c>
      <c r="AS522" t="s">
        <v>4086</v>
      </c>
      <c r="AT522" t="s">
        <v>4826</v>
      </c>
      <c r="AU522">
        <v>2022</v>
      </c>
      <c r="AV522">
        <v>325</v>
      </c>
      <c r="AW522" t="s">
        <v>74</v>
      </c>
      <c r="AX522" t="s">
        <v>74</v>
      </c>
      <c r="AY522" t="s">
        <v>74</v>
      </c>
      <c r="AZ522" t="s">
        <v>74</v>
      </c>
      <c r="BA522" t="s">
        <v>74</v>
      </c>
      <c r="BB522">
        <v>106</v>
      </c>
      <c r="BC522">
        <v>128</v>
      </c>
      <c r="BD522" t="s">
        <v>74</v>
      </c>
      <c r="BE522" t="s">
        <v>10614</v>
      </c>
      <c r="BF522" t="str">
        <f>HYPERLINK("http://dx.doi.org/10.1016/j.gca.2022.03.029","http://dx.doi.org/10.1016/j.gca.2022.03.029")</f>
        <v>http://dx.doi.org/10.1016/j.gca.2022.03.029</v>
      </c>
      <c r="BG522" t="s">
        <v>74</v>
      </c>
      <c r="BH522" t="s">
        <v>7987</v>
      </c>
      <c r="BI522">
        <v>23</v>
      </c>
      <c r="BJ522" t="s">
        <v>2144</v>
      </c>
      <c r="BK522" t="s">
        <v>101</v>
      </c>
      <c r="BL522" t="s">
        <v>2144</v>
      </c>
      <c r="BM522" t="s">
        <v>10615</v>
      </c>
      <c r="BN522" t="s">
        <v>74</v>
      </c>
      <c r="BO522" t="s">
        <v>883</v>
      </c>
      <c r="BP522" t="s">
        <v>74</v>
      </c>
      <c r="BQ522" t="s">
        <v>74</v>
      </c>
      <c r="BR522" t="s">
        <v>103</v>
      </c>
      <c r="BS522" t="s">
        <v>10616</v>
      </c>
      <c r="BT522" t="str">
        <f>HYPERLINK("https%3A%2F%2Fwww.webofscience.com%2Fwos%2Fwoscc%2Ffull-record%2FWOS:000822547100006","View Full Record in Web of Science")</f>
        <v>View Full Record in Web of Science</v>
      </c>
    </row>
    <row r="523" spans="1:72" x14ac:dyDescent="0.15">
      <c r="A523" t="s">
        <v>72</v>
      </c>
      <c r="B523" t="s">
        <v>10617</v>
      </c>
      <c r="C523" t="s">
        <v>74</v>
      </c>
      <c r="D523" t="s">
        <v>74</v>
      </c>
      <c r="E523" t="s">
        <v>74</v>
      </c>
      <c r="F523" t="s">
        <v>10618</v>
      </c>
      <c r="G523" t="s">
        <v>74</v>
      </c>
      <c r="H523" t="s">
        <v>74</v>
      </c>
      <c r="I523" t="s">
        <v>10619</v>
      </c>
      <c r="J523" t="s">
        <v>4373</v>
      </c>
      <c r="K523" t="s">
        <v>74</v>
      </c>
      <c r="L523" t="s">
        <v>74</v>
      </c>
      <c r="M523" t="s">
        <v>78</v>
      </c>
      <c r="N523" t="s">
        <v>79</v>
      </c>
      <c r="O523" t="s">
        <v>74</v>
      </c>
      <c r="P523" t="s">
        <v>74</v>
      </c>
      <c r="Q523" t="s">
        <v>74</v>
      </c>
      <c r="R523" t="s">
        <v>74</v>
      </c>
      <c r="S523" t="s">
        <v>74</v>
      </c>
      <c r="T523" t="s">
        <v>10620</v>
      </c>
      <c r="U523" t="s">
        <v>10621</v>
      </c>
      <c r="V523" t="s">
        <v>10622</v>
      </c>
      <c r="W523" t="s">
        <v>10623</v>
      </c>
      <c r="X523" t="s">
        <v>10624</v>
      </c>
      <c r="Y523" t="s">
        <v>10405</v>
      </c>
      <c r="Z523" t="s">
        <v>10406</v>
      </c>
      <c r="AA523" t="s">
        <v>74</v>
      </c>
      <c r="AB523" t="s">
        <v>74</v>
      </c>
      <c r="AC523" t="s">
        <v>10625</v>
      </c>
      <c r="AD523" t="s">
        <v>10626</v>
      </c>
      <c r="AE523" t="s">
        <v>10627</v>
      </c>
      <c r="AF523" t="s">
        <v>74</v>
      </c>
      <c r="AG523">
        <v>79</v>
      </c>
      <c r="AH523">
        <v>4</v>
      </c>
      <c r="AI523">
        <v>4</v>
      </c>
      <c r="AJ523">
        <v>3</v>
      </c>
      <c r="AK523">
        <v>35</v>
      </c>
      <c r="AL523" t="s">
        <v>199</v>
      </c>
      <c r="AM523" t="s">
        <v>200</v>
      </c>
      <c r="AN523" t="s">
        <v>201</v>
      </c>
      <c r="AO523" t="s">
        <v>4386</v>
      </c>
      <c r="AP523" t="s">
        <v>4387</v>
      </c>
      <c r="AQ523" t="s">
        <v>74</v>
      </c>
      <c r="AR523" t="s">
        <v>4388</v>
      </c>
      <c r="AS523" t="s">
        <v>4389</v>
      </c>
      <c r="AT523" t="s">
        <v>5076</v>
      </c>
      <c r="AU523">
        <v>2022</v>
      </c>
      <c r="AV523">
        <v>178</v>
      </c>
      <c r="AW523" t="s">
        <v>74</v>
      </c>
      <c r="AX523" t="s">
        <v>74</v>
      </c>
      <c r="AY523" t="s">
        <v>74</v>
      </c>
      <c r="AZ523" t="s">
        <v>74</v>
      </c>
      <c r="BA523" t="s">
        <v>74</v>
      </c>
      <c r="BB523" t="s">
        <v>74</v>
      </c>
      <c r="BC523" t="s">
        <v>74</v>
      </c>
      <c r="BD523">
        <v>113635</v>
      </c>
      <c r="BE523" t="s">
        <v>10628</v>
      </c>
      <c r="BF523" t="str">
        <f>HYPERLINK("http://dx.doi.org/10.1016/j.marpolbul.2022.113635","http://dx.doi.org/10.1016/j.marpolbul.2022.113635")</f>
        <v>http://dx.doi.org/10.1016/j.marpolbul.2022.113635</v>
      </c>
      <c r="BG523" t="s">
        <v>74</v>
      </c>
      <c r="BH523" t="s">
        <v>7987</v>
      </c>
      <c r="BI523">
        <v>12</v>
      </c>
      <c r="BJ523" t="s">
        <v>563</v>
      </c>
      <c r="BK523" t="s">
        <v>101</v>
      </c>
      <c r="BL523" t="s">
        <v>564</v>
      </c>
      <c r="BM523" t="s">
        <v>10629</v>
      </c>
      <c r="BN523">
        <v>35421641</v>
      </c>
      <c r="BO523" t="s">
        <v>74</v>
      </c>
      <c r="BP523" t="s">
        <v>74</v>
      </c>
      <c r="BQ523" t="s">
        <v>74</v>
      </c>
      <c r="BR523" t="s">
        <v>103</v>
      </c>
      <c r="BS523" t="s">
        <v>10630</v>
      </c>
      <c r="BT523" t="str">
        <f>HYPERLINK("https%3A%2F%2Fwww.webofscience.com%2Fwos%2Fwoscc%2Ffull-record%2FWOS:000820517000004","View Full Record in Web of Science")</f>
        <v>View Full Record in Web of Science</v>
      </c>
    </row>
    <row r="524" spans="1:72" x14ac:dyDescent="0.15">
      <c r="A524" t="s">
        <v>72</v>
      </c>
      <c r="B524" t="s">
        <v>10631</v>
      </c>
      <c r="C524" t="s">
        <v>74</v>
      </c>
      <c r="D524" t="s">
        <v>74</v>
      </c>
      <c r="E524" t="s">
        <v>74</v>
      </c>
      <c r="F524" t="s">
        <v>10632</v>
      </c>
      <c r="G524" t="s">
        <v>74</v>
      </c>
      <c r="H524" t="s">
        <v>74</v>
      </c>
      <c r="I524" t="s">
        <v>10633</v>
      </c>
      <c r="J524" t="s">
        <v>10634</v>
      </c>
      <c r="K524" t="s">
        <v>74</v>
      </c>
      <c r="L524" t="s">
        <v>74</v>
      </c>
      <c r="M524" t="s">
        <v>78</v>
      </c>
      <c r="N524" t="s">
        <v>79</v>
      </c>
      <c r="O524" t="s">
        <v>74</v>
      </c>
      <c r="P524" t="s">
        <v>74</v>
      </c>
      <c r="Q524" t="s">
        <v>74</v>
      </c>
      <c r="R524" t="s">
        <v>74</v>
      </c>
      <c r="S524" t="s">
        <v>74</v>
      </c>
      <c r="T524" t="s">
        <v>10635</v>
      </c>
      <c r="U524" t="s">
        <v>10636</v>
      </c>
      <c r="V524" t="s">
        <v>10637</v>
      </c>
      <c r="W524" t="s">
        <v>10638</v>
      </c>
      <c r="X524" t="s">
        <v>10639</v>
      </c>
      <c r="Y524" t="s">
        <v>10640</v>
      </c>
      <c r="Z524" t="s">
        <v>10641</v>
      </c>
      <c r="AA524" t="s">
        <v>10642</v>
      </c>
      <c r="AB524" t="s">
        <v>10643</v>
      </c>
      <c r="AC524" t="s">
        <v>10644</v>
      </c>
      <c r="AD524" t="s">
        <v>10645</v>
      </c>
      <c r="AE524" t="s">
        <v>10646</v>
      </c>
      <c r="AF524" t="s">
        <v>74</v>
      </c>
      <c r="AG524">
        <v>1</v>
      </c>
      <c r="AH524">
        <v>5</v>
      </c>
      <c r="AI524">
        <v>5</v>
      </c>
      <c r="AJ524">
        <v>1</v>
      </c>
      <c r="AK524">
        <v>3</v>
      </c>
      <c r="AL524" t="s">
        <v>313</v>
      </c>
      <c r="AM524" t="s">
        <v>314</v>
      </c>
      <c r="AN524" t="s">
        <v>315</v>
      </c>
      <c r="AO524" t="s">
        <v>10647</v>
      </c>
      <c r="AP524" t="s">
        <v>10648</v>
      </c>
      <c r="AQ524" t="s">
        <v>74</v>
      </c>
      <c r="AR524" t="s">
        <v>10634</v>
      </c>
      <c r="AS524" t="s">
        <v>10649</v>
      </c>
      <c r="AT524" t="s">
        <v>1171</v>
      </c>
      <c r="AU524">
        <v>2022</v>
      </c>
      <c r="AV524">
        <v>381</v>
      </c>
      <c r="AW524" t="s">
        <v>74</v>
      </c>
      <c r="AX524" t="s">
        <v>74</v>
      </c>
      <c r="AY524" t="s">
        <v>74</v>
      </c>
      <c r="AZ524" t="s">
        <v>74</v>
      </c>
      <c r="BA524" t="s">
        <v>74</v>
      </c>
      <c r="BB524" t="s">
        <v>74</v>
      </c>
      <c r="BC524" t="s">
        <v>74</v>
      </c>
      <c r="BD524">
        <v>115012</v>
      </c>
      <c r="BE524" t="s">
        <v>10650</v>
      </c>
      <c r="BF524" t="str">
        <f>HYPERLINK("http://dx.doi.org/10.1016/j.icarus.2022.115012","http://dx.doi.org/10.1016/j.icarus.2022.115012")</f>
        <v>http://dx.doi.org/10.1016/j.icarus.2022.115012</v>
      </c>
      <c r="BG524" t="s">
        <v>74</v>
      </c>
      <c r="BH524" t="s">
        <v>7987</v>
      </c>
      <c r="BI524">
        <v>17</v>
      </c>
      <c r="BJ524" t="s">
        <v>2275</v>
      </c>
      <c r="BK524" t="s">
        <v>101</v>
      </c>
      <c r="BL524" t="s">
        <v>2275</v>
      </c>
      <c r="BM524" t="s">
        <v>10651</v>
      </c>
      <c r="BN524" t="s">
        <v>74</v>
      </c>
      <c r="BO524" t="s">
        <v>986</v>
      </c>
      <c r="BP524" t="s">
        <v>74</v>
      </c>
      <c r="BQ524" t="s">
        <v>74</v>
      </c>
      <c r="BR524" t="s">
        <v>103</v>
      </c>
      <c r="BS524" t="s">
        <v>10652</v>
      </c>
      <c r="BT524" t="str">
        <f>HYPERLINK("https%3A%2F%2Fwww.webofscience.com%2Fwos%2Fwoscc%2Ffull-record%2FWOS:000793645100004","View Full Record in Web of Science")</f>
        <v>View Full Record in Web of Science</v>
      </c>
    </row>
    <row r="525" spans="1:72" x14ac:dyDescent="0.15">
      <c r="A525" t="s">
        <v>72</v>
      </c>
      <c r="B525" t="s">
        <v>10653</v>
      </c>
      <c r="C525" t="s">
        <v>74</v>
      </c>
      <c r="D525" t="s">
        <v>74</v>
      </c>
      <c r="E525" t="s">
        <v>74</v>
      </c>
      <c r="F525" t="s">
        <v>10654</v>
      </c>
      <c r="G525" t="s">
        <v>74</v>
      </c>
      <c r="H525" t="s">
        <v>74</v>
      </c>
      <c r="I525" t="s">
        <v>10655</v>
      </c>
      <c r="J525" t="s">
        <v>10656</v>
      </c>
      <c r="K525" t="s">
        <v>74</v>
      </c>
      <c r="L525" t="s">
        <v>74</v>
      </c>
      <c r="M525" t="s">
        <v>78</v>
      </c>
      <c r="N525" t="s">
        <v>161</v>
      </c>
      <c r="O525" t="s">
        <v>74</v>
      </c>
      <c r="P525" t="s">
        <v>74</v>
      </c>
      <c r="Q525" t="s">
        <v>74</v>
      </c>
      <c r="R525" t="s">
        <v>74</v>
      </c>
      <c r="S525" t="s">
        <v>74</v>
      </c>
      <c r="T525" t="s">
        <v>10657</v>
      </c>
      <c r="U525" t="s">
        <v>10658</v>
      </c>
      <c r="V525" t="s">
        <v>10659</v>
      </c>
      <c r="W525" t="s">
        <v>10660</v>
      </c>
      <c r="X525" t="s">
        <v>10661</v>
      </c>
      <c r="Y525" t="s">
        <v>10662</v>
      </c>
      <c r="Z525" t="s">
        <v>10663</v>
      </c>
      <c r="AA525" t="s">
        <v>10664</v>
      </c>
      <c r="AB525" t="s">
        <v>10665</v>
      </c>
      <c r="AC525" t="s">
        <v>10666</v>
      </c>
      <c r="AD525" t="s">
        <v>10667</v>
      </c>
      <c r="AE525" t="s">
        <v>10668</v>
      </c>
      <c r="AF525" t="s">
        <v>74</v>
      </c>
      <c r="AG525">
        <v>66</v>
      </c>
      <c r="AH525">
        <v>2</v>
      </c>
      <c r="AI525">
        <v>2</v>
      </c>
      <c r="AJ525">
        <v>12</v>
      </c>
      <c r="AK525">
        <v>37</v>
      </c>
      <c r="AL525" t="s">
        <v>3228</v>
      </c>
      <c r="AM525" t="s">
        <v>200</v>
      </c>
      <c r="AN525" t="s">
        <v>3229</v>
      </c>
      <c r="AO525" t="s">
        <v>10669</v>
      </c>
      <c r="AP525" t="s">
        <v>10670</v>
      </c>
      <c r="AQ525" t="s">
        <v>74</v>
      </c>
      <c r="AR525" t="s">
        <v>10671</v>
      </c>
      <c r="AS525" t="s">
        <v>10672</v>
      </c>
      <c r="AT525" t="s">
        <v>206</v>
      </c>
      <c r="AU525">
        <v>2022</v>
      </c>
      <c r="AV525">
        <v>133</v>
      </c>
      <c r="AW525" t="s">
        <v>74</v>
      </c>
      <c r="AX525" t="s">
        <v>74</v>
      </c>
      <c r="AY525" t="s">
        <v>74</v>
      </c>
      <c r="AZ525" t="s">
        <v>74</v>
      </c>
      <c r="BA525" t="s">
        <v>74</v>
      </c>
      <c r="BB525">
        <v>203</v>
      </c>
      <c r="BC525">
        <v>214</v>
      </c>
      <c r="BD525" t="s">
        <v>74</v>
      </c>
      <c r="BE525" t="s">
        <v>10673</v>
      </c>
      <c r="BF525" t="str">
        <f>HYPERLINK("http://dx.doi.org/10.1016/j.envsci.2022.03.016","http://dx.doi.org/10.1016/j.envsci.2022.03.016")</f>
        <v>http://dx.doi.org/10.1016/j.envsci.2022.03.016</v>
      </c>
      <c r="BG525" t="s">
        <v>74</v>
      </c>
      <c r="BH525" t="s">
        <v>7987</v>
      </c>
      <c r="BI525">
        <v>12</v>
      </c>
      <c r="BJ525" t="s">
        <v>1104</v>
      </c>
      <c r="BK525" t="s">
        <v>101</v>
      </c>
      <c r="BL525" t="s">
        <v>840</v>
      </c>
      <c r="BM525" t="s">
        <v>10674</v>
      </c>
      <c r="BN525" t="s">
        <v>74</v>
      </c>
      <c r="BO525" t="s">
        <v>643</v>
      </c>
      <c r="BP525" t="s">
        <v>74</v>
      </c>
      <c r="BQ525" t="s">
        <v>74</v>
      </c>
      <c r="BR525" t="s">
        <v>103</v>
      </c>
      <c r="BS525" t="s">
        <v>10675</v>
      </c>
      <c r="BT525" t="str">
        <f>HYPERLINK("https%3A%2F%2Fwww.webofscience.com%2Fwos%2Fwoscc%2Ffull-record%2FWOS:000793472400009","View Full Record in Web of Science")</f>
        <v>View Full Record in Web of Science</v>
      </c>
    </row>
    <row r="526" spans="1:72" x14ac:dyDescent="0.15">
      <c r="A526" t="s">
        <v>72</v>
      </c>
      <c r="B526" t="s">
        <v>10676</v>
      </c>
      <c r="C526" t="s">
        <v>74</v>
      </c>
      <c r="D526" t="s">
        <v>74</v>
      </c>
      <c r="E526" t="s">
        <v>74</v>
      </c>
      <c r="F526" t="s">
        <v>10677</v>
      </c>
      <c r="G526" t="s">
        <v>74</v>
      </c>
      <c r="H526" t="s">
        <v>74</v>
      </c>
      <c r="I526" t="s">
        <v>10678</v>
      </c>
      <c r="J526" t="s">
        <v>10679</v>
      </c>
      <c r="K526" t="s">
        <v>74</v>
      </c>
      <c r="L526" t="s">
        <v>74</v>
      </c>
      <c r="M526" t="s">
        <v>78</v>
      </c>
      <c r="N526" t="s">
        <v>79</v>
      </c>
      <c r="O526" t="s">
        <v>74</v>
      </c>
      <c r="P526" t="s">
        <v>74</v>
      </c>
      <c r="Q526" t="s">
        <v>74</v>
      </c>
      <c r="R526" t="s">
        <v>74</v>
      </c>
      <c r="S526" t="s">
        <v>74</v>
      </c>
      <c r="T526" t="s">
        <v>74</v>
      </c>
      <c r="U526" t="s">
        <v>10680</v>
      </c>
      <c r="V526" t="s">
        <v>10681</v>
      </c>
      <c r="W526" t="s">
        <v>10682</v>
      </c>
      <c r="X526" t="s">
        <v>10683</v>
      </c>
      <c r="Y526" t="s">
        <v>10684</v>
      </c>
      <c r="Z526" t="s">
        <v>10685</v>
      </c>
      <c r="AA526" t="s">
        <v>10686</v>
      </c>
      <c r="AB526" t="s">
        <v>10687</v>
      </c>
      <c r="AC526" t="s">
        <v>10688</v>
      </c>
      <c r="AD526" t="s">
        <v>10689</v>
      </c>
      <c r="AE526" t="s">
        <v>10690</v>
      </c>
      <c r="AF526" t="s">
        <v>74</v>
      </c>
      <c r="AG526">
        <v>58</v>
      </c>
      <c r="AH526">
        <v>27</v>
      </c>
      <c r="AI526">
        <v>27</v>
      </c>
      <c r="AJ526">
        <v>5</v>
      </c>
      <c r="AK526">
        <v>29</v>
      </c>
      <c r="AL526" t="s">
        <v>5394</v>
      </c>
      <c r="AM526" t="s">
        <v>174</v>
      </c>
      <c r="AN526" t="s">
        <v>5395</v>
      </c>
      <c r="AO526" t="s">
        <v>10691</v>
      </c>
      <c r="AP526" t="s">
        <v>10692</v>
      </c>
      <c r="AQ526" t="s">
        <v>74</v>
      </c>
      <c r="AR526" t="s">
        <v>10693</v>
      </c>
      <c r="AS526" t="s">
        <v>10694</v>
      </c>
      <c r="AT526" t="s">
        <v>10695</v>
      </c>
      <c r="AU526">
        <v>2022</v>
      </c>
      <c r="AV526">
        <v>32</v>
      </c>
      <c r="AW526">
        <v>7</v>
      </c>
      <c r="AX526" t="s">
        <v>74</v>
      </c>
      <c r="AY526" t="s">
        <v>74</v>
      </c>
      <c r="AZ526" t="s">
        <v>74</v>
      </c>
      <c r="BA526" t="s">
        <v>74</v>
      </c>
      <c r="BB526">
        <v>1599</v>
      </c>
      <c r="BC526" t="s">
        <v>462</v>
      </c>
      <c r="BD526" t="s">
        <v>74</v>
      </c>
      <c r="BE526" t="s">
        <v>10696</v>
      </c>
      <c r="BF526" t="str">
        <f>HYPERLINK("http://dx.doi.org/10.1016/j.cub.2022.01.074","http://dx.doi.org/10.1016/j.cub.2022.01.074")</f>
        <v>http://dx.doi.org/10.1016/j.cub.2022.01.074</v>
      </c>
      <c r="BG526" t="s">
        <v>74</v>
      </c>
      <c r="BH526" t="s">
        <v>7987</v>
      </c>
      <c r="BI526">
        <v>11</v>
      </c>
      <c r="BJ526" t="s">
        <v>10697</v>
      </c>
      <c r="BK526" t="s">
        <v>101</v>
      </c>
      <c r="BL526" t="s">
        <v>10698</v>
      </c>
      <c r="BM526" t="s">
        <v>10699</v>
      </c>
      <c r="BN526">
        <v>35167803</v>
      </c>
      <c r="BO526" t="s">
        <v>267</v>
      </c>
      <c r="BP526" t="s">
        <v>74</v>
      </c>
      <c r="BQ526" t="s">
        <v>74</v>
      </c>
      <c r="BR526" t="s">
        <v>103</v>
      </c>
      <c r="BS526" t="s">
        <v>10700</v>
      </c>
      <c r="BT526" t="str">
        <f>HYPERLINK("https%3A%2F%2Fwww.webofscience.com%2Fwos%2Fwoscc%2Ffull-record%2FWOS:000789649800003","View Full Record in Web of Science")</f>
        <v>View Full Record in Web of Science</v>
      </c>
    </row>
    <row r="527" spans="1:72" x14ac:dyDescent="0.15">
      <c r="A527" t="s">
        <v>72</v>
      </c>
      <c r="B527" t="s">
        <v>10701</v>
      </c>
      <c r="C527" t="s">
        <v>74</v>
      </c>
      <c r="D527" t="s">
        <v>74</v>
      </c>
      <c r="E527" t="s">
        <v>74</v>
      </c>
      <c r="F527" t="s">
        <v>10702</v>
      </c>
      <c r="G527" t="s">
        <v>74</v>
      </c>
      <c r="H527" t="s">
        <v>74</v>
      </c>
      <c r="I527" t="s">
        <v>10703</v>
      </c>
      <c r="J527" t="s">
        <v>388</v>
      </c>
      <c r="K527" t="s">
        <v>74</v>
      </c>
      <c r="L527" t="s">
        <v>74</v>
      </c>
      <c r="M527" t="s">
        <v>78</v>
      </c>
      <c r="N527" t="s">
        <v>79</v>
      </c>
      <c r="O527" t="s">
        <v>74</v>
      </c>
      <c r="P527" t="s">
        <v>74</v>
      </c>
      <c r="Q527" t="s">
        <v>74</v>
      </c>
      <c r="R527" t="s">
        <v>74</v>
      </c>
      <c r="S527" t="s">
        <v>74</v>
      </c>
      <c r="T527" t="s">
        <v>74</v>
      </c>
      <c r="U527" t="s">
        <v>10704</v>
      </c>
      <c r="V527" t="s">
        <v>10705</v>
      </c>
      <c r="W527" t="s">
        <v>10706</v>
      </c>
      <c r="X527" t="s">
        <v>10707</v>
      </c>
      <c r="Y527" t="s">
        <v>10708</v>
      </c>
      <c r="Z527" t="s">
        <v>10709</v>
      </c>
      <c r="AA527" t="s">
        <v>10710</v>
      </c>
      <c r="AB527" t="s">
        <v>10711</v>
      </c>
      <c r="AC527" t="s">
        <v>10712</v>
      </c>
      <c r="AD527" t="s">
        <v>10713</v>
      </c>
      <c r="AE527" t="s">
        <v>10714</v>
      </c>
      <c r="AF527" t="s">
        <v>74</v>
      </c>
      <c r="AG527">
        <v>80</v>
      </c>
      <c r="AH527">
        <v>15</v>
      </c>
      <c r="AI527">
        <v>15</v>
      </c>
      <c r="AJ527">
        <v>0</v>
      </c>
      <c r="AK527">
        <v>3</v>
      </c>
      <c r="AL527" t="s">
        <v>400</v>
      </c>
      <c r="AM527" t="s">
        <v>401</v>
      </c>
      <c r="AN527" t="s">
        <v>402</v>
      </c>
      <c r="AO527" t="s">
        <v>74</v>
      </c>
      <c r="AP527" t="s">
        <v>403</v>
      </c>
      <c r="AQ527" t="s">
        <v>74</v>
      </c>
      <c r="AR527" t="s">
        <v>404</v>
      </c>
      <c r="AS527" t="s">
        <v>405</v>
      </c>
      <c r="AT527" t="s">
        <v>10695</v>
      </c>
      <c r="AU527">
        <v>2022</v>
      </c>
      <c r="AV527">
        <v>3</v>
      </c>
      <c r="AW527">
        <v>1</v>
      </c>
      <c r="AX527" t="s">
        <v>74</v>
      </c>
      <c r="AY527" t="s">
        <v>74</v>
      </c>
      <c r="AZ527" t="s">
        <v>74</v>
      </c>
      <c r="BA527" t="s">
        <v>74</v>
      </c>
      <c r="BB527" t="s">
        <v>74</v>
      </c>
      <c r="BC527" t="s">
        <v>74</v>
      </c>
      <c r="BD527">
        <v>89</v>
      </c>
      <c r="BE527" t="s">
        <v>10715</v>
      </c>
      <c r="BF527" t="str">
        <f>HYPERLINK("http://dx.doi.org/10.1038/s43247-022-00418-5","http://dx.doi.org/10.1038/s43247-022-00418-5")</f>
        <v>http://dx.doi.org/10.1038/s43247-022-00418-5</v>
      </c>
      <c r="BG527" t="s">
        <v>74</v>
      </c>
      <c r="BH527" t="s">
        <v>74</v>
      </c>
      <c r="BI527">
        <v>11</v>
      </c>
      <c r="BJ527" t="s">
        <v>407</v>
      </c>
      <c r="BK527" t="s">
        <v>101</v>
      </c>
      <c r="BL527" t="s">
        <v>408</v>
      </c>
      <c r="BM527" t="s">
        <v>10716</v>
      </c>
      <c r="BN527" t="s">
        <v>74</v>
      </c>
      <c r="BO527" t="s">
        <v>660</v>
      </c>
      <c r="BP527" t="s">
        <v>74</v>
      </c>
      <c r="BQ527" t="s">
        <v>74</v>
      </c>
      <c r="BR527" t="s">
        <v>103</v>
      </c>
      <c r="BS527" t="s">
        <v>10717</v>
      </c>
      <c r="BT527" t="str">
        <f>HYPERLINK("https%3A%2F%2Fwww.webofscience.com%2Fwos%2Fwoscc%2Ffull-record%2FWOS:000780893600001","View Full Record in Web of Science")</f>
        <v>View Full Record in Web of Science</v>
      </c>
    </row>
    <row r="528" spans="1:72" x14ac:dyDescent="0.15">
      <c r="A528" t="s">
        <v>72</v>
      </c>
      <c r="B528" t="s">
        <v>10718</v>
      </c>
      <c r="C528" t="s">
        <v>74</v>
      </c>
      <c r="D528" t="s">
        <v>74</v>
      </c>
      <c r="E528" t="s">
        <v>74</v>
      </c>
      <c r="F528" t="s">
        <v>10719</v>
      </c>
      <c r="G528" t="s">
        <v>74</v>
      </c>
      <c r="H528" t="s">
        <v>74</v>
      </c>
      <c r="I528" t="s">
        <v>10720</v>
      </c>
      <c r="J528" t="s">
        <v>108</v>
      </c>
      <c r="K528" t="s">
        <v>74</v>
      </c>
      <c r="L528" t="s">
        <v>74</v>
      </c>
      <c r="M528" t="s">
        <v>78</v>
      </c>
      <c r="N528" t="s">
        <v>79</v>
      </c>
      <c r="O528" t="s">
        <v>74</v>
      </c>
      <c r="P528" t="s">
        <v>74</v>
      </c>
      <c r="Q528" t="s">
        <v>74</v>
      </c>
      <c r="R528" t="s">
        <v>74</v>
      </c>
      <c r="S528" t="s">
        <v>74</v>
      </c>
      <c r="T528" t="s">
        <v>74</v>
      </c>
      <c r="U528" t="s">
        <v>10721</v>
      </c>
      <c r="V528" t="s">
        <v>10722</v>
      </c>
      <c r="W528" t="s">
        <v>10723</v>
      </c>
      <c r="X528" t="s">
        <v>10724</v>
      </c>
      <c r="Y528" t="s">
        <v>10725</v>
      </c>
      <c r="Z528" t="s">
        <v>10726</v>
      </c>
      <c r="AA528" t="s">
        <v>10727</v>
      </c>
      <c r="AB528" t="s">
        <v>10728</v>
      </c>
      <c r="AC528" t="s">
        <v>10729</v>
      </c>
      <c r="AD528" t="s">
        <v>10730</v>
      </c>
      <c r="AE528" t="s">
        <v>10731</v>
      </c>
      <c r="AF528" t="s">
        <v>74</v>
      </c>
      <c r="AG528">
        <v>93</v>
      </c>
      <c r="AH528">
        <v>3</v>
      </c>
      <c r="AI528">
        <v>3</v>
      </c>
      <c r="AJ528">
        <v>0</v>
      </c>
      <c r="AK528">
        <v>7</v>
      </c>
      <c r="AL528" t="s">
        <v>117</v>
      </c>
      <c r="AM528" t="s">
        <v>118</v>
      </c>
      <c r="AN528" t="s">
        <v>119</v>
      </c>
      <c r="AO528" t="s">
        <v>120</v>
      </c>
      <c r="AP528" t="s">
        <v>121</v>
      </c>
      <c r="AQ528" t="s">
        <v>74</v>
      </c>
      <c r="AR528" t="s">
        <v>108</v>
      </c>
      <c r="AS528" t="s">
        <v>122</v>
      </c>
      <c r="AT528" t="s">
        <v>10695</v>
      </c>
      <c r="AU528">
        <v>2022</v>
      </c>
      <c r="AV528">
        <v>16</v>
      </c>
      <c r="AW528">
        <v>4</v>
      </c>
      <c r="AX528" t="s">
        <v>74</v>
      </c>
      <c r="AY528" t="s">
        <v>74</v>
      </c>
      <c r="AZ528" t="s">
        <v>74</v>
      </c>
      <c r="BA528" t="s">
        <v>74</v>
      </c>
      <c r="BB528">
        <v>1315</v>
      </c>
      <c r="BC528">
        <v>1332</v>
      </c>
      <c r="BD528" t="s">
        <v>74</v>
      </c>
      <c r="BE528" t="s">
        <v>10732</v>
      </c>
      <c r="BF528" t="str">
        <f>HYPERLINK("http://dx.doi.org/10.5194/tc-16-1315-2022","http://dx.doi.org/10.5194/tc-16-1315-2022")</f>
        <v>http://dx.doi.org/10.5194/tc-16-1315-2022</v>
      </c>
      <c r="BG528" t="s">
        <v>74</v>
      </c>
      <c r="BH528" t="s">
        <v>74</v>
      </c>
      <c r="BI528">
        <v>18</v>
      </c>
      <c r="BJ528" t="s">
        <v>125</v>
      </c>
      <c r="BK528" t="s">
        <v>101</v>
      </c>
      <c r="BL528" t="s">
        <v>126</v>
      </c>
      <c r="BM528" t="s">
        <v>10733</v>
      </c>
      <c r="BN528" t="s">
        <v>74</v>
      </c>
      <c r="BO528" t="s">
        <v>2560</v>
      </c>
      <c r="BP528" t="s">
        <v>74</v>
      </c>
      <c r="BQ528" t="s">
        <v>74</v>
      </c>
      <c r="BR528" t="s">
        <v>103</v>
      </c>
      <c r="BS528" t="s">
        <v>10734</v>
      </c>
      <c r="BT528" t="str">
        <f>HYPERLINK("https%3A%2F%2Fwww.webofscience.com%2Fwos%2Fwoscc%2Ffull-record%2FWOS:000780173200001","View Full Record in Web of Science")</f>
        <v>View Full Record in Web of Science</v>
      </c>
    </row>
    <row r="529" spans="1:72" x14ac:dyDescent="0.15">
      <c r="A529" t="s">
        <v>72</v>
      </c>
      <c r="B529" t="s">
        <v>10735</v>
      </c>
      <c r="C529" t="s">
        <v>74</v>
      </c>
      <c r="D529" t="s">
        <v>74</v>
      </c>
      <c r="E529" t="s">
        <v>74</v>
      </c>
      <c r="F529" t="s">
        <v>10736</v>
      </c>
      <c r="G529" t="s">
        <v>74</v>
      </c>
      <c r="H529" t="s">
        <v>74</v>
      </c>
      <c r="I529" t="s">
        <v>10737</v>
      </c>
      <c r="J529" t="s">
        <v>108</v>
      </c>
      <c r="K529" t="s">
        <v>74</v>
      </c>
      <c r="L529" t="s">
        <v>74</v>
      </c>
      <c r="M529" t="s">
        <v>78</v>
      </c>
      <c r="N529" t="s">
        <v>79</v>
      </c>
      <c r="O529" t="s">
        <v>74</v>
      </c>
      <c r="P529" t="s">
        <v>74</v>
      </c>
      <c r="Q529" t="s">
        <v>74</v>
      </c>
      <c r="R529" t="s">
        <v>74</v>
      </c>
      <c r="S529" t="s">
        <v>74</v>
      </c>
      <c r="T529" t="s">
        <v>74</v>
      </c>
      <c r="U529" t="s">
        <v>10738</v>
      </c>
      <c r="V529" t="s">
        <v>10739</v>
      </c>
      <c r="W529" t="s">
        <v>10740</v>
      </c>
      <c r="X529" t="s">
        <v>10741</v>
      </c>
      <c r="Y529" t="s">
        <v>10742</v>
      </c>
      <c r="Z529" t="s">
        <v>10743</v>
      </c>
      <c r="AA529" t="s">
        <v>10744</v>
      </c>
      <c r="AB529" t="s">
        <v>10745</v>
      </c>
      <c r="AC529" t="s">
        <v>10746</v>
      </c>
      <c r="AD529" t="s">
        <v>10747</v>
      </c>
      <c r="AE529" t="s">
        <v>10748</v>
      </c>
      <c r="AF529" t="s">
        <v>74</v>
      </c>
      <c r="AG529">
        <v>47</v>
      </c>
      <c r="AH529">
        <v>3</v>
      </c>
      <c r="AI529">
        <v>3</v>
      </c>
      <c r="AJ529">
        <v>0</v>
      </c>
      <c r="AK529">
        <v>3</v>
      </c>
      <c r="AL529" t="s">
        <v>117</v>
      </c>
      <c r="AM529" t="s">
        <v>118</v>
      </c>
      <c r="AN529" t="s">
        <v>119</v>
      </c>
      <c r="AO529" t="s">
        <v>120</v>
      </c>
      <c r="AP529" t="s">
        <v>121</v>
      </c>
      <c r="AQ529" t="s">
        <v>74</v>
      </c>
      <c r="AR529" t="s">
        <v>108</v>
      </c>
      <c r="AS529" t="s">
        <v>122</v>
      </c>
      <c r="AT529" t="s">
        <v>10695</v>
      </c>
      <c r="AU529">
        <v>2022</v>
      </c>
      <c r="AV529">
        <v>16</v>
      </c>
      <c r="AW529">
        <v>4</v>
      </c>
      <c r="AX529" t="s">
        <v>74</v>
      </c>
      <c r="AY529" t="s">
        <v>74</v>
      </c>
      <c r="AZ529" t="s">
        <v>74</v>
      </c>
      <c r="BA529" t="s">
        <v>74</v>
      </c>
      <c r="BB529">
        <v>1299</v>
      </c>
      <c r="BC529">
        <v>1314</v>
      </c>
      <c r="BD529" t="s">
        <v>74</v>
      </c>
      <c r="BE529" t="s">
        <v>10749</v>
      </c>
      <c r="BF529" t="str">
        <f>HYPERLINK("http://dx.doi.org/10.5194/tc-16-1299-2022","http://dx.doi.org/10.5194/tc-16-1299-2022")</f>
        <v>http://dx.doi.org/10.5194/tc-16-1299-2022</v>
      </c>
      <c r="BG529" t="s">
        <v>74</v>
      </c>
      <c r="BH529" t="s">
        <v>74</v>
      </c>
      <c r="BI529">
        <v>16</v>
      </c>
      <c r="BJ529" t="s">
        <v>125</v>
      </c>
      <c r="BK529" t="s">
        <v>101</v>
      </c>
      <c r="BL529" t="s">
        <v>126</v>
      </c>
      <c r="BM529" t="s">
        <v>10750</v>
      </c>
      <c r="BN529" t="s">
        <v>74</v>
      </c>
      <c r="BO529" t="s">
        <v>2560</v>
      </c>
      <c r="BP529" t="s">
        <v>74</v>
      </c>
      <c r="BQ529" t="s">
        <v>74</v>
      </c>
      <c r="BR529" t="s">
        <v>103</v>
      </c>
      <c r="BS529" t="s">
        <v>10751</v>
      </c>
      <c r="BT529" t="str">
        <f>HYPERLINK("https%3A%2F%2Fwww.webofscience.com%2Fwos%2Fwoscc%2Ffull-record%2FWOS:000780083400001","View Full Record in Web of Science")</f>
        <v>View Full Record in Web of Science</v>
      </c>
    </row>
    <row r="530" spans="1:72" x14ac:dyDescent="0.15">
      <c r="A530" t="s">
        <v>72</v>
      </c>
      <c r="B530" t="s">
        <v>10752</v>
      </c>
      <c r="C530" t="s">
        <v>74</v>
      </c>
      <c r="D530" t="s">
        <v>74</v>
      </c>
      <c r="E530" t="s">
        <v>74</v>
      </c>
      <c r="F530" t="s">
        <v>10753</v>
      </c>
      <c r="G530" t="s">
        <v>74</v>
      </c>
      <c r="H530" t="s">
        <v>74</v>
      </c>
      <c r="I530" t="s">
        <v>10754</v>
      </c>
      <c r="J530" t="s">
        <v>10755</v>
      </c>
      <c r="K530" t="s">
        <v>74</v>
      </c>
      <c r="L530" t="s">
        <v>74</v>
      </c>
      <c r="M530" t="s">
        <v>78</v>
      </c>
      <c r="N530" t="s">
        <v>79</v>
      </c>
      <c r="O530" t="s">
        <v>74</v>
      </c>
      <c r="P530" t="s">
        <v>74</v>
      </c>
      <c r="Q530" t="s">
        <v>74</v>
      </c>
      <c r="R530" t="s">
        <v>74</v>
      </c>
      <c r="S530" t="s">
        <v>74</v>
      </c>
      <c r="T530" t="s">
        <v>10756</v>
      </c>
      <c r="U530" t="s">
        <v>10757</v>
      </c>
      <c r="V530" t="s">
        <v>10758</v>
      </c>
      <c r="W530" t="s">
        <v>10759</v>
      </c>
      <c r="X530" t="s">
        <v>10760</v>
      </c>
      <c r="Y530" t="s">
        <v>10761</v>
      </c>
      <c r="Z530" t="s">
        <v>10762</v>
      </c>
      <c r="AA530" t="s">
        <v>10763</v>
      </c>
      <c r="AB530" t="s">
        <v>10764</v>
      </c>
      <c r="AC530" t="s">
        <v>10765</v>
      </c>
      <c r="AD530" t="s">
        <v>10766</v>
      </c>
      <c r="AE530" t="s">
        <v>10767</v>
      </c>
      <c r="AF530" t="s">
        <v>74</v>
      </c>
      <c r="AG530">
        <v>83</v>
      </c>
      <c r="AH530">
        <v>1</v>
      </c>
      <c r="AI530">
        <v>1</v>
      </c>
      <c r="AJ530">
        <v>0</v>
      </c>
      <c r="AK530">
        <v>7</v>
      </c>
      <c r="AL530" t="s">
        <v>91</v>
      </c>
      <c r="AM530" t="s">
        <v>92</v>
      </c>
      <c r="AN530" t="s">
        <v>93</v>
      </c>
      <c r="AO530" t="s">
        <v>10768</v>
      </c>
      <c r="AP530" t="s">
        <v>10769</v>
      </c>
      <c r="AQ530" t="s">
        <v>74</v>
      </c>
      <c r="AR530" t="s">
        <v>10755</v>
      </c>
      <c r="AS530" t="s">
        <v>10770</v>
      </c>
      <c r="AT530" t="s">
        <v>346</v>
      </c>
      <c r="AU530">
        <v>2022</v>
      </c>
      <c r="AV530">
        <v>33</v>
      </c>
      <c r="AW530">
        <v>5</v>
      </c>
      <c r="AX530" t="s">
        <v>74</v>
      </c>
      <c r="AY530" t="s">
        <v>74</v>
      </c>
      <c r="AZ530" t="s">
        <v>74</v>
      </c>
      <c r="BA530" t="s">
        <v>74</v>
      </c>
      <c r="BB530" t="s">
        <v>74</v>
      </c>
      <c r="BC530" t="s">
        <v>74</v>
      </c>
      <c r="BD530" t="s">
        <v>10771</v>
      </c>
      <c r="BE530" t="s">
        <v>10772</v>
      </c>
      <c r="BF530" t="str">
        <f>HYPERLINK("http://dx.doi.org/10.1002/env.2726","http://dx.doi.org/10.1002/env.2726")</f>
        <v>http://dx.doi.org/10.1002/env.2726</v>
      </c>
      <c r="BG530" t="s">
        <v>74</v>
      </c>
      <c r="BH530" t="s">
        <v>7987</v>
      </c>
      <c r="BI530">
        <v>21</v>
      </c>
      <c r="BJ530" t="s">
        <v>10773</v>
      </c>
      <c r="BK530" t="s">
        <v>101</v>
      </c>
      <c r="BL530" t="s">
        <v>10774</v>
      </c>
      <c r="BM530" t="s">
        <v>10775</v>
      </c>
      <c r="BN530" t="s">
        <v>74</v>
      </c>
      <c r="BO530" t="s">
        <v>986</v>
      </c>
      <c r="BP530" t="s">
        <v>74</v>
      </c>
      <c r="BQ530" t="s">
        <v>74</v>
      </c>
      <c r="BR530" t="s">
        <v>103</v>
      </c>
      <c r="BS530" t="s">
        <v>10776</v>
      </c>
      <c r="BT530" t="str">
        <f>HYPERLINK("https%3A%2F%2Fwww.webofscience.com%2Fwos%2Fwoscc%2Ffull-record%2FWOS:000780405400001","View Full Record in Web of Science")</f>
        <v>View Full Record in Web of Science</v>
      </c>
    </row>
    <row r="531" spans="1:72" x14ac:dyDescent="0.15">
      <c r="A531" t="s">
        <v>72</v>
      </c>
      <c r="B531" t="s">
        <v>10777</v>
      </c>
      <c r="C531" t="s">
        <v>74</v>
      </c>
      <c r="D531" t="s">
        <v>74</v>
      </c>
      <c r="E531" t="s">
        <v>74</v>
      </c>
      <c r="F531" t="s">
        <v>10778</v>
      </c>
      <c r="G531" t="s">
        <v>74</v>
      </c>
      <c r="H531" t="s">
        <v>74</v>
      </c>
      <c r="I531" t="s">
        <v>10779</v>
      </c>
      <c r="J531" t="s">
        <v>4006</v>
      </c>
      <c r="K531" t="s">
        <v>74</v>
      </c>
      <c r="L531" t="s">
        <v>74</v>
      </c>
      <c r="M531" t="s">
        <v>78</v>
      </c>
      <c r="N531" t="s">
        <v>79</v>
      </c>
      <c r="O531" t="s">
        <v>74</v>
      </c>
      <c r="P531" t="s">
        <v>74</v>
      </c>
      <c r="Q531" t="s">
        <v>74</v>
      </c>
      <c r="R531" t="s">
        <v>74</v>
      </c>
      <c r="S531" t="s">
        <v>74</v>
      </c>
      <c r="T531" t="s">
        <v>10780</v>
      </c>
      <c r="U531" t="s">
        <v>10781</v>
      </c>
      <c r="V531" t="s">
        <v>10782</v>
      </c>
      <c r="W531" t="s">
        <v>10783</v>
      </c>
      <c r="X531" t="s">
        <v>3179</v>
      </c>
      <c r="Y531" t="s">
        <v>10784</v>
      </c>
      <c r="Z531" t="s">
        <v>10785</v>
      </c>
      <c r="AA531" t="s">
        <v>74</v>
      </c>
      <c r="AB531" t="s">
        <v>74</v>
      </c>
      <c r="AC531" t="s">
        <v>10786</v>
      </c>
      <c r="AD531" t="s">
        <v>10787</v>
      </c>
      <c r="AE531" t="s">
        <v>10788</v>
      </c>
      <c r="AF531" t="s">
        <v>74</v>
      </c>
      <c r="AG531">
        <v>133</v>
      </c>
      <c r="AH531">
        <v>3</v>
      </c>
      <c r="AI531">
        <v>4</v>
      </c>
      <c r="AJ531">
        <v>4</v>
      </c>
      <c r="AK531">
        <v>31</v>
      </c>
      <c r="AL531" t="s">
        <v>91</v>
      </c>
      <c r="AM531" t="s">
        <v>92</v>
      </c>
      <c r="AN531" t="s">
        <v>93</v>
      </c>
      <c r="AO531" t="s">
        <v>4019</v>
      </c>
      <c r="AP531" t="s">
        <v>4020</v>
      </c>
      <c r="AQ531" t="s">
        <v>74</v>
      </c>
      <c r="AR531" t="s">
        <v>4021</v>
      </c>
      <c r="AS531" t="s">
        <v>4022</v>
      </c>
      <c r="AT531" t="s">
        <v>537</v>
      </c>
      <c r="AU531">
        <v>2022</v>
      </c>
      <c r="AV531">
        <v>31</v>
      </c>
      <c r="AW531">
        <v>6</v>
      </c>
      <c r="AX531" t="s">
        <v>74</v>
      </c>
      <c r="AY531" t="s">
        <v>74</v>
      </c>
      <c r="AZ531" t="s">
        <v>74</v>
      </c>
      <c r="BA531" t="s">
        <v>74</v>
      </c>
      <c r="BB531">
        <v>1207</v>
      </c>
      <c r="BC531">
        <v>1227</v>
      </c>
      <c r="BD531" t="s">
        <v>74</v>
      </c>
      <c r="BE531" t="s">
        <v>10789</v>
      </c>
      <c r="BF531" t="str">
        <f>HYPERLINK("http://dx.doi.org/10.1111/geb.13503","http://dx.doi.org/10.1111/geb.13503")</f>
        <v>http://dx.doi.org/10.1111/geb.13503</v>
      </c>
      <c r="BG531" t="s">
        <v>74</v>
      </c>
      <c r="BH531" t="s">
        <v>7987</v>
      </c>
      <c r="BI531">
        <v>21</v>
      </c>
      <c r="BJ531" t="s">
        <v>4024</v>
      </c>
      <c r="BK531" t="s">
        <v>101</v>
      </c>
      <c r="BL531" t="s">
        <v>4025</v>
      </c>
      <c r="BM531" t="s">
        <v>10790</v>
      </c>
      <c r="BN531" t="s">
        <v>74</v>
      </c>
      <c r="BO531" t="s">
        <v>883</v>
      </c>
      <c r="BP531" t="s">
        <v>74</v>
      </c>
      <c r="BQ531" t="s">
        <v>74</v>
      </c>
      <c r="BR531" t="s">
        <v>103</v>
      </c>
      <c r="BS531" t="s">
        <v>10791</v>
      </c>
      <c r="BT531" t="str">
        <f>HYPERLINK("https%3A%2F%2Fwww.webofscience.com%2Fwos%2Fwoscc%2Ffull-record%2FWOS:000780387000001","View Full Record in Web of Science")</f>
        <v>View Full Record in Web of Science</v>
      </c>
    </row>
    <row r="532" spans="1:72" x14ac:dyDescent="0.15">
      <c r="A532" t="s">
        <v>72</v>
      </c>
      <c r="B532" t="s">
        <v>10792</v>
      </c>
      <c r="C532" t="s">
        <v>74</v>
      </c>
      <c r="D532" t="s">
        <v>74</v>
      </c>
      <c r="E532" t="s">
        <v>74</v>
      </c>
      <c r="F532" t="s">
        <v>10793</v>
      </c>
      <c r="G532" t="s">
        <v>74</v>
      </c>
      <c r="H532" t="s">
        <v>74</v>
      </c>
      <c r="I532" t="s">
        <v>10794</v>
      </c>
      <c r="J532" t="s">
        <v>415</v>
      </c>
      <c r="K532" t="s">
        <v>74</v>
      </c>
      <c r="L532" t="s">
        <v>74</v>
      </c>
      <c r="M532" t="s">
        <v>78</v>
      </c>
      <c r="N532" t="s">
        <v>79</v>
      </c>
      <c r="O532" t="s">
        <v>74</v>
      </c>
      <c r="P532" t="s">
        <v>74</v>
      </c>
      <c r="Q532" t="s">
        <v>74</v>
      </c>
      <c r="R532" t="s">
        <v>74</v>
      </c>
      <c r="S532" t="s">
        <v>74</v>
      </c>
      <c r="T532" t="s">
        <v>10795</v>
      </c>
      <c r="U532" t="s">
        <v>10796</v>
      </c>
      <c r="V532" t="s">
        <v>10797</v>
      </c>
      <c r="W532" t="s">
        <v>10798</v>
      </c>
      <c r="X532" t="s">
        <v>10799</v>
      </c>
      <c r="Y532" t="s">
        <v>10800</v>
      </c>
      <c r="Z532" t="s">
        <v>10801</v>
      </c>
      <c r="AA532" t="s">
        <v>10802</v>
      </c>
      <c r="AB532" t="s">
        <v>10803</v>
      </c>
      <c r="AC532" t="s">
        <v>10804</v>
      </c>
      <c r="AD532" t="s">
        <v>10805</v>
      </c>
      <c r="AE532" t="s">
        <v>10806</v>
      </c>
      <c r="AF532" t="s">
        <v>74</v>
      </c>
      <c r="AG532">
        <v>47</v>
      </c>
      <c r="AH532">
        <v>0</v>
      </c>
      <c r="AI532">
        <v>0</v>
      </c>
      <c r="AJ532">
        <v>1</v>
      </c>
      <c r="AK532">
        <v>4</v>
      </c>
      <c r="AL532" t="s">
        <v>428</v>
      </c>
      <c r="AM532" t="s">
        <v>174</v>
      </c>
      <c r="AN532" t="s">
        <v>429</v>
      </c>
      <c r="AO532" t="s">
        <v>430</v>
      </c>
      <c r="AP532" t="s">
        <v>431</v>
      </c>
      <c r="AQ532" t="s">
        <v>74</v>
      </c>
      <c r="AR532" t="s">
        <v>432</v>
      </c>
      <c r="AS532" t="s">
        <v>433</v>
      </c>
      <c r="AT532" t="s">
        <v>484</v>
      </c>
      <c r="AU532">
        <v>2022</v>
      </c>
      <c r="AV532">
        <v>68</v>
      </c>
      <c r="AW532">
        <v>271</v>
      </c>
      <c r="AX532" t="s">
        <v>74</v>
      </c>
      <c r="AY532" t="s">
        <v>74</v>
      </c>
      <c r="AZ532" t="s">
        <v>74</v>
      </c>
      <c r="BA532" t="s">
        <v>74</v>
      </c>
      <c r="BB532">
        <v>849</v>
      </c>
      <c r="BC532">
        <v>866</v>
      </c>
      <c r="BD532" t="s">
        <v>74</v>
      </c>
      <c r="BE532" t="s">
        <v>10807</v>
      </c>
      <c r="BF532" t="str">
        <f>HYPERLINK("http://dx.doi.org/10.1017/jog.2022.2","http://dx.doi.org/10.1017/jog.2022.2")</f>
        <v>http://dx.doi.org/10.1017/jog.2022.2</v>
      </c>
      <c r="BG532" t="s">
        <v>74</v>
      </c>
      <c r="BH532" t="s">
        <v>7987</v>
      </c>
      <c r="BI532">
        <v>18</v>
      </c>
      <c r="BJ532" t="s">
        <v>125</v>
      </c>
      <c r="BK532" t="s">
        <v>101</v>
      </c>
      <c r="BL532" t="s">
        <v>126</v>
      </c>
      <c r="BM532" t="s">
        <v>10808</v>
      </c>
      <c r="BN532" t="s">
        <v>74</v>
      </c>
      <c r="BO532" t="s">
        <v>438</v>
      </c>
      <c r="BP532" t="s">
        <v>74</v>
      </c>
      <c r="BQ532" t="s">
        <v>74</v>
      </c>
      <c r="BR532" t="s">
        <v>103</v>
      </c>
      <c r="BS532" t="s">
        <v>10809</v>
      </c>
      <c r="BT532" t="str">
        <f>HYPERLINK("https%3A%2F%2Fwww.webofscience.com%2Fwos%2Fwoscc%2Ffull-record%2FWOS:000780667400001","View Full Record in Web of Science")</f>
        <v>View Full Record in Web of Science</v>
      </c>
    </row>
    <row r="533" spans="1:72" x14ac:dyDescent="0.15">
      <c r="A533" t="s">
        <v>72</v>
      </c>
      <c r="B533" t="s">
        <v>10810</v>
      </c>
      <c r="C533" t="s">
        <v>74</v>
      </c>
      <c r="D533" t="s">
        <v>74</v>
      </c>
      <c r="E533" t="s">
        <v>74</v>
      </c>
      <c r="F533" t="s">
        <v>10811</v>
      </c>
      <c r="G533" t="s">
        <v>74</v>
      </c>
      <c r="H533" t="s">
        <v>74</v>
      </c>
      <c r="I533" t="s">
        <v>10812</v>
      </c>
      <c r="J533" t="s">
        <v>517</v>
      </c>
      <c r="K533" t="s">
        <v>74</v>
      </c>
      <c r="L533" t="s">
        <v>74</v>
      </c>
      <c r="M533" t="s">
        <v>78</v>
      </c>
      <c r="N533" t="s">
        <v>79</v>
      </c>
      <c r="O533" t="s">
        <v>74</v>
      </c>
      <c r="P533" t="s">
        <v>74</v>
      </c>
      <c r="Q533" t="s">
        <v>74</v>
      </c>
      <c r="R533" t="s">
        <v>74</v>
      </c>
      <c r="S533" t="s">
        <v>74</v>
      </c>
      <c r="T533" t="s">
        <v>10813</v>
      </c>
      <c r="U533" t="s">
        <v>10814</v>
      </c>
      <c r="V533" t="s">
        <v>10815</v>
      </c>
      <c r="W533" t="s">
        <v>10816</v>
      </c>
      <c r="X533" t="s">
        <v>10817</v>
      </c>
      <c r="Y533" t="s">
        <v>4629</v>
      </c>
      <c r="Z533" t="s">
        <v>4630</v>
      </c>
      <c r="AA533" t="s">
        <v>10818</v>
      </c>
      <c r="AB533" t="s">
        <v>10819</v>
      </c>
      <c r="AC533" t="s">
        <v>10820</v>
      </c>
      <c r="AD533" t="s">
        <v>10820</v>
      </c>
      <c r="AE533" t="s">
        <v>10821</v>
      </c>
      <c r="AF533" t="s">
        <v>74</v>
      </c>
      <c r="AG533">
        <v>39</v>
      </c>
      <c r="AH533">
        <v>2</v>
      </c>
      <c r="AI533">
        <v>3</v>
      </c>
      <c r="AJ533">
        <v>1</v>
      </c>
      <c r="AK533">
        <v>11</v>
      </c>
      <c r="AL533" t="s">
        <v>530</v>
      </c>
      <c r="AM533" t="s">
        <v>531</v>
      </c>
      <c r="AN533" t="s">
        <v>532</v>
      </c>
      <c r="AO533" t="s">
        <v>533</v>
      </c>
      <c r="AP533" t="s">
        <v>534</v>
      </c>
      <c r="AQ533" t="s">
        <v>74</v>
      </c>
      <c r="AR533" t="s">
        <v>535</v>
      </c>
      <c r="AS533" t="s">
        <v>536</v>
      </c>
      <c r="AT533" t="s">
        <v>5076</v>
      </c>
      <c r="AU533">
        <v>2022</v>
      </c>
      <c r="AV533">
        <v>45</v>
      </c>
      <c r="AW533">
        <v>5</v>
      </c>
      <c r="AX533" t="s">
        <v>74</v>
      </c>
      <c r="AY533" t="s">
        <v>74</v>
      </c>
      <c r="AZ533" t="s">
        <v>74</v>
      </c>
      <c r="BA533" t="s">
        <v>74</v>
      </c>
      <c r="BB533">
        <v>845</v>
      </c>
      <c r="BC533">
        <v>855</v>
      </c>
      <c r="BD533" t="s">
        <v>74</v>
      </c>
      <c r="BE533" t="s">
        <v>10822</v>
      </c>
      <c r="BF533" t="str">
        <f>HYPERLINK("http://dx.doi.org/10.1007/s00300-022-03040-5","http://dx.doi.org/10.1007/s00300-022-03040-5")</f>
        <v>http://dx.doi.org/10.1007/s00300-022-03040-5</v>
      </c>
      <c r="BG533" t="s">
        <v>74</v>
      </c>
      <c r="BH533" t="s">
        <v>7987</v>
      </c>
      <c r="BI533">
        <v>11</v>
      </c>
      <c r="BJ533" t="s">
        <v>539</v>
      </c>
      <c r="BK533" t="s">
        <v>101</v>
      </c>
      <c r="BL533" t="s">
        <v>540</v>
      </c>
      <c r="BM533" t="s">
        <v>8883</v>
      </c>
      <c r="BN533" t="s">
        <v>74</v>
      </c>
      <c r="BO533" t="s">
        <v>267</v>
      </c>
      <c r="BP533" t="s">
        <v>74</v>
      </c>
      <c r="BQ533" t="s">
        <v>74</v>
      </c>
      <c r="BR533" t="s">
        <v>103</v>
      </c>
      <c r="BS533" t="s">
        <v>10823</v>
      </c>
      <c r="BT533" t="str">
        <f>HYPERLINK("https%3A%2F%2Fwww.webofscience.com%2Fwos%2Fwoscc%2Ffull-record%2FWOS:000781154400001","View Full Record in Web of Science")</f>
        <v>View Full Record in Web of Science</v>
      </c>
    </row>
    <row r="534" spans="1:72" x14ac:dyDescent="0.15">
      <c r="A534" t="s">
        <v>72</v>
      </c>
      <c r="B534" t="s">
        <v>10824</v>
      </c>
      <c r="C534" t="s">
        <v>74</v>
      </c>
      <c r="D534" t="s">
        <v>74</v>
      </c>
      <c r="E534" t="s">
        <v>74</v>
      </c>
      <c r="F534" t="s">
        <v>10825</v>
      </c>
      <c r="G534" t="s">
        <v>74</v>
      </c>
      <c r="H534" t="s">
        <v>74</v>
      </c>
      <c r="I534" t="s">
        <v>10826</v>
      </c>
      <c r="J534" t="s">
        <v>10827</v>
      </c>
      <c r="K534" t="s">
        <v>74</v>
      </c>
      <c r="L534" t="s">
        <v>74</v>
      </c>
      <c r="M534" t="s">
        <v>78</v>
      </c>
      <c r="N534" t="s">
        <v>161</v>
      </c>
      <c r="O534" t="s">
        <v>74</v>
      </c>
      <c r="P534" t="s">
        <v>74</v>
      </c>
      <c r="Q534" t="s">
        <v>74</v>
      </c>
      <c r="R534" t="s">
        <v>74</v>
      </c>
      <c r="S534" t="s">
        <v>74</v>
      </c>
      <c r="T534" t="s">
        <v>10828</v>
      </c>
      <c r="U534" t="s">
        <v>10829</v>
      </c>
      <c r="V534" t="s">
        <v>10830</v>
      </c>
      <c r="W534" t="s">
        <v>10831</v>
      </c>
      <c r="X534" t="s">
        <v>10832</v>
      </c>
      <c r="Y534" t="s">
        <v>10833</v>
      </c>
      <c r="Z534" t="s">
        <v>10834</v>
      </c>
      <c r="AA534" t="s">
        <v>10835</v>
      </c>
      <c r="AB534" t="s">
        <v>10836</v>
      </c>
      <c r="AC534" t="s">
        <v>74</v>
      </c>
      <c r="AD534" t="s">
        <v>74</v>
      </c>
      <c r="AE534" t="s">
        <v>74</v>
      </c>
      <c r="AF534" t="s">
        <v>74</v>
      </c>
      <c r="AG534">
        <v>364</v>
      </c>
      <c r="AH534">
        <v>15</v>
      </c>
      <c r="AI534">
        <v>17</v>
      </c>
      <c r="AJ534">
        <v>11</v>
      </c>
      <c r="AK534">
        <v>41</v>
      </c>
      <c r="AL534" t="s">
        <v>530</v>
      </c>
      <c r="AM534" t="s">
        <v>1121</v>
      </c>
      <c r="AN534" t="s">
        <v>1122</v>
      </c>
      <c r="AO534" t="s">
        <v>10837</v>
      </c>
      <c r="AP534" t="s">
        <v>10838</v>
      </c>
      <c r="AQ534" t="s">
        <v>74</v>
      </c>
      <c r="AR534" t="s">
        <v>10839</v>
      </c>
      <c r="AS534" t="s">
        <v>10840</v>
      </c>
      <c r="AT534" t="s">
        <v>150</v>
      </c>
      <c r="AU534">
        <v>2022</v>
      </c>
      <c r="AV534">
        <v>32</v>
      </c>
      <c r="AW534">
        <v>3</v>
      </c>
      <c r="AX534" t="s">
        <v>74</v>
      </c>
      <c r="AY534" t="s">
        <v>74</v>
      </c>
      <c r="AZ534" t="s">
        <v>74</v>
      </c>
      <c r="BA534" t="s">
        <v>74</v>
      </c>
      <c r="BB534">
        <v>827</v>
      </c>
      <c r="BC534">
        <v>877</v>
      </c>
      <c r="BD534" t="s">
        <v>74</v>
      </c>
      <c r="BE534" t="s">
        <v>10841</v>
      </c>
      <c r="BF534" t="str">
        <f>HYPERLINK("http://dx.doi.org/10.1007/s11160-022-09712-z","http://dx.doi.org/10.1007/s11160-022-09712-z")</f>
        <v>http://dx.doi.org/10.1007/s11160-022-09712-z</v>
      </c>
      <c r="BG534" t="s">
        <v>74</v>
      </c>
      <c r="BH534" t="s">
        <v>7987</v>
      </c>
      <c r="BI534">
        <v>51</v>
      </c>
      <c r="BJ534" t="s">
        <v>10842</v>
      </c>
      <c r="BK534" t="s">
        <v>101</v>
      </c>
      <c r="BL534" t="s">
        <v>10842</v>
      </c>
      <c r="BM534" t="s">
        <v>10843</v>
      </c>
      <c r="BN534" t="s">
        <v>74</v>
      </c>
      <c r="BO534" t="s">
        <v>74</v>
      </c>
      <c r="BP534" t="s">
        <v>74</v>
      </c>
      <c r="BQ534" t="s">
        <v>74</v>
      </c>
      <c r="BR534" t="s">
        <v>103</v>
      </c>
      <c r="BS534" t="s">
        <v>10844</v>
      </c>
      <c r="BT534" t="str">
        <f>HYPERLINK("https%3A%2F%2Fwww.webofscience.com%2Fwos%2Fwoscc%2Ffull-record%2FWOS:000779958600001","View Full Record in Web of Science")</f>
        <v>View Full Record in Web of Science</v>
      </c>
    </row>
    <row r="535" spans="1:72" x14ac:dyDescent="0.15">
      <c r="A535" t="s">
        <v>72</v>
      </c>
      <c r="B535" t="s">
        <v>10845</v>
      </c>
      <c r="C535" t="s">
        <v>74</v>
      </c>
      <c r="D535" t="s">
        <v>74</v>
      </c>
      <c r="E535" t="s">
        <v>74</v>
      </c>
      <c r="F535" t="s">
        <v>10846</v>
      </c>
      <c r="G535" t="s">
        <v>74</v>
      </c>
      <c r="H535" t="s">
        <v>74</v>
      </c>
      <c r="I535" t="s">
        <v>10847</v>
      </c>
      <c r="J535" t="s">
        <v>10848</v>
      </c>
      <c r="K535" t="s">
        <v>74</v>
      </c>
      <c r="L535" t="s">
        <v>74</v>
      </c>
      <c r="M535" t="s">
        <v>78</v>
      </c>
      <c r="N535" t="s">
        <v>79</v>
      </c>
      <c r="O535" t="s">
        <v>74</v>
      </c>
      <c r="P535" t="s">
        <v>74</v>
      </c>
      <c r="Q535" t="s">
        <v>74</v>
      </c>
      <c r="R535" t="s">
        <v>74</v>
      </c>
      <c r="S535" t="s">
        <v>74</v>
      </c>
      <c r="T535" t="s">
        <v>10849</v>
      </c>
      <c r="U535" t="s">
        <v>10850</v>
      </c>
      <c r="V535" t="s">
        <v>10851</v>
      </c>
      <c r="W535" t="s">
        <v>10852</v>
      </c>
      <c r="X535" t="s">
        <v>10853</v>
      </c>
      <c r="Y535" t="s">
        <v>10854</v>
      </c>
      <c r="Z535" t="s">
        <v>10855</v>
      </c>
      <c r="AA535" t="s">
        <v>10856</v>
      </c>
      <c r="AB535" t="s">
        <v>10857</v>
      </c>
      <c r="AC535" t="s">
        <v>10858</v>
      </c>
      <c r="AD535" t="s">
        <v>10859</v>
      </c>
      <c r="AE535" t="s">
        <v>10860</v>
      </c>
      <c r="AF535" t="s">
        <v>74</v>
      </c>
      <c r="AG535">
        <v>127</v>
      </c>
      <c r="AH535">
        <v>7</v>
      </c>
      <c r="AI535">
        <v>7</v>
      </c>
      <c r="AJ535">
        <v>5</v>
      </c>
      <c r="AK535">
        <v>33</v>
      </c>
      <c r="AL535" t="s">
        <v>3228</v>
      </c>
      <c r="AM535" t="s">
        <v>200</v>
      </c>
      <c r="AN535" t="s">
        <v>3229</v>
      </c>
      <c r="AO535" t="s">
        <v>10861</v>
      </c>
      <c r="AP535" t="s">
        <v>10862</v>
      </c>
      <c r="AQ535" t="s">
        <v>74</v>
      </c>
      <c r="AR535" t="s">
        <v>10863</v>
      </c>
      <c r="AS535" t="s">
        <v>10864</v>
      </c>
      <c r="AT535" t="s">
        <v>537</v>
      </c>
      <c r="AU535">
        <v>2022</v>
      </c>
      <c r="AV535">
        <v>140</v>
      </c>
      <c r="AW535" t="s">
        <v>74</v>
      </c>
      <c r="AX535" t="s">
        <v>74</v>
      </c>
      <c r="AY535" t="s">
        <v>74</v>
      </c>
      <c r="AZ535" t="s">
        <v>74</v>
      </c>
      <c r="BA535" t="s">
        <v>74</v>
      </c>
      <c r="BB535" t="s">
        <v>74</v>
      </c>
      <c r="BC535" t="s">
        <v>74</v>
      </c>
      <c r="BD535">
        <v>105021</v>
      </c>
      <c r="BE535" t="s">
        <v>10865</v>
      </c>
      <c r="BF535" t="str">
        <f>HYPERLINK("http://dx.doi.org/10.1016/j.marpol.2022.105021","http://dx.doi.org/10.1016/j.marpol.2022.105021")</f>
        <v>http://dx.doi.org/10.1016/j.marpol.2022.105021</v>
      </c>
      <c r="BG535" t="s">
        <v>74</v>
      </c>
      <c r="BH535" t="s">
        <v>7987</v>
      </c>
      <c r="BI535">
        <v>12</v>
      </c>
      <c r="BJ535" t="s">
        <v>10866</v>
      </c>
      <c r="BK535" t="s">
        <v>9665</v>
      </c>
      <c r="BL535" t="s">
        <v>10867</v>
      </c>
      <c r="BM535" t="s">
        <v>10868</v>
      </c>
      <c r="BN535" t="s">
        <v>74</v>
      </c>
      <c r="BO535" t="s">
        <v>74</v>
      </c>
      <c r="BP535" t="s">
        <v>74</v>
      </c>
      <c r="BQ535" t="s">
        <v>74</v>
      </c>
      <c r="BR535" t="s">
        <v>103</v>
      </c>
      <c r="BS535" t="s">
        <v>10869</v>
      </c>
      <c r="BT535" t="str">
        <f>HYPERLINK("https%3A%2F%2Fwww.webofscience.com%2Fwos%2Fwoscc%2Ffull-record%2FWOS:000821544100001","View Full Record in Web of Science")</f>
        <v>View Full Record in Web of Science</v>
      </c>
    </row>
    <row r="536" spans="1:72" x14ac:dyDescent="0.15">
      <c r="A536" t="s">
        <v>72</v>
      </c>
      <c r="B536" t="s">
        <v>10870</v>
      </c>
      <c r="C536" t="s">
        <v>74</v>
      </c>
      <c r="D536" t="s">
        <v>74</v>
      </c>
      <c r="E536" t="s">
        <v>74</v>
      </c>
      <c r="F536" t="s">
        <v>10871</v>
      </c>
      <c r="G536" t="s">
        <v>74</v>
      </c>
      <c r="H536" t="s">
        <v>74</v>
      </c>
      <c r="I536" t="s">
        <v>10872</v>
      </c>
      <c r="J536" t="s">
        <v>10873</v>
      </c>
      <c r="K536" t="s">
        <v>74</v>
      </c>
      <c r="L536" t="s">
        <v>74</v>
      </c>
      <c r="M536" t="s">
        <v>78</v>
      </c>
      <c r="N536" t="s">
        <v>79</v>
      </c>
      <c r="O536" t="s">
        <v>74</v>
      </c>
      <c r="P536" t="s">
        <v>74</v>
      </c>
      <c r="Q536" t="s">
        <v>74</v>
      </c>
      <c r="R536" t="s">
        <v>74</v>
      </c>
      <c r="S536" t="s">
        <v>74</v>
      </c>
      <c r="T536" t="s">
        <v>10874</v>
      </c>
      <c r="U536" t="s">
        <v>10875</v>
      </c>
      <c r="V536" t="s">
        <v>10876</v>
      </c>
      <c r="W536" t="s">
        <v>10877</v>
      </c>
      <c r="X536" t="s">
        <v>10878</v>
      </c>
      <c r="Y536" t="s">
        <v>10879</v>
      </c>
      <c r="Z536" t="s">
        <v>10880</v>
      </c>
      <c r="AA536" t="s">
        <v>74</v>
      </c>
      <c r="AB536" t="s">
        <v>74</v>
      </c>
      <c r="AC536" t="s">
        <v>10881</v>
      </c>
      <c r="AD536" t="s">
        <v>10882</v>
      </c>
      <c r="AE536" t="s">
        <v>10883</v>
      </c>
      <c r="AF536" t="s">
        <v>74</v>
      </c>
      <c r="AG536">
        <v>48</v>
      </c>
      <c r="AH536">
        <v>5</v>
      </c>
      <c r="AI536">
        <v>5</v>
      </c>
      <c r="AJ536">
        <v>2</v>
      </c>
      <c r="AK536">
        <v>14</v>
      </c>
      <c r="AL536" t="s">
        <v>257</v>
      </c>
      <c r="AM536" t="s">
        <v>258</v>
      </c>
      <c r="AN536" t="s">
        <v>259</v>
      </c>
      <c r="AO536" t="s">
        <v>10884</v>
      </c>
      <c r="AP536" t="s">
        <v>10885</v>
      </c>
      <c r="AQ536" t="s">
        <v>74</v>
      </c>
      <c r="AR536" t="s">
        <v>10886</v>
      </c>
      <c r="AS536" t="s">
        <v>10887</v>
      </c>
      <c r="AT536" t="s">
        <v>2579</v>
      </c>
      <c r="AU536">
        <v>2022</v>
      </c>
      <c r="AV536">
        <v>209</v>
      </c>
      <c r="AW536" t="s">
        <v>74</v>
      </c>
      <c r="AX536" t="s">
        <v>10888</v>
      </c>
      <c r="AY536" t="s">
        <v>74</v>
      </c>
      <c r="AZ536" t="s">
        <v>74</v>
      </c>
      <c r="BA536" t="s">
        <v>74</v>
      </c>
      <c r="BB536">
        <v>290</v>
      </c>
      <c r="BC536">
        <v>298</v>
      </c>
      <c r="BD536" t="s">
        <v>74</v>
      </c>
      <c r="BE536" t="s">
        <v>10889</v>
      </c>
      <c r="BF536" t="str">
        <f>HYPERLINK("http://dx.doi.org/10.1016/j.ijbiomac.2022.04.019","http://dx.doi.org/10.1016/j.ijbiomac.2022.04.019")</f>
        <v>http://dx.doi.org/10.1016/j.ijbiomac.2022.04.019</v>
      </c>
      <c r="BG536" t="s">
        <v>74</v>
      </c>
      <c r="BH536" t="s">
        <v>7987</v>
      </c>
      <c r="BI536">
        <v>9</v>
      </c>
      <c r="BJ536" t="s">
        <v>10890</v>
      </c>
      <c r="BK536" t="s">
        <v>101</v>
      </c>
      <c r="BL536" t="s">
        <v>10891</v>
      </c>
      <c r="BM536" t="s">
        <v>10892</v>
      </c>
      <c r="BN536">
        <v>35398384</v>
      </c>
      <c r="BO536" t="s">
        <v>74</v>
      </c>
      <c r="BP536" t="s">
        <v>74</v>
      </c>
      <c r="BQ536" t="s">
        <v>74</v>
      </c>
      <c r="BR536" t="s">
        <v>103</v>
      </c>
      <c r="BS536" t="s">
        <v>10893</v>
      </c>
      <c r="BT536" t="str">
        <f>HYPERLINK("https%3A%2F%2Fwww.webofscience.com%2Fwos%2Fwoscc%2Ffull-record%2FWOS:000797028100009","View Full Record in Web of Science")</f>
        <v>View Full Record in Web of Science</v>
      </c>
    </row>
    <row r="537" spans="1:72" x14ac:dyDescent="0.15">
      <c r="A537" t="s">
        <v>72</v>
      </c>
      <c r="B537" t="s">
        <v>10894</v>
      </c>
      <c r="C537" t="s">
        <v>74</v>
      </c>
      <c r="D537" t="s">
        <v>74</v>
      </c>
      <c r="E537" t="s">
        <v>74</v>
      </c>
      <c r="F537" t="s">
        <v>10895</v>
      </c>
      <c r="G537" t="s">
        <v>74</v>
      </c>
      <c r="H537" t="s">
        <v>74</v>
      </c>
      <c r="I537" t="s">
        <v>10896</v>
      </c>
      <c r="J537" t="s">
        <v>108</v>
      </c>
      <c r="K537" t="s">
        <v>74</v>
      </c>
      <c r="L537" t="s">
        <v>74</v>
      </c>
      <c r="M537" t="s">
        <v>78</v>
      </c>
      <c r="N537" t="s">
        <v>79</v>
      </c>
      <c r="O537" t="s">
        <v>74</v>
      </c>
      <c r="P537" t="s">
        <v>74</v>
      </c>
      <c r="Q537" t="s">
        <v>74</v>
      </c>
      <c r="R537" t="s">
        <v>74</v>
      </c>
      <c r="S537" t="s">
        <v>74</v>
      </c>
      <c r="T537" t="s">
        <v>74</v>
      </c>
      <c r="U537" t="s">
        <v>74</v>
      </c>
      <c r="V537" t="s">
        <v>10897</v>
      </c>
      <c r="W537" t="s">
        <v>10898</v>
      </c>
      <c r="X537" t="s">
        <v>10899</v>
      </c>
      <c r="Y537" t="s">
        <v>10900</v>
      </c>
      <c r="Z537" t="s">
        <v>10901</v>
      </c>
      <c r="AA537" t="s">
        <v>10902</v>
      </c>
      <c r="AB537" t="s">
        <v>10903</v>
      </c>
      <c r="AC537" t="s">
        <v>10904</v>
      </c>
      <c r="AD537" t="s">
        <v>10905</v>
      </c>
      <c r="AE537" t="s">
        <v>10906</v>
      </c>
      <c r="AF537" t="s">
        <v>74</v>
      </c>
      <c r="AG537">
        <v>65</v>
      </c>
      <c r="AH537">
        <v>2</v>
      </c>
      <c r="AI537">
        <v>2</v>
      </c>
      <c r="AJ537">
        <v>1</v>
      </c>
      <c r="AK537">
        <v>3</v>
      </c>
      <c r="AL537" t="s">
        <v>117</v>
      </c>
      <c r="AM537" t="s">
        <v>118</v>
      </c>
      <c r="AN537" t="s">
        <v>119</v>
      </c>
      <c r="AO537" t="s">
        <v>120</v>
      </c>
      <c r="AP537" t="s">
        <v>121</v>
      </c>
      <c r="AQ537" t="s">
        <v>74</v>
      </c>
      <c r="AR537" t="s">
        <v>108</v>
      </c>
      <c r="AS537" t="s">
        <v>122</v>
      </c>
      <c r="AT537" t="s">
        <v>10907</v>
      </c>
      <c r="AU537">
        <v>2022</v>
      </c>
      <c r="AV537">
        <v>16</v>
      </c>
      <c r="AW537">
        <v>4</v>
      </c>
      <c r="AX537" t="s">
        <v>74</v>
      </c>
      <c r="AY537" t="s">
        <v>74</v>
      </c>
      <c r="AZ537" t="s">
        <v>74</v>
      </c>
      <c r="BA537" t="s">
        <v>74</v>
      </c>
      <c r="BB537">
        <v>1221</v>
      </c>
      <c r="BC537">
        <v>1245</v>
      </c>
      <c r="BD537" t="s">
        <v>74</v>
      </c>
      <c r="BE537" t="s">
        <v>10908</v>
      </c>
      <c r="BF537" t="str">
        <f>HYPERLINK("http://dx.doi.org/10.5194/tc-16-1221-2022","http://dx.doi.org/10.5194/tc-16-1221-2022")</f>
        <v>http://dx.doi.org/10.5194/tc-16-1221-2022</v>
      </c>
      <c r="BG537" t="s">
        <v>74</v>
      </c>
      <c r="BH537" t="s">
        <v>74</v>
      </c>
      <c r="BI537">
        <v>25</v>
      </c>
      <c r="BJ537" t="s">
        <v>125</v>
      </c>
      <c r="BK537" t="s">
        <v>101</v>
      </c>
      <c r="BL537" t="s">
        <v>126</v>
      </c>
      <c r="BM537" t="s">
        <v>10909</v>
      </c>
      <c r="BN537" t="s">
        <v>74</v>
      </c>
      <c r="BO537" t="s">
        <v>2560</v>
      </c>
      <c r="BP537" t="s">
        <v>74</v>
      </c>
      <c r="BQ537" t="s">
        <v>74</v>
      </c>
      <c r="BR537" t="s">
        <v>103</v>
      </c>
      <c r="BS537" t="s">
        <v>10910</v>
      </c>
      <c r="BT537" t="str">
        <f>HYPERLINK("https%3A%2F%2Fwww.webofscience.com%2Fwos%2Fwoscc%2Ffull-record%2FWOS:000792369600001","View Full Record in Web of Science")</f>
        <v>View Full Record in Web of Science</v>
      </c>
    </row>
    <row r="538" spans="1:72" x14ac:dyDescent="0.15">
      <c r="A538" t="s">
        <v>72</v>
      </c>
      <c r="B538" t="s">
        <v>10911</v>
      </c>
      <c r="C538" t="s">
        <v>74</v>
      </c>
      <c r="D538" t="s">
        <v>74</v>
      </c>
      <c r="E538" t="s">
        <v>74</v>
      </c>
      <c r="F538" t="s">
        <v>10912</v>
      </c>
      <c r="G538" t="s">
        <v>74</v>
      </c>
      <c r="H538" t="s">
        <v>74</v>
      </c>
      <c r="I538" t="s">
        <v>10913</v>
      </c>
      <c r="J538" t="s">
        <v>272</v>
      </c>
      <c r="K538" t="s">
        <v>74</v>
      </c>
      <c r="L538" t="s">
        <v>74</v>
      </c>
      <c r="M538" t="s">
        <v>78</v>
      </c>
      <c r="N538" t="s">
        <v>79</v>
      </c>
      <c r="O538" t="s">
        <v>74</v>
      </c>
      <c r="P538" t="s">
        <v>74</v>
      </c>
      <c r="Q538" t="s">
        <v>74</v>
      </c>
      <c r="R538" t="s">
        <v>74</v>
      </c>
      <c r="S538" t="s">
        <v>74</v>
      </c>
      <c r="T538" t="s">
        <v>10914</v>
      </c>
      <c r="U538" t="s">
        <v>10915</v>
      </c>
      <c r="V538" t="s">
        <v>10916</v>
      </c>
      <c r="W538" t="s">
        <v>10917</v>
      </c>
      <c r="X538" t="s">
        <v>10918</v>
      </c>
      <c r="Y538" t="s">
        <v>10919</v>
      </c>
      <c r="Z538" t="s">
        <v>8595</v>
      </c>
      <c r="AA538" t="s">
        <v>10920</v>
      </c>
      <c r="AB538" t="s">
        <v>10921</v>
      </c>
      <c r="AC538" t="s">
        <v>10922</v>
      </c>
      <c r="AD538" t="s">
        <v>10923</v>
      </c>
      <c r="AE538" t="s">
        <v>10924</v>
      </c>
      <c r="AF538" t="s">
        <v>74</v>
      </c>
      <c r="AG538">
        <v>124</v>
      </c>
      <c r="AH538">
        <v>4</v>
      </c>
      <c r="AI538">
        <v>4</v>
      </c>
      <c r="AJ538">
        <v>5</v>
      </c>
      <c r="AK538">
        <v>12</v>
      </c>
      <c r="AL538" t="s">
        <v>285</v>
      </c>
      <c r="AM538" t="s">
        <v>286</v>
      </c>
      <c r="AN538" t="s">
        <v>287</v>
      </c>
      <c r="AO538" t="s">
        <v>74</v>
      </c>
      <c r="AP538" t="s">
        <v>288</v>
      </c>
      <c r="AQ538" t="s">
        <v>74</v>
      </c>
      <c r="AR538" t="s">
        <v>289</v>
      </c>
      <c r="AS538" t="s">
        <v>290</v>
      </c>
      <c r="AT538" t="s">
        <v>10907</v>
      </c>
      <c r="AU538">
        <v>2022</v>
      </c>
      <c r="AV538">
        <v>13</v>
      </c>
      <c r="AW538" t="s">
        <v>74</v>
      </c>
      <c r="AX538" t="s">
        <v>74</v>
      </c>
      <c r="AY538" t="s">
        <v>74</v>
      </c>
      <c r="AZ538" t="s">
        <v>74</v>
      </c>
      <c r="BA538" t="s">
        <v>74</v>
      </c>
      <c r="BB538" t="s">
        <v>74</v>
      </c>
      <c r="BC538" t="s">
        <v>74</v>
      </c>
      <c r="BD538">
        <v>841175</v>
      </c>
      <c r="BE538" t="s">
        <v>10925</v>
      </c>
      <c r="BF538" t="str">
        <f>HYPERLINK("http://dx.doi.org/10.3389/fmicb.2022.841175","http://dx.doi.org/10.3389/fmicb.2022.841175")</f>
        <v>http://dx.doi.org/10.3389/fmicb.2022.841175</v>
      </c>
      <c r="BG538" t="s">
        <v>74</v>
      </c>
      <c r="BH538" t="s">
        <v>74</v>
      </c>
      <c r="BI538">
        <v>16</v>
      </c>
      <c r="BJ538" t="s">
        <v>293</v>
      </c>
      <c r="BK538" t="s">
        <v>101</v>
      </c>
      <c r="BL538" t="s">
        <v>293</v>
      </c>
      <c r="BM538" t="s">
        <v>10926</v>
      </c>
      <c r="BN538">
        <v>35464973</v>
      </c>
      <c r="BO538" t="s">
        <v>295</v>
      </c>
      <c r="BP538" t="s">
        <v>74</v>
      </c>
      <c r="BQ538" t="s">
        <v>74</v>
      </c>
      <c r="BR538" t="s">
        <v>103</v>
      </c>
      <c r="BS538" t="s">
        <v>10927</v>
      </c>
      <c r="BT538" t="str">
        <f>HYPERLINK("https%3A%2F%2Fwww.webofscience.com%2Fwos%2Fwoscc%2Ffull-record%2FWOS:000792270100001","View Full Record in Web of Science")</f>
        <v>View Full Record in Web of Science</v>
      </c>
    </row>
    <row r="539" spans="1:72" x14ac:dyDescent="0.15">
      <c r="A539" t="s">
        <v>72</v>
      </c>
      <c r="B539" t="s">
        <v>10928</v>
      </c>
      <c r="C539" t="s">
        <v>74</v>
      </c>
      <c r="D539" t="s">
        <v>74</v>
      </c>
      <c r="E539" t="s">
        <v>74</v>
      </c>
      <c r="F539" t="s">
        <v>10929</v>
      </c>
      <c r="G539" t="s">
        <v>74</v>
      </c>
      <c r="H539" t="s">
        <v>74</v>
      </c>
      <c r="I539" t="s">
        <v>10930</v>
      </c>
      <c r="J539" t="s">
        <v>3837</v>
      </c>
      <c r="K539" t="s">
        <v>74</v>
      </c>
      <c r="L539" t="s">
        <v>74</v>
      </c>
      <c r="M539" t="s">
        <v>78</v>
      </c>
      <c r="N539" t="s">
        <v>79</v>
      </c>
      <c r="O539" t="s">
        <v>74</v>
      </c>
      <c r="P539" t="s">
        <v>74</v>
      </c>
      <c r="Q539" t="s">
        <v>74</v>
      </c>
      <c r="R539" t="s">
        <v>74</v>
      </c>
      <c r="S539" t="s">
        <v>74</v>
      </c>
      <c r="T539" t="s">
        <v>74</v>
      </c>
      <c r="U539" t="s">
        <v>74</v>
      </c>
      <c r="V539" t="s">
        <v>10931</v>
      </c>
      <c r="W539" t="s">
        <v>10932</v>
      </c>
      <c r="X539" t="s">
        <v>10933</v>
      </c>
      <c r="Y539" t="s">
        <v>10934</v>
      </c>
      <c r="Z539" t="s">
        <v>10935</v>
      </c>
      <c r="AA539" t="s">
        <v>10936</v>
      </c>
      <c r="AB539" t="s">
        <v>10937</v>
      </c>
      <c r="AC539" t="s">
        <v>10938</v>
      </c>
      <c r="AD539" t="s">
        <v>10939</v>
      </c>
      <c r="AE539" t="s">
        <v>10940</v>
      </c>
      <c r="AF539" t="s">
        <v>74</v>
      </c>
      <c r="AG539">
        <v>66</v>
      </c>
      <c r="AH539">
        <v>19</v>
      </c>
      <c r="AI539">
        <v>19</v>
      </c>
      <c r="AJ539">
        <v>1</v>
      </c>
      <c r="AK539">
        <v>13</v>
      </c>
      <c r="AL539" t="s">
        <v>117</v>
      </c>
      <c r="AM539" t="s">
        <v>118</v>
      </c>
      <c r="AN539" t="s">
        <v>119</v>
      </c>
      <c r="AO539" t="s">
        <v>3849</v>
      </c>
      <c r="AP539" t="s">
        <v>3850</v>
      </c>
      <c r="AQ539" t="s">
        <v>74</v>
      </c>
      <c r="AR539" t="s">
        <v>3851</v>
      </c>
      <c r="AS539" t="s">
        <v>3852</v>
      </c>
      <c r="AT539" t="s">
        <v>10907</v>
      </c>
      <c r="AU539">
        <v>2022</v>
      </c>
      <c r="AV539">
        <v>22</v>
      </c>
      <c r="AW539">
        <v>7</v>
      </c>
      <c r="AX539" t="s">
        <v>74</v>
      </c>
      <c r="AY539" t="s">
        <v>74</v>
      </c>
      <c r="AZ539" t="s">
        <v>74</v>
      </c>
      <c r="BA539" t="s">
        <v>74</v>
      </c>
      <c r="BB539">
        <v>4557</v>
      </c>
      <c r="BC539">
        <v>4579</v>
      </c>
      <c r="BD539" t="s">
        <v>74</v>
      </c>
      <c r="BE539" t="s">
        <v>10941</v>
      </c>
      <c r="BF539" t="str">
        <f>HYPERLINK("http://dx.doi.org/10.5194/acp-22-4557-2022","http://dx.doi.org/10.5194/acp-22-4557-2022")</f>
        <v>http://dx.doi.org/10.5194/acp-22-4557-2022</v>
      </c>
      <c r="BG539" t="s">
        <v>74</v>
      </c>
      <c r="BH539" t="s">
        <v>74</v>
      </c>
      <c r="BI539">
        <v>23</v>
      </c>
      <c r="BJ539" t="s">
        <v>1797</v>
      </c>
      <c r="BK539" t="s">
        <v>101</v>
      </c>
      <c r="BL539" t="s">
        <v>957</v>
      </c>
      <c r="BM539" t="s">
        <v>10942</v>
      </c>
      <c r="BN539" t="s">
        <v>74</v>
      </c>
      <c r="BO539" t="s">
        <v>128</v>
      </c>
      <c r="BP539" t="s">
        <v>74</v>
      </c>
      <c r="BQ539" t="s">
        <v>74</v>
      </c>
      <c r="BR539" t="s">
        <v>103</v>
      </c>
      <c r="BS539" t="s">
        <v>10943</v>
      </c>
      <c r="BT539" t="str">
        <f>HYPERLINK("https%3A%2F%2Fwww.webofscience.com%2Fwos%2Fwoscc%2Ffull-record%2FWOS:000792370200001","View Full Record in Web of Science")</f>
        <v>View Full Record in Web of Science</v>
      </c>
    </row>
    <row r="540" spans="1:72" x14ac:dyDescent="0.15">
      <c r="A540" t="s">
        <v>72</v>
      </c>
      <c r="B540" t="s">
        <v>10944</v>
      </c>
      <c r="C540" t="s">
        <v>74</v>
      </c>
      <c r="D540" t="s">
        <v>74</v>
      </c>
      <c r="E540" t="s">
        <v>74</v>
      </c>
      <c r="F540" t="s">
        <v>10945</v>
      </c>
      <c r="G540" t="s">
        <v>74</v>
      </c>
      <c r="H540" t="s">
        <v>74</v>
      </c>
      <c r="I540" t="s">
        <v>10946</v>
      </c>
      <c r="J540" t="s">
        <v>3174</v>
      </c>
      <c r="K540" t="s">
        <v>74</v>
      </c>
      <c r="L540" t="s">
        <v>74</v>
      </c>
      <c r="M540" t="s">
        <v>78</v>
      </c>
      <c r="N540" t="s">
        <v>79</v>
      </c>
      <c r="O540" t="s">
        <v>74</v>
      </c>
      <c r="P540" t="s">
        <v>74</v>
      </c>
      <c r="Q540" t="s">
        <v>74</v>
      </c>
      <c r="R540" t="s">
        <v>74</v>
      </c>
      <c r="S540" t="s">
        <v>74</v>
      </c>
      <c r="T540" t="s">
        <v>10947</v>
      </c>
      <c r="U540" t="s">
        <v>10948</v>
      </c>
      <c r="V540" t="s">
        <v>10949</v>
      </c>
      <c r="W540" t="s">
        <v>10950</v>
      </c>
      <c r="X540" t="s">
        <v>10951</v>
      </c>
      <c r="Y540" t="s">
        <v>10952</v>
      </c>
      <c r="Z540" t="s">
        <v>10953</v>
      </c>
      <c r="AA540" t="s">
        <v>74</v>
      </c>
      <c r="AB540" t="s">
        <v>10954</v>
      </c>
      <c r="AC540" t="s">
        <v>10955</v>
      </c>
      <c r="AD540" t="s">
        <v>10956</v>
      </c>
      <c r="AE540" t="s">
        <v>10957</v>
      </c>
      <c r="AF540" t="s">
        <v>74</v>
      </c>
      <c r="AG540">
        <v>73</v>
      </c>
      <c r="AH540">
        <v>1</v>
      </c>
      <c r="AI540">
        <v>2</v>
      </c>
      <c r="AJ540">
        <v>1</v>
      </c>
      <c r="AK540">
        <v>11</v>
      </c>
      <c r="AL540" t="s">
        <v>633</v>
      </c>
      <c r="AM540" t="s">
        <v>200</v>
      </c>
      <c r="AN540" t="s">
        <v>634</v>
      </c>
      <c r="AO540" t="s">
        <v>3183</v>
      </c>
      <c r="AP540" t="s">
        <v>3184</v>
      </c>
      <c r="AQ540" t="s">
        <v>74</v>
      </c>
      <c r="AR540" t="s">
        <v>3185</v>
      </c>
      <c r="AS540" t="s">
        <v>3186</v>
      </c>
      <c r="AT540" t="s">
        <v>4063</v>
      </c>
      <c r="AU540">
        <v>2022</v>
      </c>
      <c r="AV540">
        <v>79</v>
      </c>
      <c r="AW540">
        <v>4</v>
      </c>
      <c r="AX540" t="s">
        <v>74</v>
      </c>
      <c r="AY540" t="s">
        <v>74</v>
      </c>
      <c r="AZ540" t="s">
        <v>74</v>
      </c>
      <c r="BA540" t="s">
        <v>74</v>
      </c>
      <c r="BB540">
        <v>1289</v>
      </c>
      <c r="BC540">
        <v>1301</v>
      </c>
      <c r="BD540" t="s">
        <v>74</v>
      </c>
      <c r="BE540" t="s">
        <v>10958</v>
      </c>
      <c r="BF540" t="str">
        <f>HYPERLINK("http://dx.doi.org/10.1093/icesjms/fsac053","http://dx.doi.org/10.1093/icesjms/fsac053")</f>
        <v>http://dx.doi.org/10.1093/icesjms/fsac053</v>
      </c>
      <c r="BG540" t="s">
        <v>74</v>
      </c>
      <c r="BH540" t="s">
        <v>7987</v>
      </c>
      <c r="BI540">
        <v>13</v>
      </c>
      <c r="BJ540" t="s">
        <v>3189</v>
      </c>
      <c r="BK540" t="s">
        <v>956</v>
      </c>
      <c r="BL540" t="s">
        <v>3189</v>
      </c>
      <c r="BM540" t="s">
        <v>8940</v>
      </c>
      <c r="BN540" t="s">
        <v>74</v>
      </c>
      <c r="BO540" t="s">
        <v>1448</v>
      </c>
      <c r="BP540" t="s">
        <v>74</v>
      </c>
      <c r="BQ540" t="s">
        <v>74</v>
      </c>
      <c r="BR540" t="s">
        <v>103</v>
      </c>
      <c r="BS540" t="s">
        <v>10959</v>
      </c>
      <c r="BT540" t="str">
        <f>HYPERLINK("https%3A%2F%2Fwww.webofscience.com%2Fwos%2Fwoscc%2Ffull-record%2FWOS:000785552000001","View Full Record in Web of Science")</f>
        <v>View Full Record in Web of Science</v>
      </c>
    </row>
    <row r="541" spans="1:72" x14ac:dyDescent="0.15">
      <c r="A541" t="s">
        <v>72</v>
      </c>
      <c r="B541" t="s">
        <v>10960</v>
      </c>
      <c r="C541" t="s">
        <v>74</v>
      </c>
      <c r="D541" t="s">
        <v>74</v>
      </c>
      <c r="E541" t="s">
        <v>74</v>
      </c>
      <c r="F541" t="s">
        <v>10961</v>
      </c>
      <c r="G541" t="s">
        <v>74</v>
      </c>
      <c r="H541" t="s">
        <v>74</v>
      </c>
      <c r="I541" t="s">
        <v>10962</v>
      </c>
      <c r="J541" t="s">
        <v>3174</v>
      </c>
      <c r="K541" t="s">
        <v>74</v>
      </c>
      <c r="L541" t="s">
        <v>74</v>
      </c>
      <c r="M541" t="s">
        <v>78</v>
      </c>
      <c r="N541" t="s">
        <v>79</v>
      </c>
      <c r="O541" t="s">
        <v>74</v>
      </c>
      <c r="P541" t="s">
        <v>74</v>
      </c>
      <c r="Q541" t="s">
        <v>74</v>
      </c>
      <c r="R541" t="s">
        <v>74</v>
      </c>
      <c r="S541" t="s">
        <v>74</v>
      </c>
      <c r="T541" t="s">
        <v>10963</v>
      </c>
      <c r="U541" t="s">
        <v>10964</v>
      </c>
      <c r="V541" t="s">
        <v>10965</v>
      </c>
      <c r="W541" t="s">
        <v>10966</v>
      </c>
      <c r="X541" t="s">
        <v>10967</v>
      </c>
      <c r="Y541" t="s">
        <v>10968</v>
      </c>
      <c r="Z541" t="s">
        <v>10969</v>
      </c>
      <c r="AA541" t="s">
        <v>10970</v>
      </c>
      <c r="AB541" t="s">
        <v>10971</v>
      </c>
      <c r="AC541" t="s">
        <v>10972</v>
      </c>
      <c r="AD541" t="s">
        <v>10973</v>
      </c>
      <c r="AE541" t="s">
        <v>10974</v>
      </c>
      <c r="AF541" t="s">
        <v>74</v>
      </c>
      <c r="AG541">
        <v>38</v>
      </c>
      <c r="AH541">
        <v>4</v>
      </c>
      <c r="AI541">
        <v>4</v>
      </c>
      <c r="AJ541">
        <v>1</v>
      </c>
      <c r="AK541">
        <v>2</v>
      </c>
      <c r="AL541" t="s">
        <v>633</v>
      </c>
      <c r="AM541" t="s">
        <v>200</v>
      </c>
      <c r="AN541" t="s">
        <v>634</v>
      </c>
      <c r="AO541" t="s">
        <v>3183</v>
      </c>
      <c r="AP541" t="s">
        <v>3184</v>
      </c>
      <c r="AQ541" t="s">
        <v>74</v>
      </c>
      <c r="AR541" t="s">
        <v>3185</v>
      </c>
      <c r="AS541" t="s">
        <v>3186</v>
      </c>
      <c r="AT541" t="s">
        <v>4063</v>
      </c>
      <c r="AU541">
        <v>2022</v>
      </c>
      <c r="AV541">
        <v>79</v>
      </c>
      <c r="AW541">
        <v>4</v>
      </c>
      <c r="AX541" t="s">
        <v>74</v>
      </c>
      <c r="AY541" t="s">
        <v>74</v>
      </c>
      <c r="AZ541" t="s">
        <v>74</v>
      </c>
      <c r="BA541" t="s">
        <v>74</v>
      </c>
      <c r="BB541">
        <v>1353</v>
      </c>
      <c r="BC541">
        <v>1362</v>
      </c>
      <c r="BD541" t="s">
        <v>74</v>
      </c>
      <c r="BE541" t="s">
        <v>10975</v>
      </c>
      <c r="BF541" t="str">
        <f>HYPERLINK("http://dx.doi.org/10.1093/icesjms/fsac058","http://dx.doi.org/10.1093/icesjms/fsac058")</f>
        <v>http://dx.doi.org/10.1093/icesjms/fsac058</v>
      </c>
      <c r="BG541" t="s">
        <v>74</v>
      </c>
      <c r="BH541" t="s">
        <v>7987</v>
      </c>
      <c r="BI541">
        <v>10</v>
      </c>
      <c r="BJ541" t="s">
        <v>3189</v>
      </c>
      <c r="BK541" t="s">
        <v>101</v>
      </c>
      <c r="BL541" t="s">
        <v>3189</v>
      </c>
      <c r="BM541" t="s">
        <v>8940</v>
      </c>
      <c r="BN541" t="s">
        <v>74</v>
      </c>
      <c r="BO541" t="s">
        <v>1448</v>
      </c>
      <c r="BP541" t="s">
        <v>74</v>
      </c>
      <c r="BQ541" t="s">
        <v>74</v>
      </c>
      <c r="BR541" t="s">
        <v>103</v>
      </c>
      <c r="BS541" t="s">
        <v>10976</v>
      </c>
      <c r="BT541" t="str">
        <f>HYPERLINK("https%3A%2F%2Fwww.webofscience.com%2Fwos%2Fwoscc%2Ffull-record%2FWOS:000784687300001","View Full Record in Web of Science")</f>
        <v>View Full Record in Web of Science</v>
      </c>
    </row>
    <row r="542" spans="1:72" x14ac:dyDescent="0.15">
      <c r="A542" t="s">
        <v>72</v>
      </c>
      <c r="B542" t="s">
        <v>10977</v>
      </c>
      <c r="C542" t="s">
        <v>74</v>
      </c>
      <c r="D542" t="s">
        <v>74</v>
      </c>
      <c r="E542" t="s">
        <v>74</v>
      </c>
      <c r="F542" t="s">
        <v>10978</v>
      </c>
      <c r="G542" t="s">
        <v>74</v>
      </c>
      <c r="H542" t="s">
        <v>74</v>
      </c>
      <c r="I542" t="s">
        <v>10979</v>
      </c>
      <c r="J542" t="s">
        <v>692</v>
      </c>
      <c r="K542" t="s">
        <v>74</v>
      </c>
      <c r="L542" t="s">
        <v>74</v>
      </c>
      <c r="M542" t="s">
        <v>78</v>
      </c>
      <c r="N542" t="s">
        <v>79</v>
      </c>
      <c r="O542" t="s">
        <v>74</v>
      </c>
      <c r="P542" t="s">
        <v>74</v>
      </c>
      <c r="Q542" t="s">
        <v>74</v>
      </c>
      <c r="R542" t="s">
        <v>74</v>
      </c>
      <c r="S542" t="s">
        <v>74</v>
      </c>
      <c r="T542" t="s">
        <v>10980</v>
      </c>
      <c r="U542" t="s">
        <v>10981</v>
      </c>
      <c r="V542" t="s">
        <v>10982</v>
      </c>
      <c r="W542" t="s">
        <v>10983</v>
      </c>
      <c r="X542" t="s">
        <v>10984</v>
      </c>
      <c r="Y542" t="s">
        <v>10985</v>
      </c>
      <c r="Z542" t="s">
        <v>10986</v>
      </c>
      <c r="AA542" t="s">
        <v>10987</v>
      </c>
      <c r="AB542" t="s">
        <v>10988</v>
      </c>
      <c r="AC542" t="s">
        <v>10989</v>
      </c>
      <c r="AD542" t="s">
        <v>10990</v>
      </c>
      <c r="AE542" t="s">
        <v>10991</v>
      </c>
      <c r="AF542" t="s">
        <v>74</v>
      </c>
      <c r="AG542">
        <v>118</v>
      </c>
      <c r="AH542">
        <v>0</v>
      </c>
      <c r="AI542">
        <v>0</v>
      </c>
      <c r="AJ542">
        <v>1</v>
      </c>
      <c r="AK542">
        <v>8</v>
      </c>
      <c r="AL542" t="s">
        <v>428</v>
      </c>
      <c r="AM542" t="s">
        <v>531</v>
      </c>
      <c r="AN542" t="s">
        <v>748</v>
      </c>
      <c r="AO542" t="s">
        <v>703</v>
      </c>
      <c r="AP542" t="s">
        <v>704</v>
      </c>
      <c r="AQ542" t="s">
        <v>74</v>
      </c>
      <c r="AR542" t="s">
        <v>705</v>
      </c>
      <c r="AS542" t="s">
        <v>706</v>
      </c>
      <c r="AT542" t="s">
        <v>537</v>
      </c>
      <c r="AU542">
        <v>2022</v>
      </c>
      <c r="AV542">
        <v>34</v>
      </c>
      <c r="AW542">
        <v>3</v>
      </c>
      <c r="AX542" t="s">
        <v>74</v>
      </c>
      <c r="AY542" t="s">
        <v>74</v>
      </c>
      <c r="AZ542" t="s">
        <v>74</v>
      </c>
      <c r="BA542" t="s">
        <v>74</v>
      </c>
      <c r="BB542">
        <v>208</v>
      </c>
      <c r="BC542">
        <v>222</v>
      </c>
      <c r="BD542" t="s">
        <v>10992</v>
      </c>
      <c r="BE542" t="s">
        <v>10993</v>
      </c>
      <c r="BF542" t="str">
        <f>HYPERLINK("http://dx.doi.org/10.1017/S0954102021000614","http://dx.doi.org/10.1017/S0954102021000614")</f>
        <v>http://dx.doi.org/10.1017/S0954102021000614</v>
      </c>
      <c r="BG542" t="s">
        <v>74</v>
      </c>
      <c r="BH542" t="s">
        <v>7987</v>
      </c>
      <c r="BI542">
        <v>15</v>
      </c>
      <c r="BJ542" t="s">
        <v>708</v>
      </c>
      <c r="BK542" t="s">
        <v>101</v>
      </c>
      <c r="BL542" t="s">
        <v>709</v>
      </c>
      <c r="BM542" t="s">
        <v>1570</v>
      </c>
      <c r="BN542" t="s">
        <v>74</v>
      </c>
      <c r="BO542" t="s">
        <v>74</v>
      </c>
      <c r="BP542" t="s">
        <v>74</v>
      </c>
      <c r="BQ542" t="s">
        <v>74</v>
      </c>
      <c r="BR542" t="s">
        <v>103</v>
      </c>
      <c r="BS542" t="s">
        <v>10994</v>
      </c>
      <c r="BT542" t="str">
        <f>HYPERLINK("https%3A%2F%2Fwww.webofscience.com%2Fwos%2Fwoscc%2Ffull-record%2FWOS:000779537700001","View Full Record in Web of Science")</f>
        <v>View Full Record in Web of Science</v>
      </c>
    </row>
    <row r="543" spans="1:72" x14ac:dyDescent="0.15">
      <c r="A543" t="s">
        <v>72</v>
      </c>
      <c r="B543" t="s">
        <v>10995</v>
      </c>
      <c r="C543" t="s">
        <v>74</v>
      </c>
      <c r="D543" t="s">
        <v>74</v>
      </c>
      <c r="E543" t="s">
        <v>74</v>
      </c>
      <c r="F543" t="s">
        <v>10996</v>
      </c>
      <c r="G543" t="s">
        <v>74</v>
      </c>
      <c r="H543" t="s">
        <v>74</v>
      </c>
      <c r="I543" t="s">
        <v>10997</v>
      </c>
      <c r="J543" t="s">
        <v>10998</v>
      </c>
      <c r="K543" t="s">
        <v>74</v>
      </c>
      <c r="L543" t="s">
        <v>74</v>
      </c>
      <c r="M543" t="s">
        <v>78</v>
      </c>
      <c r="N543" t="s">
        <v>79</v>
      </c>
      <c r="O543" t="s">
        <v>74</v>
      </c>
      <c r="P543" t="s">
        <v>74</v>
      </c>
      <c r="Q543" t="s">
        <v>74</v>
      </c>
      <c r="R543" t="s">
        <v>74</v>
      </c>
      <c r="S543" t="s">
        <v>74</v>
      </c>
      <c r="T543" t="s">
        <v>10999</v>
      </c>
      <c r="U543" t="s">
        <v>11000</v>
      </c>
      <c r="V543" t="s">
        <v>11001</v>
      </c>
      <c r="W543" t="s">
        <v>11002</v>
      </c>
      <c r="X543" t="s">
        <v>11003</v>
      </c>
      <c r="Y543" t="s">
        <v>11004</v>
      </c>
      <c r="Z543" t="s">
        <v>11005</v>
      </c>
      <c r="AA543" t="s">
        <v>11006</v>
      </c>
      <c r="AB543" t="s">
        <v>11007</v>
      </c>
      <c r="AC543" t="s">
        <v>11008</v>
      </c>
      <c r="AD543" t="s">
        <v>11008</v>
      </c>
      <c r="AE543" t="s">
        <v>11009</v>
      </c>
      <c r="AF543" t="s">
        <v>74</v>
      </c>
      <c r="AG543">
        <v>35</v>
      </c>
      <c r="AH543">
        <v>5</v>
      </c>
      <c r="AI543">
        <v>5</v>
      </c>
      <c r="AJ543">
        <v>4</v>
      </c>
      <c r="AK543">
        <v>5</v>
      </c>
      <c r="AL543" t="s">
        <v>285</v>
      </c>
      <c r="AM543" t="s">
        <v>286</v>
      </c>
      <c r="AN543" t="s">
        <v>287</v>
      </c>
      <c r="AO543" t="s">
        <v>74</v>
      </c>
      <c r="AP543" t="s">
        <v>11010</v>
      </c>
      <c r="AQ543" t="s">
        <v>74</v>
      </c>
      <c r="AR543" t="s">
        <v>11011</v>
      </c>
      <c r="AS543" t="s">
        <v>11012</v>
      </c>
      <c r="AT543" t="s">
        <v>10907</v>
      </c>
      <c r="AU543">
        <v>2022</v>
      </c>
      <c r="AV543">
        <v>3</v>
      </c>
      <c r="AW543" t="s">
        <v>74</v>
      </c>
      <c r="AX543" t="s">
        <v>74</v>
      </c>
      <c r="AY543" t="s">
        <v>74</v>
      </c>
      <c r="AZ543" t="s">
        <v>74</v>
      </c>
      <c r="BA543" t="s">
        <v>74</v>
      </c>
      <c r="BB543" t="s">
        <v>74</v>
      </c>
      <c r="BC543" t="s">
        <v>74</v>
      </c>
      <c r="BD543">
        <v>855159</v>
      </c>
      <c r="BE543" t="s">
        <v>11013</v>
      </c>
      <c r="BF543" t="str">
        <f>HYPERLINK("http://dx.doi.org/10.3389/frsen.2022.855159","http://dx.doi.org/10.3389/frsen.2022.855159")</f>
        <v>http://dx.doi.org/10.3389/frsen.2022.855159</v>
      </c>
      <c r="BG543" t="s">
        <v>74</v>
      </c>
      <c r="BH543" t="s">
        <v>74</v>
      </c>
      <c r="BI543">
        <v>9</v>
      </c>
      <c r="BJ543" t="s">
        <v>11014</v>
      </c>
      <c r="BK543" t="s">
        <v>839</v>
      </c>
      <c r="BL543" t="s">
        <v>11014</v>
      </c>
      <c r="BM543" t="s">
        <v>11015</v>
      </c>
      <c r="BN543" t="s">
        <v>74</v>
      </c>
      <c r="BO543" t="s">
        <v>438</v>
      </c>
      <c r="BP543" t="s">
        <v>74</v>
      </c>
      <c r="BQ543" t="s">
        <v>74</v>
      </c>
      <c r="BR543" t="s">
        <v>103</v>
      </c>
      <c r="BS543" t="s">
        <v>11016</v>
      </c>
      <c r="BT543" t="str">
        <f>HYPERLINK("https%3A%2F%2Fwww.webofscience.com%2Fwos%2Fwoscc%2Ffull-record%2FWOS:001063294300001","View Full Record in Web of Science")</f>
        <v>View Full Record in Web of Science</v>
      </c>
    </row>
    <row r="544" spans="1:72" x14ac:dyDescent="0.15">
      <c r="A544" t="s">
        <v>72</v>
      </c>
      <c r="B544" t="s">
        <v>11017</v>
      </c>
      <c r="C544" t="s">
        <v>74</v>
      </c>
      <c r="D544" t="s">
        <v>74</v>
      </c>
      <c r="E544" t="s">
        <v>74</v>
      </c>
      <c r="F544" t="s">
        <v>11018</v>
      </c>
      <c r="G544" t="s">
        <v>74</v>
      </c>
      <c r="H544" t="s">
        <v>74</v>
      </c>
      <c r="I544" t="s">
        <v>11019</v>
      </c>
      <c r="J544" t="s">
        <v>4159</v>
      </c>
      <c r="K544" t="s">
        <v>74</v>
      </c>
      <c r="L544" t="s">
        <v>74</v>
      </c>
      <c r="M544" t="s">
        <v>78</v>
      </c>
      <c r="N544" t="s">
        <v>79</v>
      </c>
      <c r="O544" t="s">
        <v>74</v>
      </c>
      <c r="P544" t="s">
        <v>74</v>
      </c>
      <c r="Q544" t="s">
        <v>74</v>
      </c>
      <c r="R544" t="s">
        <v>74</v>
      </c>
      <c r="S544" t="s">
        <v>74</v>
      </c>
      <c r="T544" t="s">
        <v>11020</v>
      </c>
      <c r="U544" t="s">
        <v>11021</v>
      </c>
      <c r="V544" t="s">
        <v>11022</v>
      </c>
      <c r="W544" t="s">
        <v>11023</v>
      </c>
      <c r="X544" t="s">
        <v>11024</v>
      </c>
      <c r="Y544" t="s">
        <v>11025</v>
      </c>
      <c r="Z544" t="s">
        <v>11026</v>
      </c>
      <c r="AA544" t="s">
        <v>74</v>
      </c>
      <c r="AB544" t="s">
        <v>11027</v>
      </c>
      <c r="AC544" t="s">
        <v>11028</v>
      </c>
      <c r="AD544" t="s">
        <v>11029</v>
      </c>
      <c r="AE544" t="s">
        <v>11030</v>
      </c>
      <c r="AF544" t="s">
        <v>74</v>
      </c>
      <c r="AG544">
        <v>47</v>
      </c>
      <c r="AH544">
        <v>1</v>
      </c>
      <c r="AI544">
        <v>1</v>
      </c>
      <c r="AJ544">
        <v>4</v>
      </c>
      <c r="AK544">
        <v>22</v>
      </c>
      <c r="AL544" t="s">
        <v>313</v>
      </c>
      <c r="AM544" t="s">
        <v>314</v>
      </c>
      <c r="AN544" t="s">
        <v>315</v>
      </c>
      <c r="AO544" t="s">
        <v>4171</v>
      </c>
      <c r="AP544" t="s">
        <v>4172</v>
      </c>
      <c r="AQ544" t="s">
        <v>74</v>
      </c>
      <c r="AR544" t="s">
        <v>4173</v>
      </c>
      <c r="AS544" t="s">
        <v>4174</v>
      </c>
      <c r="AT544" t="s">
        <v>150</v>
      </c>
      <c r="AU544">
        <v>2022</v>
      </c>
      <c r="AV544">
        <v>212</v>
      </c>
      <c r="AW544" t="s">
        <v>74</v>
      </c>
      <c r="AX544" t="s">
        <v>10888</v>
      </c>
      <c r="AY544" t="s">
        <v>74</v>
      </c>
      <c r="AZ544" t="s">
        <v>74</v>
      </c>
      <c r="BA544" t="s">
        <v>74</v>
      </c>
      <c r="BB544" t="s">
        <v>74</v>
      </c>
      <c r="BC544" t="s">
        <v>74</v>
      </c>
      <c r="BD544">
        <v>113233</v>
      </c>
      <c r="BE544" t="s">
        <v>11031</v>
      </c>
      <c r="BF544" t="str">
        <f>HYPERLINK("http://dx.doi.org/10.1016/j.envres.2022.113233","http://dx.doi.org/10.1016/j.envres.2022.113233")</f>
        <v>http://dx.doi.org/10.1016/j.envres.2022.113233</v>
      </c>
      <c r="BG544" t="s">
        <v>74</v>
      </c>
      <c r="BH544" t="s">
        <v>7987</v>
      </c>
      <c r="BI544">
        <v>8</v>
      </c>
      <c r="BJ544" t="s">
        <v>4177</v>
      </c>
      <c r="BK544" t="s">
        <v>101</v>
      </c>
      <c r="BL544" t="s">
        <v>4178</v>
      </c>
      <c r="BM544" t="s">
        <v>11032</v>
      </c>
      <c r="BN544">
        <v>35390302</v>
      </c>
      <c r="BO544" t="s">
        <v>74</v>
      </c>
      <c r="BP544" t="s">
        <v>74</v>
      </c>
      <c r="BQ544" t="s">
        <v>74</v>
      </c>
      <c r="BR544" t="s">
        <v>103</v>
      </c>
      <c r="BS544" t="s">
        <v>11033</v>
      </c>
      <c r="BT544" t="str">
        <f>HYPERLINK("https%3A%2F%2Fwww.webofscience.com%2Fwos%2Fwoscc%2Ffull-record%2FWOS:000821198000007","View Full Record in Web of Science")</f>
        <v>View Full Record in Web of Science</v>
      </c>
    </row>
    <row r="545" spans="1:72" x14ac:dyDescent="0.15">
      <c r="A545" t="s">
        <v>72</v>
      </c>
      <c r="B545" t="s">
        <v>11034</v>
      </c>
      <c r="C545" t="s">
        <v>74</v>
      </c>
      <c r="D545" t="s">
        <v>74</v>
      </c>
      <c r="E545" t="s">
        <v>74</v>
      </c>
      <c r="F545" t="s">
        <v>11035</v>
      </c>
      <c r="G545" t="s">
        <v>74</v>
      </c>
      <c r="H545" t="s">
        <v>74</v>
      </c>
      <c r="I545" t="s">
        <v>11036</v>
      </c>
      <c r="J545" t="s">
        <v>11037</v>
      </c>
      <c r="K545" t="s">
        <v>74</v>
      </c>
      <c r="L545" t="s">
        <v>74</v>
      </c>
      <c r="M545" t="s">
        <v>78</v>
      </c>
      <c r="N545" t="s">
        <v>79</v>
      </c>
      <c r="O545" t="s">
        <v>74</v>
      </c>
      <c r="P545" t="s">
        <v>74</v>
      </c>
      <c r="Q545" t="s">
        <v>74</v>
      </c>
      <c r="R545" t="s">
        <v>74</v>
      </c>
      <c r="S545" t="s">
        <v>74</v>
      </c>
      <c r="T545" t="s">
        <v>11038</v>
      </c>
      <c r="U545" t="s">
        <v>11039</v>
      </c>
      <c r="V545" t="s">
        <v>11040</v>
      </c>
      <c r="W545" t="s">
        <v>11041</v>
      </c>
      <c r="X545" t="s">
        <v>11042</v>
      </c>
      <c r="Y545" t="s">
        <v>11043</v>
      </c>
      <c r="Z545" t="s">
        <v>11044</v>
      </c>
      <c r="AA545" t="s">
        <v>11045</v>
      </c>
      <c r="AB545" t="s">
        <v>11046</v>
      </c>
      <c r="AC545" t="s">
        <v>11047</v>
      </c>
      <c r="AD545" t="s">
        <v>11048</v>
      </c>
      <c r="AE545" t="s">
        <v>11049</v>
      </c>
      <c r="AF545" t="s">
        <v>74</v>
      </c>
      <c r="AG545">
        <v>57</v>
      </c>
      <c r="AH545">
        <v>1</v>
      </c>
      <c r="AI545">
        <v>1</v>
      </c>
      <c r="AJ545">
        <v>2</v>
      </c>
      <c r="AK545">
        <v>18</v>
      </c>
      <c r="AL545" t="s">
        <v>257</v>
      </c>
      <c r="AM545" t="s">
        <v>258</v>
      </c>
      <c r="AN545" t="s">
        <v>259</v>
      </c>
      <c r="AO545" t="s">
        <v>11050</v>
      </c>
      <c r="AP545" t="s">
        <v>74</v>
      </c>
      <c r="AQ545" t="s">
        <v>74</v>
      </c>
      <c r="AR545" t="s">
        <v>11051</v>
      </c>
      <c r="AS545" t="s">
        <v>11052</v>
      </c>
      <c r="AT545" t="s">
        <v>5076</v>
      </c>
      <c r="AU545">
        <v>2022</v>
      </c>
      <c r="AV545">
        <v>52</v>
      </c>
      <c r="AW545" t="s">
        <v>74</v>
      </c>
      <c r="AX545" t="s">
        <v>74</v>
      </c>
      <c r="AY545" t="s">
        <v>74</v>
      </c>
      <c r="AZ545" t="s">
        <v>74</v>
      </c>
      <c r="BA545" t="s">
        <v>74</v>
      </c>
      <c r="BB545" t="s">
        <v>74</v>
      </c>
      <c r="BC545" t="s">
        <v>74</v>
      </c>
      <c r="BD545">
        <v>102341</v>
      </c>
      <c r="BE545" t="s">
        <v>11053</v>
      </c>
      <c r="BF545" t="str">
        <f>HYPERLINK("http://dx.doi.org/10.1016/j.rsma.2022.102341","http://dx.doi.org/10.1016/j.rsma.2022.102341")</f>
        <v>http://dx.doi.org/10.1016/j.rsma.2022.102341</v>
      </c>
      <c r="BG545" t="s">
        <v>74</v>
      </c>
      <c r="BH545" t="s">
        <v>7987</v>
      </c>
      <c r="BI545">
        <v>12</v>
      </c>
      <c r="BJ545" t="s">
        <v>3630</v>
      </c>
      <c r="BK545" t="s">
        <v>101</v>
      </c>
      <c r="BL545" t="s">
        <v>564</v>
      </c>
      <c r="BM545" t="s">
        <v>11054</v>
      </c>
      <c r="BN545" t="s">
        <v>74</v>
      </c>
      <c r="BO545" t="s">
        <v>74</v>
      </c>
      <c r="BP545" t="s">
        <v>74</v>
      </c>
      <c r="BQ545" t="s">
        <v>74</v>
      </c>
      <c r="BR545" t="s">
        <v>103</v>
      </c>
      <c r="BS545" t="s">
        <v>11055</v>
      </c>
      <c r="BT545" t="str">
        <f>HYPERLINK("https%3A%2F%2Fwww.webofscience.com%2Fwos%2Fwoscc%2Ffull-record%2FWOS:000793522000003","View Full Record in Web of Science")</f>
        <v>View Full Record in Web of Science</v>
      </c>
    </row>
    <row r="546" spans="1:72" x14ac:dyDescent="0.15">
      <c r="A546" t="s">
        <v>72</v>
      </c>
      <c r="B546" t="s">
        <v>11056</v>
      </c>
      <c r="C546" t="s">
        <v>74</v>
      </c>
      <c r="D546" t="s">
        <v>74</v>
      </c>
      <c r="E546" t="s">
        <v>74</v>
      </c>
      <c r="F546" t="s">
        <v>11057</v>
      </c>
      <c r="G546" t="s">
        <v>74</v>
      </c>
      <c r="H546" t="s">
        <v>74</v>
      </c>
      <c r="I546" t="s">
        <v>11058</v>
      </c>
      <c r="J546" t="s">
        <v>9287</v>
      </c>
      <c r="K546" t="s">
        <v>74</v>
      </c>
      <c r="L546" t="s">
        <v>74</v>
      </c>
      <c r="M546" t="s">
        <v>78</v>
      </c>
      <c r="N546" t="s">
        <v>79</v>
      </c>
      <c r="O546" t="s">
        <v>74</v>
      </c>
      <c r="P546" t="s">
        <v>74</v>
      </c>
      <c r="Q546" t="s">
        <v>74</v>
      </c>
      <c r="R546" t="s">
        <v>74</v>
      </c>
      <c r="S546" t="s">
        <v>74</v>
      </c>
      <c r="T546" t="s">
        <v>74</v>
      </c>
      <c r="U546" t="s">
        <v>11059</v>
      </c>
      <c r="V546" t="s">
        <v>11060</v>
      </c>
      <c r="W546" t="s">
        <v>11061</v>
      </c>
      <c r="X546" t="s">
        <v>11062</v>
      </c>
      <c r="Y546" t="s">
        <v>11063</v>
      </c>
      <c r="Z546" t="s">
        <v>11064</v>
      </c>
      <c r="AA546" t="s">
        <v>74</v>
      </c>
      <c r="AB546" t="s">
        <v>11065</v>
      </c>
      <c r="AC546" t="s">
        <v>11066</v>
      </c>
      <c r="AD546" t="s">
        <v>1614</v>
      </c>
      <c r="AE546" t="s">
        <v>11067</v>
      </c>
      <c r="AF546" t="s">
        <v>74</v>
      </c>
      <c r="AG546">
        <v>14</v>
      </c>
      <c r="AH546">
        <v>2</v>
      </c>
      <c r="AI546">
        <v>2</v>
      </c>
      <c r="AJ546">
        <v>1</v>
      </c>
      <c r="AK546">
        <v>4</v>
      </c>
      <c r="AL546" t="s">
        <v>5677</v>
      </c>
      <c r="AM546" t="s">
        <v>2043</v>
      </c>
      <c r="AN546" t="s">
        <v>5678</v>
      </c>
      <c r="AO546" t="s">
        <v>9295</v>
      </c>
      <c r="AP546" t="s">
        <v>74</v>
      </c>
      <c r="AQ546" t="s">
        <v>74</v>
      </c>
      <c r="AR546" t="s">
        <v>9296</v>
      </c>
      <c r="AS546" t="s">
        <v>9297</v>
      </c>
      <c r="AT546" t="s">
        <v>4309</v>
      </c>
      <c r="AU546">
        <v>2022</v>
      </c>
      <c r="AV546">
        <v>11</v>
      </c>
      <c r="AW546">
        <v>5</v>
      </c>
      <c r="AX546" t="s">
        <v>74</v>
      </c>
      <c r="AY546" t="s">
        <v>74</v>
      </c>
      <c r="AZ546" t="s">
        <v>74</v>
      </c>
      <c r="BA546" t="s">
        <v>74</v>
      </c>
      <c r="BB546" t="s">
        <v>74</v>
      </c>
      <c r="BC546" t="s">
        <v>74</v>
      </c>
      <c r="BD546" t="s">
        <v>74</v>
      </c>
      <c r="BE546" t="s">
        <v>11068</v>
      </c>
      <c r="BF546" t="str">
        <f>HYPERLINK("http://dx.doi.org/10.1128/mra.00152-22","http://dx.doi.org/10.1128/mra.00152-22")</f>
        <v>http://dx.doi.org/10.1128/mra.00152-22</v>
      </c>
      <c r="BG546" t="s">
        <v>74</v>
      </c>
      <c r="BH546" t="s">
        <v>7987</v>
      </c>
      <c r="BI546">
        <v>2</v>
      </c>
      <c r="BJ546" t="s">
        <v>293</v>
      </c>
      <c r="BK546" t="s">
        <v>839</v>
      </c>
      <c r="BL546" t="s">
        <v>293</v>
      </c>
      <c r="BM546" t="s">
        <v>9299</v>
      </c>
      <c r="BN546">
        <v>35389269</v>
      </c>
      <c r="BO546" t="s">
        <v>295</v>
      </c>
      <c r="BP546" t="s">
        <v>74</v>
      </c>
      <c r="BQ546" t="s">
        <v>74</v>
      </c>
      <c r="BR546" t="s">
        <v>103</v>
      </c>
      <c r="BS546" t="s">
        <v>11069</v>
      </c>
      <c r="BT546" t="str">
        <f>HYPERLINK("https%3A%2F%2Fwww.webofscience.com%2Fwos%2Fwoscc%2Ffull-record%2FWOS:000784254600001","View Full Record in Web of Science")</f>
        <v>View Full Record in Web of Science</v>
      </c>
    </row>
    <row r="547" spans="1:72" x14ac:dyDescent="0.15">
      <c r="A547" t="s">
        <v>72</v>
      </c>
      <c r="B547" t="s">
        <v>11070</v>
      </c>
      <c r="C547" t="s">
        <v>74</v>
      </c>
      <c r="D547" t="s">
        <v>74</v>
      </c>
      <c r="E547" t="s">
        <v>74</v>
      </c>
      <c r="F547" t="s">
        <v>11071</v>
      </c>
      <c r="G547" t="s">
        <v>74</v>
      </c>
      <c r="H547" t="s">
        <v>74</v>
      </c>
      <c r="I547" t="s">
        <v>11072</v>
      </c>
      <c r="J547" t="s">
        <v>4294</v>
      </c>
      <c r="K547" t="s">
        <v>74</v>
      </c>
      <c r="L547" t="s">
        <v>74</v>
      </c>
      <c r="M547" t="s">
        <v>78</v>
      </c>
      <c r="N547" t="s">
        <v>79</v>
      </c>
      <c r="O547" t="s">
        <v>74</v>
      </c>
      <c r="P547" t="s">
        <v>74</v>
      </c>
      <c r="Q547" t="s">
        <v>74</v>
      </c>
      <c r="R547" t="s">
        <v>74</v>
      </c>
      <c r="S547" t="s">
        <v>74</v>
      </c>
      <c r="T547" t="s">
        <v>74</v>
      </c>
      <c r="U547" t="s">
        <v>11073</v>
      </c>
      <c r="V547" t="s">
        <v>11074</v>
      </c>
      <c r="W547" t="s">
        <v>11075</v>
      </c>
      <c r="X547" t="s">
        <v>11076</v>
      </c>
      <c r="Y547" t="s">
        <v>11077</v>
      </c>
      <c r="Z547" t="s">
        <v>11078</v>
      </c>
      <c r="AA547" t="s">
        <v>11079</v>
      </c>
      <c r="AB547" t="s">
        <v>11080</v>
      </c>
      <c r="AC547" t="s">
        <v>11081</v>
      </c>
      <c r="AD547" t="s">
        <v>11082</v>
      </c>
      <c r="AE547" t="s">
        <v>11083</v>
      </c>
      <c r="AF547" t="s">
        <v>74</v>
      </c>
      <c r="AG547">
        <v>34</v>
      </c>
      <c r="AH547">
        <v>4</v>
      </c>
      <c r="AI547">
        <v>4</v>
      </c>
      <c r="AJ547">
        <v>2</v>
      </c>
      <c r="AK547">
        <v>18</v>
      </c>
      <c r="AL547" t="s">
        <v>455</v>
      </c>
      <c r="AM547" t="s">
        <v>456</v>
      </c>
      <c r="AN547" t="s">
        <v>457</v>
      </c>
      <c r="AO547" t="s">
        <v>4306</v>
      </c>
      <c r="AP547" t="s">
        <v>74</v>
      </c>
      <c r="AQ547" t="s">
        <v>74</v>
      </c>
      <c r="AR547" t="s">
        <v>4307</v>
      </c>
      <c r="AS547" t="s">
        <v>4308</v>
      </c>
      <c r="AT547" t="s">
        <v>11084</v>
      </c>
      <c r="AU547">
        <v>2022</v>
      </c>
      <c r="AV547">
        <v>12</v>
      </c>
      <c r="AW547">
        <v>1</v>
      </c>
      <c r="AX547" t="s">
        <v>74</v>
      </c>
      <c r="AY547" t="s">
        <v>74</v>
      </c>
      <c r="AZ547" t="s">
        <v>74</v>
      </c>
      <c r="BA547" t="s">
        <v>74</v>
      </c>
      <c r="BB547" t="s">
        <v>74</v>
      </c>
      <c r="BC547" t="s">
        <v>74</v>
      </c>
      <c r="BD547">
        <v>5861</v>
      </c>
      <c r="BE547" t="s">
        <v>11085</v>
      </c>
      <c r="BF547" t="str">
        <f>HYPERLINK("http://dx.doi.org/10.1038/s41598-022-09827-0","http://dx.doi.org/10.1038/s41598-022-09827-0")</f>
        <v>http://dx.doi.org/10.1038/s41598-022-09827-0</v>
      </c>
      <c r="BG547" t="s">
        <v>74</v>
      </c>
      <c r="BH547" t="s">
        <v>74</v>
      </c>
      <c r="BI547">
        <v>10</v>
      </c>
      <c r="BJ547" t="s">
        <v>657</v>
      </c>
      <c r="BK547" t="s">
        <v>956</v>
      </c>
      <c r="BL547" t="s">
        <v>658</v>
      </c>
      <c r="BM547" t="s">
        <v>11086</v>
      </c>
      <c r="BN547">
        <v>35393478</v>
      </c>
      <c r="BO547" t="s">
        <v>295</v>
      </c>
      <c r="BP547" t="s">
        <v>74</v>
      </c>
      <c r="BQ547" t="s">
        <v>74</v>
      </c>
      <c r="BR547" t="s">
        <v>103</v>
      </c>
      <c r="BS547" t="s">
        <v>11087</v>
      </c>
      <c r="BT547" t="str">
        <f>HYPERLINK("https%3A%2F%2Fwww.webofscience.com%2Fwos%2Fwoscc%2Ffull-record%2FWOS:000779768200051","View Full Record in Web of Science")</f>
        <v>View Full Record in Web of Science</v>
      </c>
    </row>
    <row r="548" spans="1:72" x14ac:dyDescent="0.15">
      <c r="A548" t="s">
        <v>72</v>
      </c>
      <c r="B548" t="s">
        <v>11088</v>
      </c>
      <c r="C548" t="s">
        <v>74</v>
      </c>
      <c r="D548" t="s">
        <v>74</v>
      </c>
      <c r="E548" t="s">
        <v>74</v>
      </c>
      <c r="F548" t="s">
        <v>11089</v>
      </c>
      <c r="G548" t="s">
        <v>74</v>
      </c>
      <c r="H548" t="s">
        <v>74</v>
      </c>
      <c r="I548" t="s">
        <v>11090</v>
      </c>
      <c r="J548" t="s">
        <v>4294</v>
      </c>
      <c r="K548" t="s">
        <v>74</v>
      </c>
      <c r="L548" t="s">
        <v>74</v>
      </c>
      <c r="M548" t="s">
        <v>78</v>
      </c>
      <c r="N548" t="s">
        <v>79</v>
      </c>
      <c r="O548" t="s">
        <v>74</v>
      </c>
      <c r="P548" t="s">
        <v>74</v>
      </c>
      <c r="Q548" t="s">
        <v>74</v>
      </c>
      <c r="R548" t="s">
        <v>74</v>
      </c>
      <c r="S548" t="s">
        <v>74</v>
      </c>
      <c r="T548" t="s">
        <v>74</v>
      </c>
      <c r="U548" t="s">
        <v>11091</v>
      </c>
      <c r="V548" t="s">
        <v>11092</v>
      </c>
      <c r="W548" t="s">
        <v>11093</v>
      </c>
      <c r="X548" t="s">
        <v>893</v>
      </c>
      <c r="Y548" t="s">
        <v>11094</v>
      </c>
      <c r="Z548" t="s">
        <v>11095</v>
      </c>
      <c r="AA548" t="s">
        <v>11096</v>
      </c>
      <c r="AB548" t="s">
        <v>11097</v>
      </c>
      <c r="AC548" t="s">
        <v>11098</v>
      </c>
      <c r="AD548" t="s">
        <v>11099</v>
      </c>
      <c r="AE548" t="s">
        <v>11100</v>
      </c>
      <c r="AF548" t="s">
        <v>74</v>
      </c>
      <c r="AG548">
        <v>83</v>
      </c>
      <c r="AH548">
        <v>0</v>
      </c>
      <c r="AI548">
        <v>0</v>
      </c>
      <c r="AJ548">
        <v>3</v>
      </c>
      <c r="AK548">
        <v>6</v>
      </c>
      <c r="AL548" t="s">
        <v>455</v>
      </c>
      <c r="AM548" t="s">
        <v>456</v>
      </c>
      <c r="AN548" t="s">
        <v>457</v>
      </c>
      <c r="AO548" t="s">
        <v>4306</v>
      </c>
      <c r="AP548" t="s">
        <v>74</v>
      </c>
      <c r="AQ548" t="s">
        <v>74</v>
      </c>
      <c r="AR548" t="s">
        <v>4307</v>
      </c>
      <c r="AS548" t="s">
        <v>4308</v>
      </c>
      <c r="AT548" t="s">
        <v>11084</v>
      </c>
      <c r="AU548">
        <v>2022</v>
      </c>
      <c r="AV548">
        <v>12</v>
      </c>
      <c r="AW548">
        <v>1</v>
      </c>
      <c r="AX548" t="s">
        <v>74</v>
      </c>
      <c r="AY548" t="s">
        <v>74</v>
      </c>
      <c r="AZ548" t="s">
        <v>74</v>
      </c>
      <c r="BA548" t="s">
        <v>74</v>
      </c>
      <c r="BB548" t="s">
        <v>74</v>
      </c>
      <c r="BC548" t="s">
        <v>74</v>
      </c>
      <c r="BD548">
        <v>5860</v>
      </c>
      <c r="BE548" t="s">
        <v>11101</v>
      </c>
      <c r="BF548" t="str">
        <f>HYPERLINK("http://dx.doi.org/10.1038/s41598-022-09806-5","http://dx.doi.org/10.1038/s41598-022-09806-5")</f>
        <v>http://dx.doi.org/10.1038/s41598-022-09806-5</v>
      </c>
      <c r="BG548" t="s">
        <v>74</v>
      </c>
      <c r="BH548" t="s">
        <v>74</v>
      </c>
      <c r="BI548">
        <v>11</v>
      </c>
      <c r="BJ548" t="s">
        <v>657</v>
      </c>
      <c r="BK548" t="s">
        <v>101</v>
      </c>
      <c r="BL548" t="s">
        <v>658</v>
      </c>
      <c r="BM548" t="s">
        <v>11086</v>
      </c>
      <c r="BN548">
        <v>35393457</v>
      </c>
      <c r="BO548" t="s">
        <v>295</v>
      </c>
      <c r="BP548" t="s">
        <v>74</v>
      </c>
      <c r="BQ548" t="s">
        <v>74</v>
      </c>
      <c r="BR548" t="s">
        <v>103</v>
      </c>
      <c r="BS548" t="s">
        <v>11102</v>
      </c>
      <c r="BT548" t="str">
        <f>HYPERLINK("https%3A%2F%2Fwww.webofscience.com%2Fwos%2Fwoscc%2Ffull-record%2FWOS:000779768200014","View Full Record in Web of Science")</f>
        <v>View Full Record in Web of Science</v>
      </c>
    </row>
    <row r="549" spans="1:72" x14ac:dyDescent="0.15">
      <c r="A549" t="s">
        <v>72</v>
      </c>
      <c r="B549" t="s">
        <v>11103</v>
      </c>
      <c r="C549" t="s">
        <v>74</v>
      </c>
      <c r="D549" t="s">
        <v>74</v>
      </c>
      <c r="E549" t="s">
        <v>74</v>
      </c>
      <c r="F549" t="s">
        <v>11104</v>
      </c>
      <c r="G549" t="s">
        <v>74</v>
      </c>
      <c r="H549" t="s">
        <v>74</v>
      </c>
      <c r="I549" t="s">
        <v>11105</v>
      </c>
      <c r="J549" t="s">
        <v>9647</v>
      </c>
      <c r="K549" t="s">
        <v>74</v>
      </c>
      <c r="L549" t="s">
        <v>74</v>
      </c>
      <c r="M549" t="s">
        <v>78</v>
      </c>
      <c r="N549" t="s">
        <v>79</v>
      </c>
      <c r="O549" t="s">
        <v>74</v>
      </c>
      <c r="P549" t="s">
        <v>74</v>
      </c>
      <c r="Q549" t="s">
        <v>74</v>
      </c>
      <c r="R549" t="s">
        <v>74</v>
      </c>
      <c r="S549" t="s">
        <v>74</v>
      </c>
      <c r="T549" t="s">
        <v>11106</v>
      </c>
      <c r="U549" t="s">
        <v>11107</v>
      </c>
      <c r="V549" t="s">
        <v>11108</v>
      </c>
      <c r="W549" t="s">
        <v>11109</v>
      </c>
      <c r="X549" t="s">
        <v>893</v>
      </c>
      <c r="Y549" t="s">
        <v>11110</v>
      </c>
      <c r="Z549" t="s">
        <v>11111</v>
      </c>
      <c r="AA549" t="s">
        <v>74</v>
      </c>
      <c r="AB549" t="s">
        <v>11112</v>
      </c>
      <c r="AC549" t="s">
        <v>11113</v>
      </c>
      <c r="AD549" t="s">
        <v>11113</v>
      </c>
      <c r="AE549" t="s">
        <v>11114</v>
      </c>
      <c r="AF549" t="s">
        <v>74</v>
      </c>
      <c r="AG549">
        <v>68</v>
      </c>
      <c r="AH549">
        <v>7</v>
      </c>
      <c r="AI549">
        <v>7</v>
      </c>
      <c r="AJ549">
        <v>0</v>
      </c>
      <c r="AK549">
        <v>7</v>
      </c>
      <c r="AL549" t="s">
        <v>530</v>
      </c>
      <c r="AM549" t="s">
        <v>1121</v>
      </c>
      <c r="AN549" t="s">
        <v>1122</v>
      </c>
      <c r="AO549" t="s">
        <v>9659</v>
      </c>
      <c r="AP549" t="s">
        <v>9660</v>
      </c>
      <c r="AQ549" t="s">
        <v>74</v>
      </c>
      <c r="AR549" t="s">
        <v>9661</v>
      </c>
      <c r="AS549" t="s">
        <v>9662</v>
      </c>
      <c r="AT549" t="s">
        <v>150</v>
      </c>
      <c r="AU549">
        <v>2022</v>
      </c>
      <c r="AV549">
        <v>22</v>
      </c>
      <c r="AW549">
        <v>3</v>
      </c>
      <c r="AX549" t="s">
        <v>74</v>
      </c>
      <c r="AY549" t="s">
        <v>74</v>
      </c>
      <c r="AZ549" t="s">
        <v>74</v>
      </c>
      <c r="BA549" t="s">
        <v>74</v>
      </c>
      <c r="BB549">
        <v>411</v>
      </c>
      <c r="BC549">
        <v>437</v>
      </c>
      <c r="BD549" t="s">
        <v>74</v>
      </c>
      <c r="BE549" t="s">
        <v>11115</v>
      </c>
      <c r="BF549" t="str">
        <f>HYPERLINK("http://dx.doi.org/10.1007/s10784-021-09561-4","http://dx.doi.org/10.1007/s10784-021-09561-4")</f>
        <v>http://dx.doi.org/10.1007/s10784-021-09561-4</v>
      </c>
      <c r="BG549" t="s">
        <v>74</v>
      </c>
      <c r="BH549" t="s">
        <v>7987</v>
      </c>
      <c r="BI549">
        <v>27</v>
      </c>
      <c r="BJ549" t="s">
        <v>9664</v>
      </c>
      <c r="BK549" t="s">
        <v>9665</v>
      </c>
      <c r="BL549" t="s">
        <v>9666</v>
      </c>
      <c r="BM549" t="s">
        <v>11116</v>
      </c>
      <c r="BN549">
        <v>35431700</v>
      </c>
      <c r="BO549" t="s">
        <v>2354</v>
      </c>
      <c r="BP549" t="s">
        <v>74</v>
      </c>
      <c r="BQ549" t="s">
        <v>74</v>
      </c>
      <c r="BR549" t="s">
        <v>103</v>
      </c>
      <c r="BS549" t="s">
        <v>11117</v>
      </c>
      <c r="BT549" t="str">
        <f>HYPERLINK("https%3A%2F%2Fwww.webofscience.com%2Fwos%2Fwoscc%2Ffull-record%2FWOS:000779702300001","View Full Record in Web of Science")</f>
        <v>View Full Record in Web of Science</v>
      </c>
    </row>
    <row r="550" spans="1:72" x14ac:dyDescent="0.15">
      <c r="A550" t="s">
        <v>72</v>
      </c>
      <c r="B550" t="s">
        <v>11118</v>
      </c>
      <c r="C550" t="s">
        <v>74</v>
      </c>
      <c r="D550" t="s">
        <v>74</v>
      </c>
      <c r="E550" t="s">
        <v>74</v>
      </c>
      <c r="F550" t="s">
        <v>11119</v>
      </c>
      <c r="G550" t="s">
        <v>74</v>
      </c>
      <c r="H550" t="s">
        <v>74</v>
      </c>
      <c r="I550" t="s">
        <v>11120</v>
      </c>
      <c r="J550" t="s">
        <v>595</v>
      </c>
      <c r="K550" t="s">
        <v>74</v>
      </c>
      <c r="L550" t="s">
        <v>74</v>
      </c>
      <c r="M550" t="s">
        <v>78</v>
      </c>
      <c r="N550" t="s">
        <v>596</v>
      </c>
      <c r="O550" t="s">
        <v>74</v>
      </c>
      <c r="P550" t="s">
        <v>74</v>
      </c>
      <c r="Q550" t="s">
        <v>74</v>
      </c>
      <c r="R550" t="s">
        <v>74</v>
      </c>
      <c r="S550" t="s">
        <v>74</v>
      </c>
      <c r="T550" t="s">
        <v>74</v>
      </c>
      <c r="U550" t="s">
        <v>11121</v>
      </c>
      <c r="V550" t="s">
        <v>11122</v>
      </c>
      <c r="W550" t="s">
        <v>11123</v>
      </c>
      <c r="X550" t="s">
        <v>11124</v>
      </c>
      <c r="Y550" t="s">
        <v>11125</v>
      </c>
      <c r="Z550" t="s">
        <v>11126</v>
      </c>
      <c r="AA550" t="s">
        <v>74</v>
      </c>
      <c r="AB550" t="s">
        <v>11127</v>
      </c>
      <c r="AC550" t="s">
        <v>11128</v>
      </c>
      <c r="AD550" t="s">
        <v>11129</v>
      </c>
      <c r="AE550" t="s">
        <v>11130</v>
      </c>
      <c r="AF550" t="s">
        <v>74</v>
      </c>
      <c r="AG550">
        <v>23</v>
      </c>
      <c r="AH550">
        <v>4</v>
      </c>
      <c r="AI550">
        <v>4</v>
      </c>
      <c r="AJ550">
        <v>1</v>
      </c>
      <c r="AK550">
        <v>6</v>
      </c>
      <c r="AL550" t="s">
        <v>117</v>
      </c>
      <c r="AM550" t="s">
        <v>118</v>
      </c>
      <c r="AN550" t="s">
        <v>119</v>
      </c>
      <c r="AO550" t="s">
        <v>608</v>
      </c>
      <c r="AP550" t="s">
        <v>609</v>
      </c>
      <c r="AQ550" t="s">
        <v>74</v>
      </c>
      <c r="AR550" t="s">
        <v>610</v>
      </c>
      <c r="AS550" t="s">
        <v>611</v>
      </c>
      <c r="AT550" t="s">
        <v>11084</v>
      </c>
      <c r="AU550">
        <v>2022</v>
      </c>
      <c r="AV550">
        <v>14</v>
      </c>
      <c r="AW550">
        <v>4</v>
      </c>
      <c r="AX550" t="s">
        <v>74</v>
      </c>
      <c r="AY550" t="s">
        <v>74</v>
      </c>
      <c r="AZ550" t="s">
        <v>74</v>
      </c>
      <c r="BA550" t="s">
        <v>74</v>
      </c>
      <c r="BB550">
        <v>1571</v>
      </c>
      <c r="BC550">
        <v>1580</v>
      </c>
      <c r="BD550" t="s">
        <v>74</v>
      </c>
      <c r="BE550" t="s">
        <v>11131</v>
      </c>
      <c r="BF550" t="str">
        <f>HYPERLINK("http://dx.doi.org/10.5194/essd-14-1571-2022","http://dx.doi.org/10.5194/essd-14-1571-2022")</f>
        <v>http://dx.doi.org/10.5194/essd-14-1571-2022</v>
      </c>
      <c r="BG550" t="s">
        <v>74</v>
      </c>
      <c r="BH550" t="s">
        <v>74</v>
      </c>
      <c r="BI550">
        <v>10</v>
      </c>
      <c r="BJ550" t="s">
        <v>613</v>
      </c>
      <c r="BK550" t="s">
        <v>101</v>
      </c>
      <c r="BL550" t="s">
        <v>614</v>
      </c>
      <c r="BM550" t="s">
        <v>11132</v>
      </c>
      <c r="BN550" t="s">
        <v>74</v>
      </c>
      <c r="BO550" t="s">
        <v>2560</v>
      </c>
      <c r="BP550" t="s">
        <v>74</v>
      </c>
      <c r="BQ550" t="s">
        <v>74</v>
      </c>
      <c r="BR550" t="s">
        <v>103</v>
      </c>
      <c r="BS550" t="s">
        <v>11133</v>
      </c>
      <c r="BT550" t="str">
        <f>HYPERLINK("https%3A%2F%2Fwww.webofscience.com%2Fwos%2Fwoscc%2Ffull-record%2FWOS:000778880300001","View Full Record in Web of Science")</f>
        <v>View Full Record in Web of Science</v>
      </c>
    </row>
    <row r="551" spans="1:72" x14ac:dyDescent="0.15">
      <c r="A551" t="s">
        <v>72</v>
      </c>
      <c r="B551" t="s">
        <v>11134</v>
      </c>
      <c r="C551" t="s">
        <v>74</v>
      </c>
      <c r="D551" t="s">
        <v>74</v>
      </c>
      <c r="E551" t="s">
        <v>74</v>
      </c>
      <c r="F551" t="s">
        <v>11135</v>
      </c>
      <c r="G551" t="s">
        <v>74</v>
      </c>
      <c r="H551" t="s">
        <v>74</v>
      </c>
      <c r="I551" t="s">
        <v>11136</v>
      </c>
      <c r="J551" t="s">
        <v>4373</v>
      </c>
      <c r="K551" t="s">
        <v>74</v>
      </c>
      <c r="L551" t="s">
        <v>74</v>
      </c>
      <c r="M551" t="s">
        <v>78</v>
      </c>
      <c r="N551" t="s">
        <v>79</v>
      </c>
      <c r="O551" t="s">
        <v>74</v>
      </c>
      <c r="P551" t="s">
        <v>74</v>
      </c>
      <c r="Q551" t="s">
        <v>74</v>
      </c>
      <c r="R551" t="s">
        <v>74</v>
      </c>
      <c r="S551" t="s">
        <v>74</v>
      </c>
      <c r="T551" t="s">
        <v>11137</v>
      </c>
      <c r="U551" t="s">
        <v>11138</v>
      </c>
      <c r="V551" t="s">
        <v>11139</v>
      </c>
      <c r="W551" t="s">
        <v>74</v>
      </c>
      <c r="X551" t="s">
        <v>74</v>
      </c>
      <c r="Y551" t="s">
        <v>74</v>
      </c>
      <c r="Z551" t="s">
        <v>11140</v>
      </c>
      <c r="AA551" t="s">
        <v>11141</v>
      </c>
      <c r="AB551" t="s">
        <v>11142</v>
      </c>
      <c r="AC551" t="s">
        <v>11143</v>
      </c>
      <c r="AD551" t="s">
        <v>11144</v>
      </c>
      <c r="AE551" t="s">
        <v>11145</v>
      </c>
      <c r="AF551" t="s">
        <v>74</v>
      </c>
      <c r="AG551">
        <v>43</v>
      </c>
      <c r="AH551">
        <v>3</v>
      </c>
      <c r="AI551">
        <v>3</v>
      </c>
      <c r="AJ551">
        <v>6</v>
      </c>
      <c r="AK551">
        <v>18</v>
      </c>
      <c r="AL551" t="s">
        <v>199</v>
      </c>
      <c r="AM551" t="s">
        <v>200</v>
      </c>
      <c r="AN551" t="s">
        <v>201</v>
      </c>
      <c r="AO551" t="s">
        <v>4386</v>
      </c>
      <c r="AP551" t="s">
        <v>4387</v>
      </c>
      <c r="AQ551" t="s">
        <v>74</v>
      </c>
      <c r="AR551" t="s">
        <v>4388</v>
      </c>
      <c r="AS551" t="s">
        <v>4389</v>
      </c>
      <c r="AT551" t="s">
        <v>5076</v>
      </c>
      <c r="AU551">
        <v>2022</v>
      </c>
      <c r="AV551">
        <v>178</v>
      </c>
      <c r="AW551" t="s">
        <v>74</v>
      </c>
      <c r="AX551" t="s">
        <v>74</v>
      </c>
      <c r="AY551" t="s">
        <v>74</v>
      </c>
      <c r="AZ551" t="s">
        <v>74</v>
      </c>
      <c r="BA551" t="s">
        <v>74</v>
      </c>
      <c r="BB551" t="s">
        <v>74</v>
      </c>
      <c r="BC551" t="s">
        <v>74</v>
      </c>
      <c r="BD551">
        <v>113624</v>
      </c>
      <c r="BE551" t="s">
        <v>11146</v>
      </c>
      <c r="BF551" t="str">
        <f>HYPERLINK("http://dx.doi.org/10.1016/j.marpolbul.2022.113624","http://dx.doi.org/10.1016/j.marpolbul.2022.113624")</f>
        <v>http://dx.doi.org/10.1016/j.marpolbul.2022.113624</v>
      </c>
      <c r="BG551" t="s">
        <v>74</v>
      </c>
      <c r="BH551" t="s">
        <v>7987</v>
      </c>
      <c r="BI551">
        <v>9</v>
      </c>
      <c r="BJ551" t="s">
        <v>563</v>
      </c>
      <c r="BK551" t="s">
        <v>101</v>
      </c>
      <c r="BL551" t="s">
        <v>564</v>
      </c>
      <c r="BM551" t="s">
        <v>11147</v>
      </c>
      <c r="BN551">
        <v>35397343</v>
      </c>
      <c r="BO551" t="s">
        <v>74</v>
      </c>
      <c r="BP551" t="s">
        <v>74</v>
      </c>
      <c r="BQ551" t="s">
        <v>74</v>
      </c>
      <c r="BR551" t="s">
        <v>103</v>
      </c>
      <c r="BS551" t="s">
        <v>11148</v>
      </c>
      <c r="BT551" t="str">
        <f>HYPERLINK("https%3A%2F%2Fwww.webofscience.com%2Fwos%2Fwoscc%2Ffull-record%2FWOS:000806356900008","View Full Record in Web of Science")</f>
        <v>View Full Record in Web of Science</v>
      </c>
    </row>
    <row r="552" spans="1:72" x14ac:dyDescent="0.15">
      <c r="A552" t="s">
        <v>72</v>
      </c>
      <c r="B552" t="s">
        <v>11149</v>
      </c>
      <c r="C552" t="s">
        <v>74</v>
      </c>
      <c r="D552" t="s">
        <v>74</v>
      </c>
      <c r="E552" t="s">
        <v>74</v>
      </c>
      <c r="F552" t="s">
        <v>11150</v>
      </c>
      <c r="G552" t="s">
        <v>74</v>
      </c>
      <c r="H552" t="s">
        <v>74</v>
      </c>
      <c r="I552" t="s">
        <v>11151</v>
      </c>
      <c r="J552" t="s">
        <v>11152</v>
      </c>
      <c r="K552" t="s">
        <v>74</v>
      </c>
      <c r="L552" t="s">
        <v>74</v>
      </c>
      <c r="M552" t="s">
        <v>78</v>
      </c>
      <c r="N552" t="s">
        <v>79</v>
      </c>
      <c r="O552" t="s">
        <v>74</v>
      </c>
      <c r="P552" t="s">
        <v>74</v>
      </c>
      <c r="Q552" t="s">
        <v>74</v>
      </c>
      <c r="R552" t="s">
        <v>74</v>
      </c>
      <c r="S552" t="s">
        <v>74</v>
      </c>
      <c r="T552" t="s">
        <v>11153</v>
      </c>
      <c r="U552" t="s">
        <v>11154</v>
      </c>
      <c r="V552" t="s">
        <v>11155</v>
      </c>
      <c r="W552" t="s">
        <v>11156</v>
      </c>
      <c r="X552" t="s">
        <v>11157</v>
      </c>
      <c r="Y552" t="s">
        <v>11158</v>
      </c>
      <c r="Z552" t="s">
        <v>11159</v>
      </c>
      <c r="AA552" t="s">
        <v>11160</v>
      </c>
      <c r="AB552" t="s">
        <v>11161</v>
      </c>
      <c r="AC552" t="s">
        <v>11162</v>
      </c>
      <c r="AD552" t="s">
        <v>11163</v>
      </c>
      <c r="AE552" t="s">
        <v>11164</v>
      </c>
      <c r="AF552" t="s">
        <v>74</v>
      </c>
      <c r="AG552">
        <v>61</v>
      </c>
      <c r="AH552">
        <v>1</v>
      </c>
      <c r="AI552">
        <v>1</v>
      </c>
      <c r="AJ552">
        <v>4</v>
      </c>
      <c r="AK552">
        <v>14</v>
      </c>
      <c r="AL552" t="s">
        <v>257</v>
      </c>
      <c r="AM552" t="s">
        <v>258</v>
      </c>
      <c r="AN552" t="s">
        <v>259</v>
      </c>
      <c r="AO552" t="s">
        <v>74</v>
      </c>
      <c r="AP552" t="s">
        <v>11165</v>
      </c>
      <c r="AQ552" t="s">
        <v>74</v>
      </c>
      <c r="AR552" t="s">
        <v>11166</v>
      </c>
      <c r="AS552" t="s">
        <v>11167</v>
      </c>
      <c r="AT552" t="s">
        <v>346</v>
      </c>
      <c r="AU552">
        <v>2022</v>
      </c>
      <c r="AV552">
        <v>36</v>
      </c>
      <c r="AW552" t="s">
        <v>74</v>
      </c>
      <c r="AX552" t="s">
        <v>74</v>
      </c>
      <c r="AY552" t="s">
        <v>74</v>
      </c>
      <c r="AZ552" t="s">
        <v>74</v>
      </c>
      <c r="BA552" t="s">
        <v>74</v>
      </c>
      <c r="BB552" t="s">
        <v>74</v>
      </c>
      <c r="BC552" t="s">
        <v>74</v>
      </c>
      <c r="BD552" t="s">
        <v>11168</v>
      </c>
      <c r="BE552" t="s">
        <v>11169</v>
      </c>
      <c r="BF552" t="str">
        <f>HYPERLINK("http://dx.doi.org/10.1016/j.gecco.2022.e02110","http://dx.doi.org/10.1016/j.gecco.2022.e02110")</f>
        <v>http://dx.doi.org/10.1016/j.gecco.2022.e02110</v>
      </c>
      <c r="BG552" t="s">
        <v>74</v>
      </c>
      <c r="BH552" t="s">
        <v>7987</v>
      </c>
      <c r="BI552">
        <v>11</v>
      </c>
      <c r="BJ552" t="s">
        <v>539</v>
      </c>
      <c r="BK552" t="s">
        <v>101</v>
      </c>
      <c r="BL552" t="s">
        <v>540</v>
      </c>
      <c r="BM552" t="s">
        <v>11170</v>
      </c>
      <c r="BN552" t="s">
        <v>74</v>
      </c>
      <c r="BO552" t="s">
        <v>5588</v>
      </c>
      <c r="BP552" t="s">
        <v>74</v>
      </c>
      <c r="BQ552" t="s">
        <v>74</v>
      </c>
      <c r="BR552" t="s">
        <v>103</v>
      </c>
      <c r="BS552" t="s">
        <v>11171</v>
      </c>
      <c r="BT552" t="str">
        <f>HYPERLINK("https%3A%2F%2Fwww.webofscience.com%2Fwos%2Fwoscc%2Ffull-record%2FWOS:000798745900002","View Full Record in Web of Science")</f>
        <v>View Full Record in Web of Science</v>
      </c>
    </row>
    <row r="553" spans="1:72" x14ac:dyDescent="0.15">
      <c r="A553" t="s">
        <v>72</v>
      </c>
      <c r="B553" t="s">
        <v>11172</v>
      </c>
      <c r="C553" t="s">
        <v>74</v>
      </c>
      <c r="D553" t="s">
        <v>74</v>
      </c>
      <c r="E553" t="s">
        <v>74</v>
      </c>
      <c r="F553" t="s">
        <v>11173</v>
      </c>
      <c r="G553" t="s">
        <v>74</v>
      </c>
      <c r="H553" t="s">
        <v>74</v>
      </c>
      <c r="I553" t="s">
        <v>11174</v>
      </c>
      <c r="J553" t="s">
        <v>1154</v>
      </c>
      <c r="K553" t="s">
        <v>74</v>
      </c>
      <c r="L553" t="s">
        <v>74</v>
      </c>
      <c r="M553" t="s">
        <v>78</v>
      </c>
      <c r="N553" t="s">
        <v>79</v>
      </c>
      <c r="O553" t="s">
        <v>74</v>
      </c>
      <c r="P553" t="s">
        <v>74</v>
      </c>
      <c r="Q553" t="s">
        <v>74</v>
      </c>
      <c r="R553" t="s">
        <v>74</v>
      </c>
      <c r="S553" t="s">
        <v>74</v>
      </c>
      <c r="T553" t="s">
        <v>11175</v>
      </c>
      <c r="U553" t="s">
        <v>11176</v>
      </c>
      <c r="V553" t="s">
        <v>11177</v>
      </c>
      <c r="W553" t="s">
        <v>11178</v>
      </c>
      <c r="X553" t="s">
        <v>11179</v>
      </c>
      <c r="Y553" t="s">
        <v>11180</v>
      </c>
      <c r="Z553" t="s">
        <v>11181</v>
      </c>
      <c r="AA553" t="s">
        <v>11182</v>
      </c>
      <c r="AB553" t="s">
        <v>11183</v>
      </c>
      <c r="AC553" t="s">
        <v>11184</v>
      </c>
      <c r="AD553" t="s">
        <v>11185</v>
      </c>
      <c r="AE553" t="s">
        <v>11186</v>
      </c>
      <c r="AF553" t="s">
        <v>74</v>
      </c>
      <c r="AG553">
        <v>122</v>
      </c>
      <c r="AH553">
        <v>7</v>
      </c>
      <c r="AI553">
        <v>7</v>
      </c>
      <c r="AJ553">
        <v>3</v>
      </c>
      <c r="AK553">
        <v>15</v>
      </c>
      <c r="AL553" t="s">
        <v>199</v>
      </c>
      <c r="AM553" t="s">
        <v>200</v>
      </c>
      <c r="AN553" t="s">
        <v>201</v>
      </c>
      <c r="AO553" t="s">
        <v>1167</v>
      </c>
      <c r="AP553" t="s">
        <v>1168</v>
      </c>
      <c r="AQ553" t="s">
        <v>74</v>
      </c>
      <c r="AR553" t="s">
        <v>1169</v>
      </c>
      <c r="AS553" t="s">
        <v>1170</v>
      </c>
      <c r="AT553" t="s">
        <v>4826</v>
      </c>
      <c r="AU553">
        <v>2022</v>
      </c>
      <c r="AV553">
        <v>284</v>
      </c>
      <c r="AW553" t="s">
        <v>74</v>
      </c>
      <c r="AX553" t="s">
        <v>74</v>
      </c>
      <c r="AY553" t="s">
        <v>74</v>
      </c>
      <c r="AZ553" t="s">
        <v>74</v>
      </c>
      <c r="BA553" t="s">
        <v>74</v>
      </c>
      <c r="BB553" t="s">
        <v>74</v>
      </c>
      <c r="BC553" t="s">
        <v>74</v>
      </c>
      <c r="BD553">
        <v>107493</v>
      </c>
      <c r="BE553" t="s">
        <v>11187</v>
      </c>
      <c r="BF553" t="str">
        <f>HYPERLINK("http://dx.doi.org/10.1016/j.quascirev.2022.107493","http://dx.doi.org/10.1016/j.quascirev.2022.107493")</f>
        <v>http://dx.doi.org/10.1016/j.quascirev.2022.107493</v>
      </c>
      <c r="BG553" t="s">
        <v>74</v>
      </c>
      <c r="BH553" t="s">
        <v>7987</v>
      </c>
      <c r="BI553">
        <v>14</v>
      </c>
      <c r="BJ553" t="s">
        <v>125</v>
      </c>
      <c r="BK553" t="s">
        <v>101</v>
      </c>
      <c r="BL553" t="s">
        <v>126</v>
      </c>
      <c r="BM553" t="s">
        <v>10156</v>
      </c>
      <c r="BN553" t="s">
        <v>74</v>
      </c>
      <c r="BO553" t="s">
        <v>643</v>
      </c>
      <c r="BP553" t="s">
        <v>74</v>
      </c>
      <c r="BQ553" t="s">
        <v>74</v>
      </c>
      <c r="BR553" t="s">
        <v>103</v>
      </c>
      <c r="BS553" t="s">
        <v>11188</v>
      </c>
      <c r="BT553" t="str">
        <f>HYPERLINK("https%3A%2F%2Fwww.webofscience.com%2Fwos%2Fwoscc%2Ffull-record%2FWOS:000796233800001","View Full Record in Web of Science")</f>
        <v>View Full Record in Web of Science</v>
      </c>
    </row>
    <row r="554" spans="1:72" x14ac:dyDescent="0.15">
      <c r="A554" t="s">
        <v>72</v>
      </c>
      <c r="B554" t="s">
        <v>11189</v>
      </c>
      <c r="C554" t="s">
        <v>74</v>
      </c>
      <c r="D554" t="s">
        <v>74</v>
      </c>
      <c r="E554" t="s">
        <v>74</v>
      </c>
      <c r="F554" t="s">
        <v>11190</v>
      </c>
      <c r="G554" t="s">
        <v>74</v>
      </c>
      <c r="H554" t="s">
        <v>74</v>
      </c>
      <c r="I554" t="s">
        <v>11191</v>
      </c>
      <c r="J554" t="s">
        <v>11192</v>
      </c>
      <c r="K554" t="s">
        <v>74</v>
      </c>
      <c r="L554" t="s">
        <v>74</v>
      </c>
      <c r="M554" t="s">
        <v>78</v>
      </c>
      <c r="N554" t="s">
        <v>79</v>
      </c>
      <c r="O554" t="s">
        <v>74</v>
      </c>
      <c r="P554" t="s">
        <v>74</v>
      </c>
      <c r="Q554" t="s">
        <v>74</v>
      </c>
      <c r="R554" t="s">
        <v>74</v>
      </c>
      <c r="S554" t="s">
        <v>74</v>
      </c>
      <c r="T554" t="s">
        <v>11193</v>
      </c>
      <c r="U554" t="s">
        <v>11194</v>
      </c>
      <c r="V554" t="s">
        <v>11195</v>
      </c>
      <c r="W554" t="s">
        <v>11196</v>
      </c>
      <c r="X554" t="s">
        <v>11197</v>
      </c>
      <c r="Y554" t="s">
        <v>11198</v>
      </c>
      <c r="Z554" t="s">
        <v>11199</v>
      </c>
      <c r="AA554" t="s">
        <v>5051</v>
      </c>
      <c r="AB554" t="s">
        <v>11200</v>
      </c>
      <c r="AC554" t="s">
        <v>74</v>
      </c>
      <c r="AD554" t="s">
        <v>74</v>
      </c>
      <c r="AE554" t="s">
        <v>74</v>
      </c>
      <c r="AF554" t="s">
        <v>74</v>
      </c>
      <c r="AG554">
        <v>68</v>
      </c>
      <c r="AH554">
        <v>1</v>
      </c>
      <c r="AI554">
        <v>1</v>
      </c>
      <c r="AJ554">
        <v>6</v>
      </c>
      <c r="AK554">
        <v>47</v>
      </c>
      <c r="AL554" t="s">
        <v>257</v>
      </c>
      <c r="AM554" t="s">
        <v>258</v>
      </c>
      <c r="AN554" t="s">
        <v>259</v>
      </c>
      <c r="AO554" t="s">
        <v>11201</v>
      </c>
      <c r="AP554" t="s">
        <v>11202</v>
      </c>
      <c r="AQ554" t="s">
        <v>74</v>
      </c>
      <c r="AR554" t="s">
        <v>11192</v>
      </c>
      <c r="AS554" t="s">
        <v>11203</v>
      </c>
      <c r="AT554" t="s">
        <v>8508</v>
      </c>
      <c r="AU554">
        <v>2022</v>
      </c>
      <c r="AV554">
        <v>555</v>
      </c>
      <c r="AW554" t="s">
        <v>74</v>
      </c>
      <c r="AX554" t="s">
        <v>74</v>
      </c>
      <c r="AY554" t="s">
        <v>74</v>
      </c>
      <c r="AZ554" t="s">
        <v>74</v>
      </c>
      <c r="BA554" t="s">
        <v>74</v>
      </c>
      <c r="BB554" t="s">
        <v>74</v>
      </c>
      <c r="BC554" t="s">
        <v>74</v>
      </c>
      <c r="BD554">
        <v>738216</v>
      </c>
      <c r="BE554" t="s">
        <v>11204</v>
      </c>
      <c r="BF554" t="str">
        <f>HYPERLINK("http://dx.doi.org/10.1016/j.aquaculture.2022.738216","http://dx.doi.org/10.1016/j.aquaculture.2022.738216")</f>
        <v>http://dx.doi.org/10.1016/j.aquaculture.2022.738216</v>
      </c>
      <c r="BG554" t="s">
        <v>74</v>
      </c>
      <c r="BH554" t="s">
        <v>7987</v>
      </c>
      <c r="BI554">
        <v>16</v>
      </c>
      <c r="BJ554" t="s">
        <v>10842</v>
      </c>
      <c r="BK554" t="s">
        <v>101</v>
      </c>
      <c r="BL554" t="s">
        <v>10842</v>
      </c>
      <c r="BM554" t="s">
        <v>11205</v>
      </c>
      <c r="BN554" t="s">
        <v>74</v>
      </c>
      <c r="BO554" t="s">
        <v>74</v>
      </c>
      <c r="BP554" t="s">
        <v>74</v>
      </c>
      <c r="BQ554" t="s">
        <v>74</v>
      </c>
      <c r="BR554" t="s">
        <v>103</v>
      </c>
      <c r="BS554" t="s">
        <v>11206</v>
      </c>
      <c r="BT554" t="str">
        <f>HYPERLINK("https%3A%2F%2Fwww.webofscience.com%2Fwos%2Fwoscc%2Ffull-record%2FWOS:000793663000006","View Full Record in Web of Science")</f>
        <v>View Full Record in Web of Science</v>
      </c>
    </row>
    <row r="555" spans="1:72" x14ac:dyDescent="0.15">
      <c r="A555" t="s">
        <v>72</v>
      </c>
      <c r="B555" t="s">
        <v>11207</v>
      </c>
      <c r="C555" t="s">
        <v>74</v>
      </c>
      <c r="D555" t="s">
        <v>74</v>
      </c>
      <c r="E555" t="s">
        <v>74</v>
      </c>
      <c r="F555" t="s">
        <v>11208</v>
      </c>
      <c r="G555" t="s">
        <v>74</v>
      </c>
      <c r="H555" t="s">
        <v>74</v>
      </c>
      <c r="I555" t="s">
        <v>11209</v>
      </c>
      <c r="J555" t="s">
        <v>8210</v>
      </c>
      <c r="K555" t="s">
        <v>74</v>
      </c>
      <c r="L555" t="s">
        <v>74</v>
      </c>
      <c r="M555" t="s">
        <v>78</v>
      </c>
      <c r="N555" t="s">
        <v>79</v>
      </c>
      <c r="O555" t="s">
        <v>74</v>
      </c>
      <c r="P555" t="s">
        <v>74</v>
      </c>
      <c r="Q555" t="s">
        <v>74</v>
      </c>
      <c r="R555" t="s">
        <v>74</v>
      </c>
      <c r="S555" t="s">
        <v>74</v>
      </c>
      <c r="T555" t="s">
        <v>11210</v>
      </c>
      <c r="U555" t="s">
        <v>74</v>
      </c>
      <c r="V555" t="s">
        <v>11211</v>
      </c>
      <c r="W555" t="s">
        <v>11212</v>
      </c>
      <c r="X555" t="s">
        <v>11213</v>
      </c>
      <c r="Y555" t="s">
        <v>11214</v>
      </c>
      <c r="Z555" t="s">
        <v>11215</v>
      </c>
      <c r="AA555" t="s">
        <v>74</v>
      </c>
      <c r="AB555" t="s">
        <v>11216</v>
      </c>
      <c r="AC555" t="s">
        <v>74</v>
      </c>
      <c r="AD555" t="s">
        <v>74</v>
      </c>
      <c r="AE555" t="s">
        <v>74</v>
      </c>
      <c r="AF555" t="s">
        <v>74</v>
      </c>
      <c r="AG555">
        <v>9</v>
      </c>
      <c r="AH555">
        <v>5</v>
      </c>
      <c r="AI555">
        <v>5</v>
      </c>
      <c r="AJ555">
        <v>1</v>
      </c>
      <c r="AK555">
        <v>8</v>
      </c>
      <c r="AL555" t="s">
        <v>8223</v>
      </c>
      <c r="AM555" t="s">
        <v>8224</v>
      </c>
      <c r="AN555" t="s">
        <v>8225</v>
      </c>
      <c r="AO555" t="s">
        <v>8226</v>
      </c>
      <c r="AP555" t="s">
        <v>8227</v>
      </c>
      <c r="AQ555" t="s">
        <v>74</v>
      </c>
      <c r="AR555" t="s">
        <v>8228</v>
      </c>
      <c r="AS555" t="s">
        <v>8229</v>
      </c>
      <c r="AT555" t="s">
        <v>11217</v>
      </c>
      <c r="AU555">
        <v>2022</v>
      </c>
      <c r="AV555">
        <v>41</v>
      </c>
      <c r="AW555" t="s">
        <v>74</v>
      </c>
      <c r="AX555" t="s">
        <v>74</v>
      </c>
      <c r="AY555" t="s">
        <v>74</v>
      </c>
      <c r="AZ555" t="s">
        <v>74</v>
      </c>
      <c r="BA555" t="s">
        <v>74</v>
      </c>
      <c r="BB555" t="s">
        <v>74</v>
      </c>
      <c r="BC555" t="s">
        <v>74</v>
      </c>
      <c r="BD555" t="s">
        <v>74</v>
      </c>
      <c r="BE555" t="s">
        <v>11218</v>
      </c>
      <c r="BF555" t="str">
        <f>HYPERLINK("http://dx.doi.org/10.33265/polar.v41.8037","http://dx.doi.org/10.33265/polar.v41.8037")</f>
        <v>http://dx.doi.org/10.33265/polar.v41.8037</v>
      </c>
      <c r="BG555" t="s">
        <v>74</v>
      </c>
      <c r="BH555" t="s">
        <v>74</v>
      </c>
      <c r="BI555">
        <v>23</v>
      </c>
      <c r="BJ555" t="s">
        <v>8231</v>
      </c>
      <c r="BK555" t="s">
        <v>101</v>
      </c>
      <c r="BL555" t="s">
        <v>8232</v>
      </c>
      <c r="BM555" t="s">
        <v>11219</v>
      </c>
      <c r="BN555" t="s">
        <v>74</v>
      </c>
      <c r="BO555" t="s">
        <v>295</v>
      </c>
      <c r="BP555" t="s">
        <v>74</v>
      </c>
      <c r="BQ555" t="s">
        <v>74</v>
      </c>
      <c r="BR555" t="s">
        <v>103</v>
      </c>
      <c r="BS555" t="s">
        <v>11220</v>
      </c>
      <c r="BT555" t="str">
        <f>HYPERLINK("https%3A%2F%2Fwww.webofscience.com%2Fwos%2Fwoscc%2Ffull-record%2FWOS:000788233200001","View Full Record in Web of Science")</f>
        <v>View Full Record in Web of Science</v>
      </c>
    </row>
    <row r="556" spans="1:72" x14ac:dyDescent="0.15">
      <c r="A556" t="s">
        <v>72</v>
      </c>
      <c r="B556" t="s">
        <v>11221</v>
      </c>
      <c r="C556" t="s">
        <v>74</v>
      </c>
      <c r="D556" t="s">
        <v>74</v>
      </c>
      <c r="E556" t="s">
        <v>74</v>
      </c>
      <c r="F556" t="s">
        <v>11222</v>
      </c>
      <c r="G556" t="s">
        <v>74</v>
      </c>
      <c r="H556" t="s">
        <v>74</v>
      </c>
      <c r="I556" t="s">
        <v>11223</v>
      </c>
      <c r="J556" t="s">
        <v>11224</v>
      </c>
      <c r="K556" t="s">
        <v>74</v>
      </c>
      <c r="L556" t="s">
        <v>74</v>
      </c>
      <c r="M556" t="s">
        <v>78</v>
      </c>
      <c r="N556" t="s">
        <v>79</v>
      </c>
      <c r="O556" t="s">
        <v>74</v>
      </c>
      <c r="P556" t="s">
        <v>74</v>
      </c>
      <c r="Q556" t="s">
        <v>74</v>
      </c>
      <c r="R556" t="s">
        <v>74</v>
      </c>
      <c r="S556" t="s">
        <v>74</v>
      </c>
      <c r="T556" t="s">
        <v>11225</v>
      </c>
      <c r="U556" t="s">
        <v>11226</v>
      </c>
      <c r="V556" t="s">
        <v>11227</v>
      </c>
      <c r="W556" t="s">
        <v>11228</v>
      </c>
      <c r="X556" t="s">
        <v>9964</v>
      </c>
      <c r="Y556" t="s">
        <v>11229</v>
      </c>
      <c r="Z556" t="s">
        <v>11230</v>
      </c>
      <c r="AA556" t="s">
        <v>11231</v>
      </c>
      <c r="AB556" t="s">
        <v>11232</v>
      </c>
      <c r="AC556" t="s">
        <v>11233</v>
      </c>
      <c r="AD556" t="s">
        <v>11234</v>
      </c>
      <c r="AE556" t="s">
        <v>11235</v>
      </c>
      <c r="AF556" t="s">
        <v>74</v>
      </c>
      <c r="AG556">
        <v>51</v>
      </c>
      <c r="AH556">
        <v>1</v>
      </c>
      <c r="AI556">
        <v>1</v>
      </c>
      <c r="AJ556">
        <v>2</v>
      </c>
      <c r="AK556">
        <v>3</v>
      </c>
      <c r="AL556" t="s">
        <v>5485</v>
      </c>
      <c r="AM556" t="s">
        <v>401</v>
      </c>
      <c r="AN556" t="s">
        <v>5486</v>
      </c>
      <c r="AO556" t="s">
        <v>11236</v>
      </c>
      <c r="AP556" t="s">
        <v>11237</v>
      </c>
      <c r="AQ556" t="s">
        <v>74</v>
      </c>
      <c r="AR556" t="s">
        <v>11238</v>
      </c>
      <c r="AS556" t="s">
        <v>11239</v>
      </c>
      <c r="AT556" t="s">
        <v>5076</v>
      </c>
      <c r="AU556">
        <v>2022</v>
      </c>
      <c r="AV556">
        <v>124</v>
      </c>
      <c r="AW556" t="s">
        <v>74</v>
      </c>
      <c r="AX556" t="s">
        <v>74</v>
      </c>
      <c r="AY556" t="s">
        <v>74</v>
      </c>
      <c r="AZ556" t="s">
        <v>74</v>
      </c>
      <c r="BA556" t="s">
        <v>74</v>
      </c>
      <c r="BB556">
        <v>56</v>
      </c>
      <c r="BC556">
        <v>65</v>
      </c>
      <c r="BD556" t="s">
        <v>74</v>
      </c>
      <c r="BE556" t="s">
        <v>11240</v>
      </c>
      <c r="BF556" t="str">
        <f>HYPERLINK("http://dx.doi.org/10.1016/j.fsi.2022.03.044","http://dx.doi.org/10.1016/j.fsi.2022.03.044")</f>
        <v>http://dx.doi.org/10.1016/j.fsi.2022.03.044</v>
      </c>
      <c r="BG556" t="s">
        <v>74</v>
      </c>
      <c r="BH556" t="s">
        <v>7987</v>
      </c>
      <c r="BI556">
        <v>10</v>
      </c>
      <c r="BJ556" t="s">
        <v>11241</v>
      </c>
      <c r="BK556" t="s">
        <v>101</v>
      </c>
      <c r="BL556" t="s">
        <v>11241</v>
      </c>
      <c r="BM556" t="s">
        <v>11242</v>
      </c>
      <c r="BN556">
        <v>35367625</v>
      </c>
      <c r="BO556" t="s">
        <v>74</v>
      </c>
      <c r="BP556" t="s">
        <v>74</v>
      </c>
      <c r="BQ556" t="s">
        <v>74</v>
      </c>
      <c r="BR556" t="s">
        <v>103</v>
      </c>
      <c r="BS556" t="s">
        <v>11243</v>
      </c>
      <c r="BT556" t="str">
        <f>HYPERLINK("https%3A%2F%2Fwww.webofscience.com%2Fwos%2Fwoscc%2Ffull-record%2FWOS:000884172000001","View Full Record in Web of Science")</f>
        <v>View Full Record in Web of Science</v>
      </c>
    </row>
    <row r="557" spans="1:72" x14ac:dyDescent="0.15">
      <c r="A557" t="s">
        <v>72</v>
      </c>
      <c r="B557" t="s">
        <v>11244</v>
      </c>
      <c r="C557" t="s">
        <v>74</v>
      </c>
      <c r="D557" t="s">
        <v>74</v>
      </c>
      <c r="E557" t="s">
        <v>74</v>
      </c>
      <c r="F557" t="s">
        <v>11245</v>
      </c>
      <c r="G557" t="s">
        <v>74</v>
      </c>
      <c r="H557" t="s">
        <v>74</v>
      </c>
      <c r="I557" t="s">
        <v>11246</v>
      </c>
      <c r="J557" t="s">
        <v>1086</v>
      </c>
      <c r="K557" t="s">
        <v>74</v>
      </c>
      <c r="L557" t="s">
        <v>74</v>
      </c>
      <c r="M557" t="s">
        <v>78</v>
      </c>
      <c r="N557" t="s">
        <v>79</v>
      </c>
      <c r="O557" t="s">
        <v>74</v>
      </c>
      <c r="P557" t="s">
        <v>74</v>
      </c>
      <c r="Q557" t="s">
        <v>74</v>
      </c>
      <c r="R557" t="s">
        <v>74</v>
      </c>
      <c r="S557" t="s">
        <v>74</v>
      </c>
      <c r="T557" t="s">
        <v>11247</v>
      </c>
      <c r="U557" t="s">
        <v>11248</v>
      </c>
      <c r="V557" t="s">
        <v>11249</v>
      </c>
      <c r="W557" t="s">
        <v>11250</v>
      </c>
      <c r="X557" t="s">
        <v>11251</v>
      </c>
      <c r="Y557" t="s">
        <v>11252</v>
      </c>
      <c r="Z557" t="s">
        <v>11253</v>
      </c>
      <c r="AA557" t="s">
        <v>11254</v>
      </c>
      <c r="AB557" t="s">
        <v>11255</v>
      </c>
      <c r="AC557" t="s">
        <v>11256</v>
      </c>
      <c r="AD557" t="s">
        <v>11257</v>
      </c>
      <c r="AE557" t="s">
        <v>11258</v>
      </c>
      <c r="AF557" t="s">
        <v>74</v>
      </c>
      <c r="AG557">
        <v>107</v>
      </c>
      <c r="AH557">
        <v>3</v>
      </c>
      <c r="AI557">
        <v>3</v>
      </c>
      <c r="AJ557">
        <v>7</v>
      </c>
      <c r="AK557">
        <v>25</v>
      </c>
      <c r="AL557" t="s">
        <v>257</v>
      </c>
      <c r="AM557" t="s">
        <v>258</v>
      </c>
      <c r="AN557" t="s">
        <v>259</v>
      </c>
      <c r="AO557" t="s">
        <v>1098</v>
      </c>
      <c r="AP557" t="s">
        <v>1099</v>
      </c>
      <c r="AQ557" t="s">
        <v>74</v>
      </c>
      <c r="AR557" t="s">
        <v>1100</v>
      </c>
      <c r="AS557" t="s">
        <v>1101</v>
      </c>
      <c r="AT557" t="s">
        <v>11259</v>
      </c>
      <c r="AU557">
        <v>2022</v>
      </c>
      <c r="AV557">
        <v>831</v>
      </c>
      <c r="AW557" t="s">
        <v>74</v>
      </c>
      <c r="AX557" t="s">
        <v>74</v>
      </c>
      <c r="AY557" t="s">
        <v>74</v>
      </c>
      <c r="AZ557" t="s">
        <v>74</v>
      </c>
      <c r="BA557" t="s">
        <v>74</v>
      </c>
      <c r="BB557" t="s">
        <v>74</v>
      </c>
      <c r="BC557" t="s">
        <v>74</v>
      </c>
      <c r="BD557">
        <v>154772</v>
      </c>
      <c r="BE557" t="s">
        <v>11260</v>
      </c>
      <c r="BF557" t="str">
        <f>HYPERLINK("http://dx.doi.org/10.1016/j.scitotenv.2022.154772","http://dx.doi.org/10.1016/j.scitotenv.2022.154772")</f>
        <v>http://dx.doi.org/10.1016/j.scitotenv.2022.154772</v>
      </c>
      <c r="BG557" t="s">
        <v>74</v>
      </c>
      <c r="BH557" t="s">
        <v>7987</v>
      </c>
      <c r="BI557">
        <v>13</v>
      </c>
      <c r="BJ557" t="s">
        <v>1104</v>
      </c>
      <c r="BK557" t="s">
        <v>101</v>
      </c>
      <c r="BL557" t="s">
        <v>840</v>
      </c>
      <c r="BM557" t="s">
        <v>11261</v>
      </c>
      <c r="BN557">
        <v>35364145</v>
      </c>
      <c r="BO557" t="s">
        <v>1033</v>
      </c>
      <c r="BP557" t="s">
        <v>74</v>
      </c>
      <c r="BQ557" t="s">
        <v>74</v>
      </c>
      <c r="BR557" t="s">
        <v>103</v>
      </c>
      <c r="BS557" t="s">
        <v>11262</v>
      </c>
      <c r="BT557" t="str">
        <f>HYPERLINK("https%3A%2F%2Fwww.webofscience.com%2Fwos%2Fwoscc%2Ffull-record%2FWOS:000821053200005","View Full Record in Web of Science")</f>
        <v>View Full Record in Web of Science</v>
      </c>
    </row>
    <row r="558" spans="1:72" x14ac:dyDescent="0.15">
      <c r="A558" t="s">
        <v>72</v>
      </c>
      <c r="B558" t="s">
        <v>11263</v>
      </c>
      <c r="C558" t="s">
        <v>74</v>
      </c>
      <c r="D558" t="s">
        <v>74</v>
      </c>
      <c r="E558" t="s">
        <v>74</v>
      </c>
      <c r="F558" t="s">
        <v>11264</v>
      </c>
      <c r="G558" t="s">
        <v>74</v>
      </c>
      <c r="H558" t="s">
        <v>74</v>
      </c>
      <c r="I558" t="s">
        <v>11265</v>
      </c>
      <c r="J558" t="s">
        <v>4497</v>
      </c>
      <c r="K558" t="s">
        <v>74</v>
      </c>
      <c r="L558" t="s">
        <v>74</v>
      </c>
      <c r="M558" t="s">
        <v>78</v>
      </c>
      <c r="N558" t="s">
        <v>79</v>
      </c>
      <c r="O558" t="s">
        <v>74</v>
      </c>
      <c r="P558" t="s">
        <v>74</v>
      </c>
      <c r="Q558" t="s">
        <v>74</v>
      </c>
      <c r="R558" t="s">
        <v>74</v>
      </c>
      <c r="S558" t="s">
        <v>74</v>
      </c>
      <c r="T558" t="s">
        <v>11266</v>
      </c>
      <c r="U558" t="s">
        <v>11267</v>
      </c>
      <c r="V558" t="s">
        <v>11268</v>
      </c>
      <c r="W558" t="s">
        <v>11269</v>
      </c>
      <c r="X558" t="s">
        <v>11270</v>
      </c>
      <c r="Y558" t="s">
        <v>11271</v>
      </c>
      <c r="Z558" t="s">
        <v>11272</v>
      </c>
      <c r="AA558" t="s">
        <v>11273</v>
      </c>
      <c r="AB558" t="s">
        <v>11274</v>
      </c>
      <c r="AC558" t="s">
        <v>11275</v>
      </c>
      <c r="AD558" t="s">
        <v>11276</v>
      </c>
      <c r="AE558" t="s">
        <v>11277</v>
      </c>
      <c r="AF558" t="s">
        <v>74</v>
      </c>
      <c r="AG558">
        <v>88</v>
      </c>
      <c r="AH558">
        <v>18</v>
      </c>
      <c r="AI558">
        <v>18</v>
      </c>
      <c r="AJ558">
        <v>40</v>
      </c>
      <c r="AK558">
        <v>149</v>
      </c>
      <c r="AL558" t="s">
        <v>4510</v>
      </c>
      <c r="AM558" t="s">
        <v>2043</v>
      </c>
      <c r="AN558" t="s">
        <v>4511</v>
      </c>
      <c r="AO558" t="s">
        <v>4512</v>
      </c>
      <c r="AP558" t="s">
        <v>4513</v>
      </c>
      <c r="AQ558" t="s">
        <v>74</v>
      </c>
      <c r="AR558" t="s">
        <v>4514</v>
      </c>
      <c r="AS558" t="s">
        <v>4515</v>
      </c>
      <c r="AT558" t="s">
        <v>11278</v>
      </c>
      <c r="AU558">
        <v>2022</v>
      </c>
      <c r="AV558">
        <v>56</v>
      </c>
      <c r="AW558">
        <v>7</v>
      </c>
      <c r="AX558" t="s">
        <v>74</v>
      </c>
      <c r="AY558" t="s">
        <v>74</v>
      </c>
      <c r="AZ558" t="s">
        <v>74</v>
      </c>
      <c r="BA558" t="s">
        <v>74</v>
      </c>
      <c r="BB558">
        <v>4199</v>
      </c>
      <c r="BC558">
        <v>4209</v>
      </c>
      <c r="BD558" t="s">
        <v>74</v>
      </c>
      <c r="BE558" t="s">
        <v>11279</v>
      </c>
      <c r="BF558" t="str">
        <f>HYPERLINK("http://dx.doi.org/10.1021/acs.est.1c08743","http://dx.doi.org/10.1021/acs.est.1c08743")</f>
        <v>http://dx.doi.org/10.1021/acs.est.1c08743</v>
      </c>
      <c r="BG558" t="s">
        <v>74</v>
      </c>
      <c r="BH558" t="s">
        <v>74</v>
      </c>
      <c r="BI558">
        <v>11</v>
      </c>
      <c r="BJ558" t="s">
        <v>4518</v>
      </c>
      <c r="BK558" t="s">
        <v>101</v>
      </c>
      <c r="BL558" t="s">
        <v>4519</v>
      </c>
      <c r="BM558" t="s">
        <v>11280</v>
      </c>
      <c r="BN558">
        <v>35302762</v>
      </c>
      <c r="BO558" t="s">
        <v>74</v>
      </c>
      <c r="BP558" t="s">
        <v>74</v>
      </c>
      <c r="BQ558" t="s">
        <v>74</v>
      </c>
      <c r="BR558" t="s">
        <v>103</v>
      </c>
      <c r="BS558" t="s">
        <v>11281</v>
      </c>
      <c r="BT558" t="str">
        <f>HYPERLINK("https%3A%2F%2Fwww.webofscience.com%2Fwos%2Fwoscc%2Ffull-record%2FWOS:000812206200001","View Full Record in Web of Science")</f>
        <v>View Full Record in Web of Science</v>
      </c>
    </row>
    <row r="559" spans="1:72" x14ac:dyDescent="0.15">
      <c r="A559" t="s">
        <v>72</v>
      </c>
      <c r="B559" t="s">
        <v>11282</v>
      </c>
      <c r="C559" t="s">
        <v>74</v>
      </c>
      <c r="D559" t="s">
        <v>74</v>
      </c>
      <c r="E559" t="s">
        <v>74</v>
      </c>
      <c r="F559" t="s">
        <v>11283</v>
      </c>
      <c r="G559" t="s">
        <v>74</v>
      </c>
      <c r="H559" t="s">
        <v>74</v>
      </c>
      <c r="I559" t="s">
        <v>11284</v>
      </c>
      <c r="J559" t="s">
        <v>4476</v>
      </c>
      <c r="K559" t="s">
        <v>74</v>
      </c>
      <c r="L559" t="s">
        <v>74</v>
      </c>
      <c r="M559" t="s">
        <v>78</v>
      </c>
      <c r="N559" t="s">
        <v>161</v>
      </c>
      <c r="O559" t="s">
        <v>74</v>
      </c>
      <c r="P559" t="s">
        <v>74</v>
      </c>
      <c r="Q559" t="s">
        <v>74</v>
      </c>
      <c r="R559" t="s">
        <v>74</v>
      </c>
      <c r="S559" t="s">
        <v>74</v>
      </c>
      <c r="T559" t="s">
        <v>11285</v>
      </c>
      <c r="U559" t="s">
        <v>11286</v>
      </c>
      <c r="V559" t="s">
        <v>11287</v>
      </c>
      <c r="W559" t="s">
        <v>11288</v>
      </c>
      <c r="X559" t="s">
        <v>11289</v>
      </c>
      <c r="Y559" t="s">
        <v>11290</v>
      </c>
      <c r="Z559" t="s">
        <v>11291</v>
      </c>
      <c r="AA559" t="s">
        <v>11292</v>
      </c>
      <c r="AB559" t="s">
        <v>11293</v>
      </c>
      <c r="AC559" t="s">
        <v>11294</v>
      </c>
      <c r="AD559" t="s">
        <v>11295</v>
      </c>
      <c r="AE559" t="s">
        <v>11296</v>
      </c>
      <c r="AF559" t="s">
        <v>74</v>
      </c>
      <c r="AG559">
        <v>198</v>
      </c>
      <c r="AH559">
        <v>15</v>
      </c>
      <c r="AI559">
        <v>17</v>
      </c>
      <c r="AJ559">
        <v>22</v>
      </c>
      <c r="AK559">
        <v>92</v>
      </c>
      <c r="AL559" t="s">
        <v>633</v>
      </c>
      <c r="AM559" t="s">
        <v>200</v>
      </c>
      <c r="AN559" t="s">
        <v>634</v>
      </c>
      <c r="AO559" t="s">
        <v>4486</v>
      </c>
      <c r="AP559" t="s">
        <v>4487</v>
      </c>
      <c r="AQ559" t="s">
        <v>74</v>
      </c>
      <c r="AR559" t="s">
        <v>4488</v>
      </c>
      <c r="AS559" t="s">
        <v>4489</v>
      </c>
      <c r="AT559" t="s">
        <v>4490</v>
      </c>
      <c r="AU559">
        <v>2022</v>
      </c>
      <c r="AV559">
        <v>73</v>
      </c>
      <c r="AW559">
        <v>13</v>
      </c>
      <c r="AX559" t="s">
        <v>74</v>
      </c>
      <c r="AY559" t="s">
        <v>74</v>
      </c>
      <c r="AZ559" t="s">
        <v>772</v>
      </c>
      <c r="BA559" t="s">
        <v>74</v>
      </c>
      <c r="BB559">
        <v>4306</v>
      </c>
      <c r="BC559">
        <v>4322</v>
      </c>
      <c r="BD559" t="s">
        <v>74</v>
      </c>
      <c r="BE559" t="s">
        <v>11297</v>
      </c>
      <c r="BF559" t="str">
        <f>HYPERLINK("http://dx.doi.org/10.1093/jxb/erac127","http://dx.doi.org/10.1093/jxb/erac127")</f>
        <v>http://dx.doi.org/10.1093/jxb/erac127</v>
      </c>
      <c r="BG559" t="s">
        <v>74</v>
      </c>
      <c r="BH559" t="s">
        <v>7987</v>
      </c>
      <c r="BI559">
        <v>17</v>
      </c>
      <c r="BJ559" t="s">
        <v>1649</v>
      </c>
      <c r="BK559" t="s">
        <v>101</v>
      </c>
      <c r="BL559" t="s">
        <v>1649</v>
      </c>
      <c r="BM559" t="s">
        <v>4492</v>
      </c>
      <c r="BN559">
        <v>35437589</v>
      </c>
      <c r="BO559" t="s">
        <v>986</v>
      </c>
      <c r="BP559" t="s">
        <v>74</v>
      </c>
      <c r="BQ559" t="s">
        <v>74</v>
      </c>
      <c r="BR559" t="s">
        <v>103</v>
      </c>
      <c r="BS559" t="s">
        <v>11298</v>
      </c>
      <c r="BT559" t="str">
        <f>HYPERLINK("https%3A%2F%2Fwww.webofscience.com%2Fwos%2Fwoscc%2Ffull-record%2FWOS:000811211600001","View Full Record in Web of Science")</f>
        <v>View Full Record in Web of Science</v>
      </c>
    </row>
    <row r="560" spans="1:72" x14ac:dyDescent="0.15">
      <c r="A560" t="s">
        <v>72</v>
      </c>
      <c r="B560" t="s">
        <v>11299</v>
      </c>
      <c r="C560" t="s">
        <v>74</v>
      </c>
      <c r="D560" t="s">
        <v>74</v>
      </c>
      <c r="E560" t="s">
        <v>74</v>
      </c>
      <c r="F560" t="s">
        <v>11300</v>
      </c>
      <c r="G560" t="s">
        <v>74</v>
      </c>
      <c r="H560" t="s">
        <v>74</v>
      </c>
      <c r="I560" t="s">
        <v>11301</v>
      </c>
      <c r="J560" t="s">
        <v>4415</v>
      </c>
      <c r="K560" t="s">
        <v>74</v>
      </c>
      <c r="L560" t="s">
        <v>74</v>
      </c>
      <c r="M560" t="s">
        <v>78</v>
      </c>
      <c r="N560" t="s">
        <v>79</v>
      </c>
      <c r="O560" t="s">
        <v>74</v>
      </c>
      <c r="P560" t="s">
        <v>74</v>
      </c>
      <c r="Q560" t="s">
        <v>74</v>
      </c>
      <c r="R560" t="s">
        <v>74</v>
      </c>
      <c r="S560" t="s">
        <v>74</v>
      </c>
      <c r="T560" t="s">
        <v>11302</v>
      </c>
      <c r="U560" t="s">
        <v>11303</v>
      </c>
      <c r="V560" t="s">
        <v>11304</v>
      </c>
      <c r="W560" t="s">
        <v>11305</v>
      </c>
      <c r="X560" t="s">
        <v>11306</v>
      </c>
      <c r="Y560" t="s">
        <v>11307</v>
      </c>
      <c r="Z560" t="s">
        <v>11308</v>
      </c>
      <c r="AA560" t="s">
        <v>11309</v>
      </c>
      <c r="AB560" t="s">
        <v>11310</v>
      </c>
      <c r="AC560" t="s">
        <v>11311</v>
      </c>
      <c r="AD560" t="s">
        <v>11312</v>
      </c>
      <c r="AE560" t="s">
        <v>11313</v>
      </c>
      <c r="AF560" t="s">
        <v>74</v>
      </c>
      <c r="AG560">
        <v>42</v>
      </c>
      <c r="AH560">
        <v>9</v>
      </c>
      <c r="AI560">
        <v>9</v>
      </c>
      <c r="AJ560">
        <v>15</v>
      </c>
      <c r="AK560">
        <v>60</v>
      </c>
      <c r="AL560" t="s">
        <v>3228</v>
      </c>
      <c r="AM560" t="s">
        <v>200</v>
      </c>
      <c r="AN560" t="s">
        <v>3229</v>
      </c>
      <c r="AO560" t="s">
        <v>4424</v>
      </c>
      <c r="AP560" t="s">
        <v>4425</v>
      </c>
      <c r="AQ560" t="s">
        <v>74</v>
      </c>
      <c r="AR560" t="s">
        <v>4426</v>
      </c>
      <c r="AS560" t="s">
        <v>4427</v>
      </c>
      <c r="AT560" t="s">
        <v>3234</v>
      </c>
      <c r="AU560">
        <v>2022</v>
      </c>
      <c r="AV560">
        <v>304</v>
      </c>
      <c r="AW560" t="s">
        <v>74</v>
      </c>
      <c r="AX560" t="s">
        <v>74</v>
      </c>
      <c r="AY560" t="s">
        <v>74</v>
      </c>
      <c r="AZ560" t="s">
        <v>74</v>
      </c>
      <c r="BA560" t="s">
        <v>74</v>
      </c>
      <c r="BB560" t="s">
        <v>74</v>
      </c>
      <c r="BC560" t="s">
        <v>74</v>
      </c>
      <c r="BD560">
        <v>119219</v>
      </c>
      <c r="BE560" t="s">
        <v>11314</v>
      </c>
      <c r="BF560" t="str">
        <f>HYPERLINK("http://dx.doi.org/10.1016/j.envpol.2022.119219","http://dx.doi.org/10.1016/j.envpol.2022.119219")</f>
        <v>http://dx.doi.org/10.1016/j.envpol.2022.119219</v>
      </c>
      <c r="BG560" t="s">
        <v>74</v>
      </c>
      <c r="BH560" t="s">
        <v>7987</v>
      </c>
      <c r="BI560">
        <v>9</v>
      </c>
      <c r="BJ560" t="s">
        <v>1104</v>
      </c>
      <c r="BK560" t="s">
        <v>101</v>
      </c>
      <c r="BL560" t="s">
        <v>840</v>
      </c>
      <c r="BM560" t="s">
        <v>11315</v>
      </c>
      <c r="BN560">
        <v>35378202</v>
      </c>
      <c r="BO560" t="s">
        <v>74</v>
      </c>
      <c r="BP560" t="s">
        <v>74</v>
      </c>
      <c r="BQ560" t="s">
        <v>74</v>
      </c>
      <c r="BR560" t="s">
        <v>103</v>
      </c>
      <c r="BS560" t="s">
        <v>11316</v>
      </c>
      <c r="BT560" t="str">
        <f>HYPERLINK("https%3A%2F%2Fwww.webofscience.com%2Fwos%2Fwoscc%2Ffull-record%2FWOS:000791341100002","View Full Record in Web of Science")</f>
        <v>View Full Record in Web of Science</v>
      </c>
    </row>
    <row r="561" spans="1:72" x14ac:dyDescent="0.15">
      <c r="A561" t="s">
        <v>72</v>
      </c>
      <c r="B561" t="s">
        <v>11317</v>
      </c>
      <c r="C561" t="s">
        <v>74</v>
      </c>
      <c r="D561" t="s">
        <v>74</v>
      </c>
      <c r="E561" t="s">
        <v>74</v>
      </c>
      <c r="F561" t="s">
        <v>11318</v>
      </c>
      <c r="G561" t="s">
        <v>74</v>
      </c>
      <c r="H561" t="s">
        <v>74</v>
      </c>
      <c r="I561" t="s">
        <v>11319</v>
      </c>
      <c r="J561" t="s">
        <v>3027</v>
      </c>
      <c r="K561" t="s">
        <v>74</v>
      </c>
      <c r="L561" t="s">
        <v>74</v>
      </c>
      <c r="M561" t="s">
        <v>78</v>
      </c>
      <c r="N561" t="s">
        <v>79</v>
      </c>
      <c r="O561" t="s">
        <v>74</v>
      </c>
      <c r="P561" t="s">
        <v>74</v>
      </c>
      <c r="Q561" t="s">
        <v>74</v>
      </c>
      <c r="R561" t="s">
        <v>74</v>
      </c>
      <c r="S561" t="s">
        <v>74</v>
      </c>
      <c r="T561" t="s">
        <v>11320</v>
      </c>
      <c r="U561" t="s">
        <v>11321</v>
      </c>
      <c r="V561" t="s">
        <v>11322</v>
      </c>
      <c r="W561" t="s">
        <v>11323</v>
      </c>
      <c r="X561" t="s">
        <v>11324</v>
      </c>
      <c r="Y561" t="s">
        <v>11325</v>
      </c>
      <c r="Z561" t="s">
        <v>11326</v>
      </c>
      <c r="AA561" t="s">
        <v>11327</v>
      </c>
      <c r="AB561" t="s">
        <v>11328</v>
      </c>
      <c r="AC561" t="s">
        <v>74</v>
      </c>
      <c r="AD561" t="s">
        <v>74</v>
      </c>
      <c r="AE561" t="s">
        <v>74</v>
      </c>
      <c r="AF561" t="s">
        <v>74</v>
      </c>
      <c r="AG561">
        <v>84</v>
      </c>
      <c r="AH561">
        <v>3</v>
      </c>
      <c r="AI561">
        <v>3</v>
      </c>
      <c r="AJ561">
        <v>1</v>
      </c>
      <c r="AK561">
        <v>7</v>
      </c>
      <c r="AL561" t="s">
        <v>285</v>
      </c>
      <c r="AM561" t="s">
        <v>286</v>
      </c>
      <c r="AN561" t="s">
        <v>287</v>
      </c>
      <c r="AO561" t="s">
        <v>74</v>
      </c>
      <c r="AP561" t="s">
        <v>3039</v>
      </c>
      <c r="AQ561" t="s">
        <v>74</v>
      </c>
      <c r="AR561" t="s">
        <v>3040</v>
      </c>
      <c r="AS561" t="s">
        <v>3041</v>
      </c>
      <c r="AT561" t="s">
        <v>11278</v>
      </c>
      <c r="AU561">
        <v>2022</v>
      </c>
      <c r="AV561">
        <v>10</v>
      </c>
      <c r="AW561" t="s">
        <v>74</v>
      </c>
      <c r="AX561" t="s">
        <v>74</v>
      </c>
      <c r="AY561" t="s">
        <v>74</v>
      </c>
      <c r="AZ561" t="s">
        <v>74</v>
      </c>
      <c r="BA561" t="s">
        <v>74</v>
      </c>
      <c r="BB561" t="s">
        <v>74</v>
      </c>
      <c r="BC561" t="s">
        <v>74</v>
      </c>
      <c r="BD561">
        <v>833637</v>
      </c>
      <c r="BE561" t="s">
        <v>11329</v>
      </c>
      <c r="BF561" t="str">
        <f>HYPERLINK("http://dx.doi.org/10.3389/feart.2022.833637","http://dx.doi.org/10.3389/feart.2022.833637")</f>
        <v>http://dx.doi.org/10.3389/feart.2022.833637</v>
      </c>
      <c r="BG561" t="s">
        <v>74</v>
      </c>
      <c r="BH561" t="s">
        <v>74</v>
      </c>
      <c r="BI561">
        <v>16</v>
      </c>
      <c r="BJ561" t="s">
        <v>265</v>
      </c>
      <c r="BK561" t="s">
        <v>101</v>
      </c>
      <c r="BL561" t="s">
        <v>100</v>
      </c>
      <c r="BM561" t="s">
        <v>11330</v>
      </c>
      <c r="BN561" t="s">
        <v>74</v>
      </c>
      <c r="BO561" t="s">
        <v>295</v>
      </c>
      <c r="BP561" t="s">
        <v>74</v>
      </c>
      <c r="BQ561" t="s">
        <v>74</v>
      </c>
      <c r="BR561" t="s">
        <v>103</v>
      </c>
      <c r="BS561" t="s">
        <v>11331</v>
      </c>
      <c r="BT561" t="str">
        <f>HYPERLINK("https%3A%2F%2Fwww.webofscience.com%2Fwos%2Fwoscc%2Ffull-record%2FWOS:000791836800001","View Full Record in Web of Science")</f>
        <v>View Full Record in Web of Science</v>
      </c>
    </row>
    <row r="562" spans="1:72" x14ac:dyDescent="0.15">
      <c r="A562" t="s">
        <v>72</v>
      </c>
      <c r="B562" t="s">
        <v>11332</v>
      </c>
      <c r="C562" t="s">
        <v>74</v>
      </c>
      <c r="D562" t="s">
        <v>74</v>
      </c>
      <c r="E562" t="s">
        <v>74</v>
      </c>
      <c r="F562" t="s">
        <v>11333</v>
      </c>
      <c r="G562" t="s">
        <v>74</v>
      </c>
      <c r="H562" t="s">
        <v>74</v>
      </c>
      <c r="I562" t="s">
        <v>11334</v>
      </c>
      <c r="J562" t="s">
        <v>11335</v>
      </c>
      <c r="K562" t="s">
        <v>74</v>
      </c>
      <c r="L562" t="s">
        <v>74</v>
      </c>
      <c r="M562" t="s">
        <v>78</v>
      </c>
      <c r="N562" t="s">
        <v>79</v>
      </c>
      <c r="O562" t="s">
        <v>74</v>
      </c>
      <c r="P562" t="s">
        <v>74</v>
      </c>
      <c r="Q562" t="s">
        <v>74</v>
      </c>
      <c r="R562" t="s">
        <v>74</v>
      </c>
      <c r="S562" t="s">
        <v>74</v>
      </c>
      <c r="T562" t="s">
        <v>74</v>
      </c>
      <c r="U562" t="s">
        <v>11336</v>
      </c>
      <c r="V562" t="s">
        <v>11337</v>
      </c>
      <c r="W562" t="s">
        <v>11338</v>
      </c>
      <c r="X562" t="s">
        <v>11339</v>
      </c>
      <c r="Y562" t="s">
        <v>11340</v>
      </c>
      <c r="Z562" t="s">
        <v>11341</v>
      </c>
      <c r="AA562" t="s">
        <v>11342</v>
      </c>
      <c r="AB562" t="s">
        <v>11343</v>
      </c>
      <c r="AC562" t="s">
        <v>11344</v>
      </c>
      <c r="AD562" t="s">
        <v>11345</v>
      </c>
      <c r="AE562" t="s">
        <v>11346</v>
      </c>
      <c r="AF562" t="s">
        <v>74</v>
      </c>
      <c r="AG562">
        <v>47</v>
      </c>
      <c r="AH562">
        <v>3</v>
      </c>
      <c r="AI562">
        <v>3</v>
      </c>
      <c r="AJ562">
        <v>0</v>
      </c>
      <c r="AK562">
        <v>10</v>
      </c>
      <c r="AL562" t="s">
        <v>4510</v>
      </c>
      <c r="AM562" t="s">
        <v>2043</v>
      </c>
      <c r="AN562" t="s">
        <v>4511</v>
      </c>
      <c r="AO562" t="s">
        <v>11347</v>
      </c>
      <c r="AP562" t="s">
        <v>11348</v>
      </c>
      <c r="AQ562" t="s">
        <v>74</v>
      </c>
      <c r="AR562" t="s">
        <v>11349</v>
      </c>
      <c r="AS562" t="s">
        <v>11350</v>
      </c>
      <c r="AT562" t="s">
        <v>11278</v>
      </c>
      <c r="AU562">
        <v>2022</v>
      </c>
      <c r="AV562">
        <v>94</v>
      </c>
      <c r="AW562">
        <v>13</v>
      </c>
      <c r="AX562" t="s">
        <v>74</v>
      </c>
      <c r="AY562" t="s">
        <v>74</v>
      </c>
      <c r="AZ562" t="s">
        <v>74</v>
      </c>
      <c r="BA562" t="s">
        <v>74</v>
      </c>
      <c r="BB562">
        <v>5344</v>
      </c>
      <c r="BC562">
        <v>5351</v>
      </c>
      <c r="BD562" t="s">
        <v>74</v>
      </c>
      <c r="BE562" t="s">
        <v>11351</v>
      </c>
      <c r="BF562" t="str">
        <f>HYPERLINK("http://dx.doi.org/10.1021/acs.analchem.1c05412","http://dx.doi.org/10.1021/acs.analchem.1c05412")</f>
        <v>http://dx.doi.org/10.1021/acs.analchem.1c05412</v>
      </c>
      <c r="BG562" t="s">
        <v>74</v>
      </c>
      <c r="BH562" t="s">
        <v>74</v>
      </c>
      <c r="BI562">
        <v>8</v>
      </c>
      <c r="BJ562" t="s">
        <v>8204</v>
      </c>
      <c r="BK562" t="s">
        <v>101</v>
      </c>
      <c r="BL562" t="s">
        <v>5724</v>
      </c>
      <c r="BM562" t="s">
        <v>11352</v>
      </c>
      <c r="BN562">
        <v>35319865</v>
      </c>
      <c r="BO562" t="s">
        <v>643</v>
      </c>
      <c r="BP562" t="s">
        <v>74</v>
      </c>
      <c r="BQ562" t="s">
        <v>74</v>
      </c>
      <c r="BR562" t="s">
        <v>103</v>
      </c>
      <c r="BS562" t="s">
        <v>11353</v>
      </c>
      <c r="BT562" t="str">
        <f>HYPERLINK("https%3A%2F%2Fwww.webofscience.com%2Fwos%2Fwoscc%2Ffull-record%2FWOS:000786254500016","View Full Record in Web of Science")</f>
        <v>View Full Record in Web of Science</v>
      </c>
    </row>
    <row r="563" spans="1:72" x14ac:dyDescent="0.15">
      <c r="A563" t="s">
        <v>72</v>
      </c>
      <c r="B563" t="s">
        <v>11354</v>
      </c>
      <c r="C563" t="s">
        <v>74</v>
      </c>
      <c r="D563" t="s">
        <v>74</v>
      </c>
      <c r="E563" t="s">
        <v>74</v>
      </c>
      <c r="F563" t="s">
        <v>11355</v>
      </c>
      <c r="G563" t="s">
        <v>74</v>
      </c>
      <c r="H563" t="s">
        <v>74</v>
      </c>
      <c r="I563" t="s">
        <v>11356</v>
      </c>
      <c r="J563" t="s">
        <v>517</v>
      </c>
      <c r="K563" t="s">
        <v>74</v>
      </c>
      <c r="L563" t="s">
        <v>74</v>
      </c>
      <c r="M563" t="s">
        <v>78</v>
      </c>
      <c r="N563" t="s">
        <v>79</v>
      </c>
      <c r="O563" t="s">
        <v>74</v>
      </c>
      <c r="P563" t="s">
        <v>74</v>
      </c>
      <c r="Q563" t="s">
        <v>74</v>
      </c>
      <c r="R563" t="s">
        <v>74</v>
      </c>
      <c r="S563" t="s">
        <v>74</v>
      </c>
      <c r="T563" t="s">
        <v>11357</v>
      </c>
      <c r="U563" t="s">
        <v>11358</v>
      </c>
      <c r="V563" t="s">
        <v>11359</v>
      </c>
      <c r="W563" t="s">
        <v>11360</v>
      </c>
      <c r="X563" t="s">
        <v>11361</v>
      </c>
      <c r="Y563" t="s">
        <v>11362</v>
      </c>
      <c r="Z563" t="s">
        <v>11363</v>
      </c>
      <c r="AA563" t="s">
        <v>11364</v>
      </c>
      <c r="AB563" t="s">
        <v>11365</v>
      </c>
      <c r="AC563" t="s">
        <v>11366</v>
      </c>
      <c r="AD563" t="s">
        <v>11367</v>
      </c>
      <c r="AE563" t="s">
        <v>11368</v>
      </c>
      <c r="AF563" t="s">
        <v>74</v>
      </c>
      <c r="AG563">
        <v>65</v>
      </c>
      <c r="AH563">
        <v>1</v>
      </c>
      <c r="AI563">
        <v>1</v>
      </c>
      <c r="AJ563">
        <v>1</v>
      </c>
      <c r="AK563">
        <v>10</v>
      </c>
      <c r="AL563" t="s">
        <v>530</v>
      </c>
      <c r="AM563" t="s">
        <v>531</v>
      </c>
      <c r="AN563" t="s">
        <v>532</v>
      </c>
      <c r="AO563" t="s">
        <v>533</v>
      </c>
      <c r="AP563" t="s">
        <v>534</v>
      </c>
      <c r="AQ563" t="s">
        <v>74</v>
      </c>
      <c r="AR563" t="s">
        <v>535</v>
      </c>
      <c r="AS563" t="s">
        <v>536</v>
      </c>
      <c r="AT563" t="s">
        <v>5076</v>
      </c>
      <c r="AU563">
        <v>2022</v>
      </c>
      <c r="AV563">
        <v>45</v>
      </c>
      <c r="AW563">
        <v>5</v>
      </c>
      <c r="AX563" t="s">
        <v>74</v>
      </c>
      <c r="AY563" t="s">
        <v>74</v>
      </c>
      <c r="AZ563" t="s">
        <v>74</v>
      </c>
      <c r="BA563" t="s">
        <v>74</v>
      </c>
      <c r="BB563">
        <v>833</v>
      </c>
      <c r="BC563">
        <v>844</v>
      </c>
      <c r="BD563" t="s">
        <v>74</v>
      </c>
      <c r="BE563" t="s">
        <v>11369</v>
      </c>
      <c r="BF563" t="str">
        <f>HYPERLINK("http://dx.doi.org/10.1007/s00300-022-03027-2","http://dx.doi.org/10.1007/s00300-022-03027-2")</f>
        <v>http://dx.doi.org/10.1007/s00300-022-03027-2</v>
      </c>
      <c r="BG563" t="s">
        <v>74</v>
      </c>
      <c r="BH563" t="s">
        <v>7987</v>
      </c>
      <c r="BI563">
        <v>12</v>
      </c>
      <c r="BJ563" t="s">
        <v>539</v>
      </c>
      <c r="BK563" t="s">
        <v>101</v>
      </c>
      <c r="BL563" t="s">
        <v>540</v>
      </c>
      <c r="BM563" t="s">
        <v>8883</v>
      </c>
      <c r="BN563" t="s">
        <v>74</v>
      </c>
      <c r="BO563" t="s">
        <v>74</v>
      </c>
      <c r="BP563" t="s">
        <v>74</v>
      </c>
      <c r="BQ563" t="s">
        <v>74</v>
      </c>
      <c r="BR563" t="s">
        <v>103</v>
      </c>
      <c r="BS563" t="s">
        <v>11370</v>
      </c>
      <c r="BT563" t="str">
        <f>HYPERLINK("https%3A%2F%2Fwww.webofscience.com%2Fwos%2Fwoscc%2Ffull-record%2FWOS:000779474900001","View Full Record in Web of Science")</f>
        <v>View Full Record in Web of Science</v>
      </c>
    </row>
    <row r="564" spans="1:72" x14ac:dyDescent="0.15">
      <c r="A564" t="s">
        <v>72</v>
      </c>
      <c r="B564" t="s">
        <v>11371</v>
      </c>
      <c r="C564" t="s">
        <v>74</v>
      </c>
      <c r="D564" t="s">
        <v>74</v>
      </c>
      <c r="E564" t="s">
        <v>74</v>
      </c>
      <c r="F564" t="s">
        <v>11372</v>
      </c>
      <c r="G564" t="s">
        <v>74</v>
      </c>
      <c r="H564" t="s">
        <v>74</v>
      </c>
      <c r="I564" t="s">
        <v>11373</v>
      </c>
      <c r="J564" t="s">
        <v>11374</v>
      </c>
      <c r="K564" t="s">
        <v>74</v>
      </c>
      <c r="L564" t="s">
        <v>74</v>
      </c>
      <c r="M564" t="s">
        <v>78</v>
      </c>
      <c r="N564" t="s">
        <v>79</v>
      </c>
      <c r="O564" t="s">
        <v>74</v>
      </c>
      <c r="P564" t="s">
        <v>74</v>
      </c>
      <c r="Q564" t="s">
        <v>74</v>
      </c>
      <c r="R564" t="s">
        <v>74</v>
      </c>
      <c r="S564" t="s">
        <v>74</v>
      </c>
      <c r="T564" t="s">
        <v>11375</v>
      </c>
      <c r="U564" t="s">
        <v>11376</v>
      </c>
      <c r="V564" t="s">
        <v>11377</v>
      </c>
      <c r="W564" t="s">
        <v>11378</v>
      </c>
      <c r="X564" t="s">
        <v>11379</v>
      </c>
      <c r="Y564" t="s">
        <v>11380</v>
      </c>
      <c r="Z564" t="s">
        <v>11381</v>
      </c>
      <c r="AA564" t="s">
        <v>11382</v>
      </c>
      <c r="AB564" t="s">
        <v>11383</v>
      </c>
      <c r="AC564" t="s">
        <v>11384</v>
      </c>
      <c r="AD564" t="s">
        <v>4081</v>
      </c>
      <c r="AE564" t="s">
        <v>11385</v>
      </c>
      <c r="AF564" t="s">
        <v>74</v>
      </c>
      <c r="AG564">
        <v>34</v>
      </c>
      <c r="AH564">
        <v>1</v>
      </c>
      <c r="AI564">
        <v>1</v>
      </c>
      <c r="AJ564">
        <v>0</v>
      </c>
      <c r="AK564">
        <v>7</v>
      </c>
      <c r="AL564" t="s">
        <v>428</v>
      </c>
      <c r="AM564" t="s">
        <v>531</v>
      </c>
      <c r="AN564" t="s">
        <v>748</v>
      </c>
      <c r="AO564" t="s">
        <v>11386</v>
      </c>
      <c r="AP564" t="s">
        <v>11387</v>
      </c>
      <c r="AQ564" t="s">
        <v>74</v>
      </c>
      <c r="AR564" t="s">
        <v>11388</v>
      </c>
      <c r="AS564" t="s">
        <v>11389</v>
      </c>
      <c r="AT564" t="s">
        <v>11278</v>
      </c>
      <c r="AU564">
        <v>2022</v>
      </c>
      <c r="AV564">
        <v>940</v>
      </c>
      <c r="AW564" t="s">
        <v>74</v>
      </c>
      <c r="AX564" t="s">
        <v>74</v>
      </c>
      <c r="AY564" t="s">
        <v>74</v>
      </c>
      <c r="AZ564" t="s">
        <v>74</v>
      </c>
      <c r="BA564" t="s">
        <v>74</v>
      </c>
      <c r="BB564" t="s">
        <v>74</v>
      </c>
      <c r="BC564" t="s">
        <v>74</v>
      </c>
      <c r="BD564" t="s">
        <v>11390</v>
      </c>
      <c r="BE564" t="s">
        <v>11391</v>
      </c>
      <c r="BF564" t="str">
        <f>HYPERLINK("http://dx.doi.org/10.1017/jfm.2022.212","http://dx.doi.org/10.1017/jfm.2022.212")</f>
        <v>http://dx.doi.org/10.1017/jfm.2022.212</v>
      </c>
      <c r="BG564" t="s">
        <v>74</v>
      </c>
      <c r="BH564" t="s">
        <v>74</v>
      </c>
      <c r="BI564">
        <v>32</v>
      </c>
      <c r="BJ564" t="s">
        <v>11392</v>
      </c>
      <c r="BK564" t="s">
        <v>101</v>
      </c>
      <c r="BL564" t="s">
        <v>11393</v>
      </c>
      <c r="BM564" t="s">
        <v>11394</v>
      </c>
      <c r="BN564" t="s">
        <v>74</v>
      </c>
      <c r="BO564" t="s">
        <v>1033</v>
      </c>
      <c r="BP564" t="s">
        <v>74</v>
      </c>
      <c r="BQ564" t="s">
        <v>74</v>
      </c>
      <c r="BR564" t="s">
        <v>103</v>
      </c>
      <c r="BS564" t="s">
        <v>11395</v>
      </c>
      <c r="BT564" t="str">
        <f>HYPERLINK("https%3A%2F%2Fwww.webofscience.com%2Fwos%2Fwoscc%2Ffull-record%2FWOS:000778235900001","View Full Record in Web of Science")</f>
        <v>View Full Record in Web of Science</v>
      </c>
    </row>
    <row r="565" spans="1:72" x14ac:dyDescent="0.15">
      <c r="A565" t="s">
        <v>72</v>
      </c>
      <c r="B565" t="s">
        <v>11396</v>
      </c>
      <c r="C565" t="s">
        <v>74</v>
      </c>
      <c r="D565" t="s">
        <v>74</v>
      </c>
      <c r="E565" t="s">
        <v>74</v>
      </c>
      <c r="F565" t="s">
        <v>11397</v>
      </c>
      <c r="G565" t="s">
        <v>74</v>
      </c>
      <c r="H565" t="s">
        <v>74</v>
      </c>
      <c r="I565" t="s">
        <v>11398</v>
      </c>
      <c r="J565" t="s">
        <v>11399</v>
      </c>
      <c r="K565" t="s">
        <v>74</v>
      </c>
      <c r="L565" t="s">
        <v>74</v>
      </c>
      <c r="M565" t="s">
        <v>78</v>
      </c>
      <c r="N565" t="s">
        <v>79</v>
      </c>
      <c r="O565" t="s">
        <v>74</v>
      </c>
      <c r="P565" t="s">
        <v>74</v>
      </c>
      <c r="Q565" t="s">
        <v>74</v>
      </c>
      <c r="R565" t="s">
        <v>74</v>
      </c>
      <c r="S565" t="s">
        <v>74</v>
      </c>
      <c r="T565" t="s">
        <v>74</v>
      </c>
      <c r="U565" t="s">
        <v>11400</v>
      </c>
      <c r="V565" t="s">
        <v>11401</v>
      </c>
      <c r="W565" t="s">
        <v>11402</v>
      </c>
      <c r="X565" t="s">
        <v>11403</v>
      </c>
      <c r="Y565" t="s">
        <v>11404</v>
      </c>
      <c r="Z565" t="s">
        <v>11405</v>
      </c>
      <c r="AA565" t="s">
        <v>11406</v>
      </c>
      <c r="AB565" t="s">
        <v>11407</v>
      </c>
      <c r="AC565" t="s">
        <v>11408</v>
      </c>
      <c r="AD565" t="s">
        <v>11408</v>
      </c>
      <c r="AE565" t="s">
        <v>11409</v>
      </c>
      <c r="AF565" t="s">
        <v>74</v>
      </c>
      <c r="AG565">
        <v>85</v>
      </c>
      <c r="AH565">
        <v>3</v>
      </c>
      <c r="AI565">
        <v>3</v>
      </c>
      <c r="AJ565">
        <v>0</v>
      </c>
      <c r="AK565">
        <v>6</v>
      </c>
      <c r="AL565" t="s">
        <v>11410</v>
      </c>
      <c r="AM565" t="s">
        <v>11411</v>
      </c>
      <c r="AN565" t="s">
        <v>11412</v>
      </c>
      <c r="AO565" t="s">
        <v>11413</v>
      </c>
      <c r="AP565" t="s">
        <v>11414</v>
      </c>
      <c r="AQ565" t="s">
        <v>74</v>
      </c>
      <c r="AR565" t="s">
        <v>11415</v>
      </c>
      <c r="AS565" t="s">
        <v>11416</v>
      </c>
      <c r="AT565" t="s">
        <v>206</v>
      </c>
      <c r="AU565">
        <v>2022</v>
      </c>
      <c r="AV565">
        <v>149</v>
      </c>
      <c r="AW565" t="s">
        <v>3167</v>
      </c>
      <c r="AX565" t="s">
        <v>74</v>
      </c>
      <c r="AY565" t="s">
        <v>74</v>
      </c>
      <c r="AZ565" t="s">
        <v>74</v>
      </c>
      <c r="BA565" t="s">
        <v>74</v>
      </c>
      <c r="BB565">
        <v>119</v>
      </c>
      <c r="BC565">
        <v>130</v>
      </c>
      <c r="BD565" t="s">
        <v>74</v>
      </c>
      <c r="BE565" t="s">
        <v>11417</v>
      </c>
      <c r="BF565" t="str">
        <f>HYPERLINK("http://dx.doi.org/10.1007/s00704-022-04031-6","http://dx.doi.org/10.1007/s00704-022-04031-6")</f>
        <v>http://dx.doi.org/10.1007/s00704-022-04031-6</v>
      </c>
      <c r="BG565" t="s">
        <v>74</v>
      </c>
      <c r="BH565" t="s">
        <v>7987</v>
      </c>
      <c r="BI565">
        <v>12</v>
      </c>
      <c r="BJ565" t="s">
        <v>510</v>
      </c>
      <c r="BK565" t="s">
        <v>101</v>
      </c>
      <c r="BL565" t="s">
        <v>510</v>
      </c>
      <c r="BM565" t="s">
        <v>11418</v>
      </c>
      <c r="BN565" t="s">
        <v>74</v>
      </c>
      <c r="BO565" t="s">
        <v>74</v>
      </c>
      <c r="BP565" t="s">
        <v>74</v>
      </c>
      <c r="BQ565" t="s">
        <v>74</v>
      </c>
      <c r="BR565" t="s">
        <v>103</v>
      </c>
      <c r="BS565" t="s">
        <v>11419</v>
      </c>
      <c r="BT565" t="str">
        <f>HYPERLINK("https%3A%2F%2Fwww.webofscience.com%2Fwos%2Fwoscc%2Ffull-record%2FWOS:000779032400001","View Full Record in Web of Science")</f>
        <v>View Full Record in Web of Science</v>
      </c>
    </row>
    <row r="566" spans="1:72" x14ac:dyDescent="0.15">
      <c r="A566" t="s">
        <v>72</v>
      </c>
      <c r="B566" t="s">
        <v>11420</v>
      </c>
      <c r="C566" t="s">
        <v>74</v>
      </c>
      <c r="D566" t="s">
        <v>74</v>
      </c>
      <c r="E566" t="s">
        <v>74</v>
      </c>
      <c r="F566" t="s">
        <v>11421</v>
      </c>
      <c r="G566" t="s">
        <v>74</v>
      </c>
      <c r="H566" t="s">
        <v>74</v>
      </c>
      <c r="I566" t="s">
        <v>11422</v>
      </c>
      <c r="J566" t="s">
        <v>3260</v>
      </c>
      <c r="K566" t="s">
        <v>74</v>
      </c>
      <c r="L566" t="s">
        <v>74</v>
      </c>
      <c r="M566" t="s">
        <v>78</v>
      </c>
      <c r="N566" t="s">
        <v>79</v>
      </c>
      <c r="O566" t="s">
        <v>74</v>
      </c>
      <c r="P566" t="s">
        <v>74</v>
      </c>
      <c r="Q566" t="s">
        <v>74</v>
      </c>
      <c r="R566" t="s">
        <v>74</v>
      </c>
      <c r="S566" t="s">
        <v>74</v>
      </c>
      <c r="T566" t="s">
        <v>11423</v>
      </c>
      <c r="U566" t="s">
        <v>11424</v>
      </c>
      <c r="V566" t="s">
        <v>11425</v>
      </c>
      <c r="W566" t="s">
        <v>11426</v>
      </c>
      <c r="X566" t="s">
        <v>11427</v>
      </c>
      <c r="Y566" t="s">
        <v>11428</v>
      </c>
      <c r="Z566" t="s">
        <v>11429</v>
      </c>
      <c r="AA566" t="s">
        <v>11430</v>
      </c>
      <c r="AB566" t="s">
        <v>11431</v>
      </c>
      <c r="AC566" t="s">
        <v>11432</v>
      </c>
      <c r="AD566" t="s">
        <v>11433</v>
      </c>
      <c r="AE566" t="s">
        <v>11434</v>
      </c>
      <c r="AF566" t="s">
        <v>74</v>
      </c>
      <c r="AG566">
        <v>66</v>
      </c>
      <c r="AH566">
        <v>9</v>
      </c>
      <c r="AI566">
        <v>10</v>
      </c>
      <c r="AJ566">
        <v>10</v>
      </c>
      <c r="AK566">
        <v>21</v>
      </c>
      <c r="AL566" t="s">
        <v>257</v>
      </c>
      <c r="AM566" t="s">
        <v>258</v>
      </c>
      <c r="AN566" t="s">
        <v>259</v>
      </c>
      <c r="AO566" t="s">
        <v>3273</v>
      </c>
      <c r="AP566" t="s">
        <v>3274</v>
      </c>
      <c r="AQ566" t="s">
        <v>74</v>
      </c>
      <c r="AR566" t="s">
        <v>3275</v>
      </c>
      <c r="AS566" t="s">
        <v>3276</v>
      </c>
      <c r="AT566" t="s">
        <v>11435</v>
      </c>
      <c r="AU566">
        <v>2022</v>
      </c>
      <c r="AV566">
        <v>584</v>
      </c>
      <c r="AW566" t="s">
        <v>74</v>
      </c>
      <c r="AX566" t="s">
        <v>74</v>
      </c>
      <c r="AY566" t="s">
        <v>74</v>
      </c>
      <c r="AZ566" t="s">
        <v>74</v>
      </c>
      <c r="BA566" t="s">
        <v>74</v>
      </c>
      <c r="BB566" t="s">
        <v>74</v>
      </c>
      <c r="BC566" t="s">
        <v>74</v>
      </c>
      <c r="BD566">
        <v>117517</v>
      </c>
      <c r="BE566" t="s">
        <v>11436</v>
      </c>
      <c r="BF566" t="str">
        <f>HYPERLINK("http://dx.doi.org/10.1016/j.epsl.2022.117517","http://dx.doi.org/10.1016/j.epsl.2022.117517")</f>
        <v>http://dx.doi.org/10.1016/j.epsl.2022.117517</v>
      </c>
      <c r="BG566" t="s">
        <v>74</v>
      </c>
      <c r="BH566" t="s">
        <v>7987</v>
      </c>
      <c r="BI566">
        <v>10</v>
      </c>
      <c r="BJ566" t="s">
        <v>2144</v>
      </c>
      <c r="BK566" t="s">
        <v>101</v>
      </c>
      <c r="BL566" t="s">
        <v>2144</v>
      </c>
      <c r="BM566" t="s">
        <v>11437</v>
      </c>
      <c r="BN566" t="s">
        <v>74</v>
      </c>
      <c r="BO566" t="s">
        <v>267</v>
      </c>
      <c r="BP566" t="s">
        <v>74</v>
      </c>
      <c r="BQ566" t="s">
        <v>74</v>
      </c>
      <c r="BR566" t="s">
        <v>103</v>
      </c>
      <c r="BS566" t="s">
        <v>11438</v>
      </c>
      <c r="BT566" t="str">
        <f>HYPERLINK("https%3A%2F%2Fwww.webofscience.com%2Fwos%2Fwoscc%2Ffull-record%2FWOS:000820946400012","View Full Record in Web of Science")</f>
        <v>View Full Record in Web of Science</v>
      </c>
    </row>
    <row r="567" spans="1:72" x14ac:dyDescent="0.15">
      <c r="A567" t="s">
        <v>72</v>
      </c>
      <c r="B567" t="s">
        <v>11439</v>
      </c>
      <c r="C567" t="s">
        <v>74</v>
      </c>
      <c r="D567" t="s">
        <v>74</v>
      </c>
      <c r="E567" t="s">
        <v>74</v>
      </c>
      <c r="F567" t="s">
        <v>11440</v>
      </c>
      <c r="G567" t="s">
        <v>74</v>
      </c>
      <c r="H567" t="s">
        <v>74</v>
      </c>
      <c r="I567" t="s">
        <v>11441</v>
      </c>
      <c r="J567" t="s">
        <v>11442</v>
      </c>
      <c r="K567" t="s">
        <v>74</v>
      </c>
      <c r="L567" t="s">
        <v>74</v>
      </c>
      <c r="M567" t="s">
        <v>78</v>
      </c>
      <c r="N567" t="s">
        <v>79</v>
      </c>
      <c r="O567" t="s">
        <v>74</v>
      </c>
      <c r="P567" t="s">
        <v>74</v>
      </c>
      <c r="Q567" t="s">
        <v>74</v>
      </c>
      <c r="R567" t="s">
        <v>74</v>
      </c>
      <c r="S567" t="s">
        <v>74</v>
      </c>
      <c r="T567" t="s">
        <v>11443</v>
      </c>
      <c r="U567" t="s">
        <v>11444</v>
      </c>
      <c r="V567" t="s">
        <v>11445</v>
      </c>
      <c r="W567" t="s">
        <v>11446</v>
      </c>
      <c r="X567" t="s">
        <v>74</v>
      </c>
      <c r="Y567" t="s">
        <v>11447</v>
      </c>
      <c r="Z567" t="s">
        <v>11448</v>
      </c>
      <c r="AA567" t="s">
        <v>74</v>
      </c>
      <c r="AB567" t="s">
        <v>11449</v>
      </c>
      <c r="AC567" t="s">
        <v>74</v>
      </c>
      <c r="AD567" t="s">
        <v>74</v>
      </c>
      <c r="AE567" t="s">
        <v>74</v>
      </c>
      <c r="AF567" t="s">
        <v>74</v>
      </c>
      <c r="AG567">
        <v>91</v>
      </c>
      <c r="AH567">
        <v>3</v>
      </c>
      <c r="AI567">
        <v>3</v>
      </c>
      <c r="AJ567">
        <v>3</v>
      </c>
      <c r="AK567">
        <v>7</v>
      </c>
      <c r="AL567" t="s">
        <v>199</v>
      </c>
      <c r="AM567" t="s">
        <v>200</v>
      </c>
      <c r="AN567" t="s">
        <v>201</v>
      </c>
      <c r="AO567" t="s">
        <v>11450</v>
      </c>
      <c r="AP567" t="s">
        <v>11451</v>
      </c>
      <c r="AQ567" t="s">
        <v>74</v>
      </c>
      <c r="AR567" t="s">
        <v>11452</v>
      </c>
      <c r="AS567" t="s">
        <v>11453</v>
      </c>
      <c r="AT567" t="s">
        <v>5076</v>
      </c>
      <c r="AU567">
        <v>2022</v>
      </c>
      <c r="AV567">
        <v>190</v>
      </c>
      <c r="AW567" t="s">
        <v>74</v>
      </c>
      <c r="AX567" t="s">
        <v>74</v>
      </c>
      <c r="AY567" t="s">
        <v>74</v>
      </c>
      <c r="AZ567" t="s">
        <v>74</v>
      </c>
      <c r="BA567" t="s">
        <v>74</v>
      </c>
      <c r="BB567">
        <v>560</v>
      </c>
      <c r="BC567">
        <v>571</v>
      </c>
      <c r="BD567" t="s">
        <v>74</v>
      </c>
      <c r="BE567" t="s">
        <v>11454</v>
      </c>
      <c r="BF567" t="str">
        <f>HYPERLINK("http://dx.doi.org/10.1016/j.renene.2022.03.080","http://dx.doi.org/10.1016/j.renene.2022.03.080")</f>
        <v>http://dx.doi.org/10.1016/j.renene.2022.03.080</v>
      </c>
      <c r="BG567" t="s">
        <v>74</v>
      </c>
      <c r="BH567" t="s">
        <v>7987</v>
      </c>
      <c r="BI567">
        <v>12</v>
      </c>
      <c r="BJ567" t="s">
        <v>11455</v>
      </c>
      <c r="BK567" t="s">
        <v>101</v>
      </c>
      <c r="BL567" t="s">
        <v>11456</v>
      </c>
      <c r="BM567" t="s">
        <v>11457</v>
      </c>
      <c r="BN567" t="s">
        <v>74</v>
      </c>
      <c r="BO567" t="s">
        <v>74</v>
      </c>
      <c r="BP567" t="s">
        <v>74</v>
      </c>
      <c r="BQ567" t="s">
        <v>74</v>
      </c>
      <c r="BR567" t="s">
        <v>103</v>
      </c>
      <c r="BS567" t="s">
        <v>11458</v>
      </c>
      <c r="BT567" t="str">
        <f>HYPERLINK("https%3A%2F%2Fwww.webofscience.com%2Fwos%2Fwoscc%2Ffull-record%2FWOS:000793520500002","View Full Record in Web of Science")</f>
        <v>View Full Record in Web of Science</v>
      </c>
    </row>
    <row r="568" spans="1:72" x14ac:dyDescent="0.15">
      <c r="A568" t="s">
        <v>72</v>
      </c>
      <c r="B568" t="s">
        <v>11459</v>
      </c>
      <c r="C568" t="s">
        <v>74</v>
      </c>
      <c r="D568" t="s">
        <v>74</v>
      </c>
      <c r="E568" t="s">
        <v>74</v>
      </c>
      <c r="F568" t="s">
        <v>11460</v>
      </c>
      <c r="G568" t="s">
        <v>74</v>
      </c>
      <c r="H568" t="s">
        <v>74</v>
      </c>
      <c r="I568" t="s">
        <v>11461</v>
      </c>
      <c r="J568" t="s">
        <v>11462</v>
      </c>
      <c r="K568" t="s">
        <v>74</v>
      </c>
      <c r="L568" t="s">
        <v>74</v>
      </c>
      <c r="M568" t="s">
        <v>78</v>
      </c>
      <c r="N568" t="s">
        <v>79</v>
      </c>
      <c r="O568" t="s">
        <v>74</v>
      </c>
      <c r="P568" t="s">
        <v>74</v>
      </c>
      <c r="Q568" t="s">
        <v>74</v>
      </c>
      <c r="R568" t="s">
        <v>74</v>
      </c>
      <c r="S568" t="s">
        <v>74</v>
      </c>
      <c r="T568" t="s">
        <v>11463</v>
      </c>
      <c r="U568" t="s">
        <v>11464</v>
      </c>
      <c r="V568" t="s">
        <v>11465</v>
      </c>
      <c r="W568" t="s">
        <v>11466</v>
      </c>
      <c r="X568" t="s">
        <v>74</v>
      </c>
      <c r="Y568" t="s">
        <v>11467</v>
      </c>
      <c r="Z568" t="s">
        <v>11468</v>
      </c>
      <c r="AA568" t="s">
        <v>11469</v>
      </c>
      <c r="AB568" t="s">
        <v>11470</v>
      </c>
      <c r="AC568" t="s">
        <v>11471</v>
      </c>
      <c r="AD568" t="s">
        <v>11472</v>
      </c>
      <c r="AE568" t="s">
        <v>11473</v>
      </c>
      <c r="AF568" t="s">
        <v>74</v>
      </c>
      <c r="AG568">
        <v>104</v>
      </c>
      <c r="AH568">
        <v>7</v>
      </c>
      <c r="AI568">
        <v>7</v>
      </c>
      <c r="AJ568">
        <v>2</v>
      </c>
      <c r="AK568">
        <v>6</v>
      </c>
      <c r="AL568" t="s">
        <v>3228</v>
      </c>
      <c r="AM568" t="s">
        <v>200</v>
      </c>
      <c r="AN568" t="s">
        <v>3229</v>
      </c>
      <c r="AO568" t="s">
        <v>11474</v>
      </c>
      <c r="AP568" t="s">
        <v>11475</v>
      </c>
      <c r="AQ568" t="s">
        <v>74</v>
      </c>
      <c r="AR568" t="s">
        <v>11476</v>
      </c>
      <c r="AS568" t="s">
        <v>11477</v>
      </c>
      <c r="AT568" t="s">
        <v>4826</v>
      </c>
      <c r="AU568">
        <v>2022</v>
      </c>
      <c r="AV568">
        <v>223</v>
      </c>
      <c r="AW568" t="s">
        <v>74</v>
      </c>
      <c r="AX568" t="s">
        <v>74</v>
      </c>
      <c r="AY568" t="s">
        <v>74</v>
      </c>
      <c r="AZ568" t="s">
        <v>74</v>
      </c>
      <c r="BA568" t="s">
        <v>74</v>
      </c>
      <c r="BB568" t="s">
        <v>74</v>
      </c>
      <c r="BC568" t="s">
        <v>74</v>
      </c>
      <c r="BD568">
        <v>106146</v>
      </c>
      <c r="BE568" t="s">
        <v>11478</v>
      </c>
      <c r="BF568" t="str">
        <f>HYPERLINK("http://dx.doi.org/10.1016/j.ocecoaman.2022.106146","http://dx.doi.org/10.1016/j.ocecoaman.2022.106146")</f>
        <v>http://dx.doi.org/10.1016/j.ocecoaman.2022.106146</v>
      </c>
      <c r="BG568" t="s">
        <v>74</v>
      </c>
      <c r="BH568" t="s">
        <v>7987</v>
      </c>
      <c r="BI568">
        <v>10</v>
      </c>
      <c r="BJ568" t="s">
        <v>11479</v>
      </c>
      <c r="BK568" t="s">
        <v>956</v>
      </c>
      <c r="BL568" t="s">
        <v>11479</v>
      </c>
      <c r="BM568" t="s">
        <v>11480</v>
      </c>
      <c r="BN568" t="s">
        <v>74</v>
      </c>
      <c r="BO568" t="s">
        <v>74</v>
      </c>
      <c r="BP568" t="s">
        <v>74</v>
      </c>
      <c r="BQ568" t="s">
        <v>74</v>
      </c>
      <c r="BR568" t="s">
        <v>103</v>
      </c>
      <c r="BS568" t="s">
        <v>11481</v>
      </c>
      <c r="BT568" t="str">
        <f>HYPERLINK("https%3A%2F%2Fwww.webofscience.com%2Fwos%2Fwoscc%2Ffull-record%2FWOS:000793283100004","View Full Record in Web of Science")</f>
        <v>View Full Record in Web of Science</v>
      </c>
    </row>
    <row r="569" spans="1:72" x14ac:dyDescent="0.15">
      <c r="A569" t="s">
        <v>72</v>
      </c>
      <c r="B569" t="s">
        <v>11482</v>
      </c>
      <c r="C569" t="s">
        <v>74</v>
      </c>
      <c r="D569" t="s">
        <v>74</v>
      </c>
      <c r="E569" t="s">
        <v>74</v>
      </c>
      <c r="F569" t="s">
        <v>11483</v>
      </c>
      <c r="G569" t="s">
        <v>74</v>
      </c>
      <c r="H569" t="s">
        <v>74</v>
      </c>
      <c r="I569" t="s">
        <v>11484</v>
      </c>
      <c r="J569" t="s">
        <v>11224</v>
      </c>
      <c r="K569" t="s">
        <v>74</v>
      </c>
      <c r="L569" t="s">
        <v>74</v>
      </c>
      <c r="M569" t="s">
        <v>78</v>
      </c>
      <c r="N569" t="s">
        <v>79</v>
      </c>
      <c r="O569" t="s">
        <v>74</v>
      </c>
      <c r="P569" t="s">
        <v>74</v>
      </c>
      <c r="Q569" t="s">
        <v>74</v>
      </c>
      <c r="R569" t="s">
        <v>74</v>
      </c>
      <c r="S569" t="s">
        <v>74</v>
      </c>
      <c r="T569" t="s">
        <v>11485</v>
      </c>
      <c r="U569" t="s">
        <v>11486</v>
      </c>
      <c r="V569" t="s">
        <v>11487</v>
      </c>
      <c r="W569" t="s">
        <v>11488</v>
      </c>
      <c r="X569" t="s">
        <v>893</v>
      </c>
      <c r="Y569" t="s">
        <v>11489</v>
      </c>
      <c r="Z569" t="s">
        <v>11490</v>
      </c>
      <c r="AA569" t="s">
        <v>11491</v>
      </c>
      <c r="AB569" t="s">
        <v>11492</v>
      </c>
      <c r="AC569" t="s">
        <v>11493</v>
      </c>
      <c r="AD569" t="s">
        <v>11494</v>
      </c>
      <c r="AE569" t="s">
        <v>11495</v>
      </c>
      <c r="AF569" t="s">
        <v>74</v>
      </c>
      <c r="AG569">
        <v>84</v>
      </c>
      <c r="AH569">
        <v>4</v>
      </c>
      <c r="AI569">
        <v>4</v>
      </c>
      <c r="AJ569">
        <v>0</v>
      </c>
      <c r="AK569">
        <v>4</v>
      </c>
      <c r="AL569" t="s">
        <v>5485</v>
      </c>
      <c r="AM569" t="s">
        <v>401</v>
      </c>
      <c r="AN569" t="s">
        <v>5486</v>
      </c>
      <c r="AO569" t="s">
        <v>11236</v>
      </c>
      <c r="AP569" t="s">
        <v>11237</v>
      </c>
      <c r="AQ569" t="s">
        <v>74</v>
      </c>
      <c r="AR569" t="s">
        <v>11238</v>
      </c>
      <c r="AS569" t="s">
        <v>11239</v>
      </c>
      <c r="AT569" t="s">
        <v>5076</v>
      </c>
      <c r="AU569">
        <v>2022</v>
      </c>
      <c r="AV569">
        <v>124</v>
      </c>
      <c r="AW569" t="s">
        <v>74</v>
      </c>
      <c r="AX569" t="s">
        <v>74</v>
      </c>
      <c r="AY569" t="s">
        <v>74</v>
      </c>
      <c r="AZ569" t="s">
        <v>74</v>
      </c>
      <c r="BA569" t="s">
        <v>74</v>
      </c>
      <c r="BB569">
        <v>28</v>
      </c>
      <c r="BC569">
        <v>38</v>
      </c>
      <c r="BD569" t="s">
        <v>74</v>
      </c>
      <c r="BE569" t="s">
        <v>11496</v>
      </c>
      <c r="BF569" t="str">
        <f>HYPERLINK("http://dx.doi.org/10.1016/j.fsi.2022.03.024","http://dx.doi.org/10.1016/j.fsi.2022.03.024")</f>
        <v>http://dx.doi.org/10.1016/j.fsi.2022.03.024</v>
      </c>
      <c r="BG569" t="s">
        <v>74</v>
      </c>
      <c r="BH569" t="s">
        <v>7987</v>
      </c>
      <c r="BI569">
        <v>11</v>
      </c>
      <c r="BJ569" t="s">
        <v>11241</v>
      </c>
      <c r="BK569" t="s">
        <v>101</v>
      </c>
      <c r="BL569" t="s">
        <v>11241</v>
      </c>
      <c r="BM569" t="s">
        <v>11497</v>
      </c>
      <c r="BN569">
        <v>35367374</v>
      </c>
      <c r="BO569" t="s">
        <v>74</v>
      </c>
      <c r="BP569" t="s">
        <v>74</v>
      </c>
      <c r="BQ569" t="s">
        <v>74</v>
      </c>
      <c r="BR569" t="s">
        <v>103</v>
      </c>
      <c r="BS569" t="s">
        <v>11498</v>
      </c>
      <c r="BT569" t="str">
        <f>HYPERLINK("https%3A%2F%2Fwww.webofscience.com%2Fwos%2Fwoscc%2Ffull-record%2FWOS:000793042900004","View Full Record in Web of Science")</f>
        <v>View Full Record in Web of Science</v>
      </c>
    </row>
    <row r="570" spans="1:72" x14ac:dyDescent="0.15">
      <c r="A570" t="s">
        <v>72</v>
      </c>
      <c r="B570" t="s">
        <v>11499</v>
      </c>
      <c r="C570" t="s">
        <v>74</v>
      </c>
      <c r="D570" t="s">
        <v>74</v>
      </c>
      <c r="E570" t="s">
        <v>74</v>
      </c>
      <c r="F570" t="s">
        <v>11500</v>
      </c>
      <c r="G570" t="s">
        <v>74</v>
      </c>
      <c r="H570" t="s">
        <v>74</v>
      </c>
      <c r="I570" t="s">
        <v>11501</v>
      </c>
      <c r="J570" t="s">
        <v>272</v>
      </c>
      <c r="K570" t="s">
        <v>74</v>
      </c>
      <c r="L570" t="s">
        <v>74</v>
      </c>
      <c r="M570" t="s">
        <v>78</v>
      </c>
      <c r="N570" t="s">
        <v>79</v>
      </c>
      <c r="O570" t="s">
        <v>74</v>
      </c>
      <c r="P570" t="s">
        <v>74</v>
      </c>
      <c r="Q570" t="s">
        <v>74</v>
      </c>
      <c r="R570" t="s">
        <v>74</v>
      </c>
      <c r="S570" t="s">
        <v>74</v>
      </c>
      <c r="T570" t="s">
        <v>11502</v>
      </c>
      <c r="U570" t="s">
        <v>11503</v>
      </c>
      <c r="V570" t="s">
        <v>11504</v>
      </c>
      <c r="W570" t="s">
        <v>11505</v>
      </c>
      <c r="X570" t="s">
        <v>11506</v>
      </c>
      <c r="Y570" t="s">
        <v>11507</v>
      </c>
      <c r="Z570" t="s">
        <v>11508</v>
      </c>
      <c r="AA570" t="s">
        <v>11509</v>
      </c>
      <c r="AB570" t="s">
        <v>11510</v>
      </c>
      <c r="AC570" t="s">
        <v>11511</v>
      </c>
      <c r="AD570" t="s">
        <v>11512</v>
      </c>
      <c r="AE570" t="s">
        <v>11513</v>
      </c>
      <c r="AF570" t="s">
        <v>74</v>
      </c>
      <c r="AG570">
        <v>65</v>
      </c>
      <c r="AH570">
        <v>8</v>
      </c>
      <c r="AI570">
        <v>8</v>
      </c>
      <c r="AJ570">
        <v>3</v>
      </c>
      <c r="AK570">
        <v>7</v>
      </c>
      <c r="AL570" t="s">
        <v>285</v>
      </c>
      <c r="AM570" t="s">
        <v>286</v>
      </c>
      <c r="AN570" t="s">
        <v>287</v>
      </c>
      <c r="AO570" t="s">
        <v>74</v>
      </c>
      <c r="AP570" t="s">
        <v>288</v>
      </c>
      <c r="AQ570" t="s">
        <v>74</v>
      </c>
      <c r="AR570" t="s">
        <v>289</v>
      </c>
      <c r="AS570" t="s">
        <v>290</v>
      </c>
      <c r="AT570" t="s">
        <v>11514</v>
      </c>
      <c r="AU570">
        <v>2022</v>
      </c>
      <c r="AV570">
        <v>13</v>
      </c>
      <c r="AW570" t="s">
        <v>74</v>
      </c>
      <c r="AX570" t="s">
        <v>74</v>
      </c>
      <c r="AY570" t="s">
        <v>74</v>
      </c>
      <c r="AZ570" t="s">
        <v>74</v>
      </c>
      <c r="BA570" t="s">
        <v>74</v>
      </c>
      <c r="BB570" t="s">
        <v>74</v>
      </c>
      <c r="BC570" t="s">
        <v>74</v>
      </c>
      <c r="BD570">
        <v>827863</v>
      </c>
      <c r="BE570" t="s">
        <v>11515</v>
      </c>
      <c r="BF570" t="str">
        <f>HYPERLINK("http://dx.doi.org/10.3389/fmicb.2022.827863","http://dx.doi.org/10.3389/fmicb.2022.827863")</f>
        <v>http://dx.doi.org/10.3389/fmicb.2022.827863</v>
      </c>
      <c r="BG570" t="s">
        <v>74</v>
      </c>
      <c r="BH570" t="s">
        <v>74</v>
      </c>
      <c r="BI570">
        <v>12</v>
      </c>
      <c r="BJ570" t="s">
        <v>293</v>
      </c>
      <c r="BK570" t="s">
        <v>101</v>
      </c>
      <c r="BL570" t="s">
        <v>293</v>
      </c>
      <c r="BM570" t="s">
        <v>11516</v>
      </c>
      <c r="BN570">
        <v>35444618</v>
      </c>
      <c r="BO570" t="s">
        <v>1533</v>
      </c>
      <c r="BP570" t="s">
        <v>74</v>
      </c>
      <c r="BQ570" t="s">
        <v>74</v>
      </c>
      <c r="BR570" t="s">
        <v>103</v>
      </c>
      <c r="BS570" t="s">
        <v>11517</v>
      </c>
      <c r="BT570" t="str">
        <f>HYPERLINK("https%3A%2F%2Fwww.webofscience.com%2Fwos%2Fwoscc%2Ffull-record%2FWOS:000790478800001","View Full Record in Web of Science")</f>
        <v>View Full Record in Web of Science</v>
      </c>
    </row>
    <row r="571" spans="1:72" x14ac:dyDescent="0.15">
      <c r="A571" t="s">
        <v>72</v>
      </c>
      <c r="B571" t="s">
        <v>11518</v>
      </c>
      <c r="C571" t="s">
        <v>74</v>
      </c>
      <c r="D571" t="s">
        <v>74</v>
      </c>
      <c r="E571" t="s">
        <v>74</v>
      </c>
      <c r="F571" t="s">
        <v>11519</v>
      </c>
      <c r="G571" t="s">
        <v>74</v>
      </c>
      <c r="H571" t="s">
        <v>74</v>
      </c>
      <c r="I571" t="s">
        <v>11520</v>
      </c>
      <c r="J571" t="s">
        <v>3837</v>
      </c>
      <c r="K571" t="s">
        <v>74</v>
      </c>
      <c r="L571" t="s">
        <v>74</v>
      </c>
      <c r="M571" t="s">
        <v>78</v>
      </c>
      <c r="N571" t="s">
        <v>79</v>
      </c>
      <c r="O571" t="s">
        <v>74</v>
      </c>
      <c r="P571" t="s">
        <v>74</v>
      </c>
      <c r="Q571" t="s">
        <v>74</v>
      </c>
      <c r="R571" t="s">
        <v>74</v>
      </c>
      <c r="S571" t="s">
        <v>74</v>
      </c>
      <c r="T571" t="s">
        <v>74</v>
      </c>
      <c r="U571" t="s">
        <v>11521</v>
      </c>
      <c r="V571" t="s">
        <v>11522</v>
      </c>
      <c r="W571" t="s">
        <v>11523</v>
      </c>
      <c r="X571" t="s">
        <v>11524</v>
      </c>
      <c r="Y571" t="s">
        <v>11525</v>
      </c>
      <c r="Z571" t="s">
        <v>11526</v>
      </c>
      <c r="AA571" t="s">
        <v>11527</v>
      </c>
      <c r="AB571" t="s">
        <v>11528</v>
      </c>
      <c r="AC571" t="s">
        <v>11529</v>
      </c>
      <c r="AD571" t="s">
        <v>11530</v>
      </c>
      <c r="AE571" t="s">
        <v>11531</v>
      </c>
      <c r="AF571" t="s">
        <v>74</v>
      </c>
      <c r="AG571">
        <v>50</v>
      </c>
      <c r="AH571">
        <v>3</v>
      </c>
      <c r="AI571">
        <v>3</v>
      </c>
      <c r="AJ571">
        <v>2</v>
      </c>
      <c r="AK571">
        <v>8</v>
      </c>
      <c r="AL571" t="s">
        <v>117</v>
      </c>
      <c r="AM571" t="s">
        <v>118</v>
      </c>
      <c r="AN571" t="s">
        <v>119</v>
      </c>
      <c r="AO571" t="s">
        <v>3849</v>
      </c>
      <c r="AP571" t="s">
        <v>3850</v>
      </c>
      <c r="AQ571" t="s">
        <v>74</v>
      </c>
      <c r="AR571" t="s">
        <v>3851</v>
      </c>
      <c r="AS571" t="s">
        <v>3852</v>
      </c>
      <c r="AT571" t="s">
        <v>11514</v>
      </c>
      <c r="AU571">
        <v>2022</v>
      </c>
      <c r="AV571">
        <v>22</v>
      </c>
      <c r="AW571">
        <v>7</v>
      </c>
      <c r="AX571" t="s">
        <v>74</v>
      </c>
      <c r="AY571" t="s">
        <v>74</v>
      </c>
      <c r="AZ571" t="s">
        <v>74</v>
      </c>
      <c r="BA571" t="s">
        <v>74</v>
      </c>
      <c r="BB571">
        <v>4277</v>
      </c>
      <c r="BC571">
        <v>4302</v>
      </c>
      <c r="BD571" t="s">
        <v>74</v>
      </c>
      <c r="BE571" t="s">
        <v>11532</v>
      </c>
      <c r="BF571" t="str">
        <f>HYPERLINK("http://dx.doi.org/10.5194/acp-22-4277-2022","http://dx.doi.org/10.5194/acp-22-4277-2022")</f>
        <v>http://dx.doi.org/10.5194/acp-22-4277-2022</v>
      </c>
      <c r="BG571" t="s">
        <v>74</v>
      </c>
      <c r="BH571" t="s">
        <v>74</v>
      </c>
      <c r="BI571">
        <v>26</v>
      </c>
      <c r="BJ571" t="s">
        <v>1797</v>
      </c>
      <c r="BK571" t="s">
        <v>101</v>
      </c>
      <c r="BL571" t="s">
        <v>957</v>
      </c>
      <c r="BM571" t="s">
        <v>11533</v>
      </c>
      <c r="BN571" t="s">
        <v>74</v>
      </c>
      <c r="BO571" t="s">
        <v>11534</v>
      </c>
      <c r="BP571" t="s">
        <v>74</v>
      </c>
      <c r="BQ571" t="s">
        <v>74</v>
      </c>
      <c r="BR571" t="s">
        <v>103</v>
      </c>
      <c r="BS571" t="s">
        <v>11535</v>
      </c>
      <c r="BT571" t="str">
        <f>HYPERLINK("https%3A%2F%2Fwww.webofscience.com%2Fwos%2Fwoscc%2Ffull-record%2FWOS:000780748100001","View Full Record in Web of Science")</f>
        <v>View Full Record in Web of Science</v>
      </c>
    </row>
    <row r="572" spans="1:72" x14ac:dyDescent="0.15">
      <c r="A572" t="s">
        <v>72</v>
      </c>
      <c r="B572" t="s">
        <v>11536</v>
      </c>
      <c r="C572" t="s">
        <v>74</v>
      </c>
      <c r="D572" t="s">
        <v>74</v>
      </c>
      <c r="E572" t="s">
        <v>74</v>
      </c>
      <c r="F572" t="s">
        <v>11537</v>
      </c>
      <c r="G572" t="s">
        <v>74</v>
      </c>
      <c r="H572" t="s">
        <v>74</v>
      </c>
      <c r="I572" t="s">
        <v>11538</v>
      </c>
      <c r="J572" t="s">
        <v>5138</v>
      </c>
      <c r="K572" t="s">
        <v>74</v>
      </c>
      <c r="L572" t="s">
        <v>74</v>
      </c>
      <c r="M572" t="s">
        <v>78</v>
      </c>
      <c r="N572" t="s">
        <v>79</v>
      </c>
      <c r="O572" t="s">
        <v>74</v>
      </c>
      <c r="P572" t="s">
        <v>74</v>
      </c>
      <c r="Q572" t="s">
        <v>74</v>
      </c>
      <c r="R572" t="s">
        <v>74</v>
      </c>
      <c r="S572" t="s">
        <v>74</v>
      </c>
      <c r="T572" t="s">
        <v>74</v>
      </c>
      <c r="U572" t="s">
        <v>11539</v>
      </c>
      <c r="V572" t="s">
        <v>11540</v>
      </c>
      <c r="W572" t="s">
        <v>11541</v>
      </c>
      <c r="X572" t="s">
        <v>11542</v>
      </c>
      <c r="Y572" t="s">
        <v>11543</v>
      </c>
      <c r="Z572" t="s">
        <v>11544</v>
      </c>
      <c r="AA572" t="s">
        <v>11545</v>
      </c>
      <c r="AB572" t="s">
        <v>11546</v>
      </c>
      <c r="AC572" t="s">
        <v>11547</v>
      </c>
      <c r="AD572" t="s">
        <v>11548</v>
      </c>
      <c r="AE572" t="s">
        <v>11549</v>
      </c>
      <c r="AF572" t="s">
        <v>74</v>
      </c>
      <c r="AG572">
        <v>38</v>
      </c>
      <c r="AH572">
        <v>18</v>
      </c>
      <c r="AI572">
        <v>19</v>
      </c>
      <c r="AJ572">
        <v>4</v>
      </c>
      <c r="AK572">
        <v>49</v>
      </c>
      <c r="AL572" t="s">
        <v>455</v>
      </c>
      <c r="AM572" t="s">
        <v>456</v>
      </c>
      <c r="AN572" t="s">
        <v>457</v>
      </c>
      <c r="AO572" t="s">
        <v>5146</v>
      </c>
      <c r="AP572" t="s">
        <v>74</v>
      </c>
      <c r="AQ572" t="s">
        <v>74</v>
      </c>
      <c r="AR572" t="s">
        <v>5147</v>
      </c>
      <c r="AS572" t="s">
        <v>5148</v>
      </c>
      <c r="AT572" t="s">
        <v>537</v>
      </c>
      <c r="AU572">
        <v>2022</v>
      </c>
      <c r="AV572">
        <v>6</v>
      </c>
      <c r="AW572">
        <v>6</v>
      </c>
      <c r="AX572" t="s">
        <v>74</v>
      </c>
      <c r="AY572" t="s">
        <v>74</v>
      </c>
      <c r="AZ572" t="s">
        <v>74</v>
      </c>
      <c r="BA572" t="s">
        <v>74</v>
      </c>
      <c r="BB572">
        <v>701</v>
      </c>
      <c r="BC572" t="s">
        <v>462</v>
      </c>
      <c r="BD572" t="s">
        <v>74</v>
      </c>
      <c r="BE572" t="s">
        <v>11550</v>
      </c>
      <c r="BF572" t="str">
        <f>HYPERLINK("http://dx.doi.org/10.1038/s41559-022-01710-5","http://dx.doi.org/10.1038/s41559-022-01710-5")</f>
        <v>http://dx.doi.org/10.1038/s41559-022-01710-5</v>
      </c>
      <c r="BG572" t="s">
        <v>74</v>
      </c>
      <c r="BH572" t="s">
        <v>7987</v>
      </c>
      <c r="BI572">
        <v>13</v>
      </c>
      <c r="BJ572" t="s">
        <v>5150</v>
      </c>
      <c r="BK572" t="s">
        <v>101</v>
      </c>
      <c r="BL572" t="s">
        <v>5151</v>
      </c>
      <c r="BM572" t="s">
        <v>9101</v>
      </c>
      <c r="BN572">
        <v>35379939</v>
      </c>
      <c r="BO572" t="s">
        <v>4923</v>
      </c>
      <c r="BP572" t="s">
        <v>74</v>
      </c>
      <c r="BQ572" t="s">
        <v>74</v>
      </c>
      <c r="BR572" t="s">
        <v>103</v>
      </c>
      <c r="BS572" t="s">
        <v>11551</v>
      </c>
      <c r="BT572" t="str">
        <f>HYPERLINK("https%3A%2F%2Fwww.webofscience.com%2Fwos%2Fwoscc%2Ffull-record%2FWOS:000778049900001","View Full Record in Web of Science")</f>
        <v>View Full Record in Web of Science</v>
      </c>
    </row>
    <row r="573" spans="1:72" x14ac:dyDescent="0.15">
      <c r="A573" t="s">
        <v>72</v>
      </c>
      <c r="B573" t="s">
        <v>11552</v>
      </c>
      <c r="C573" t="s">
        <v>74</v>
      </c>
      <c r="D573" t="s">
        <v>74</v>
      </c>
      <c r="E573" t="s">
        <v>74</v>
      </c>
      <c r="F573" t="s">
        <v>11553</v>
      </c>
      <c r="G573" t="s">
        <v>74</v>
      </c>
      <c r="H573" t="s">
        <v>74</v>
      </c>
      <c r="I573" t="s">
        <v>11554</v>
      </c>
      <c r="J573" t="s">
        <v>3837</v>
      </c>
      <c r="K573" t="s">
        <v>74</v>
      </c>
      <c r="L573" t="s">
        <v>74</v>
      </c>
      <c r="M573" t="s">
        <v>78</v>
      </c>
      <c r="N573" t="s">
        <v>79</v>
      </c>
      <c r="O573" t="s">
        <v>74</v>
      </c>
      <c r="P573" t="s">
        <v>74</v>
      </c>
      <c r="Q573" t="s">
        <v>74</v>
      </c>
      <c r="R573" t="s">
        <v>74</v>
      </c>
      <c r="S573" t="s">
        <v>74</v>
      </c>
      <c r="T573" t="s">
        <v>74</v>
      </c>
      <c r="U573" t="s">
        <v>11555</v>
      </c>
      <c r="V573" t="s">
        <v>11556</v>
      </c>
      <c r="W573" t="s">
        <v>11557</v>
      </c>
      <c r="X573" t="s">
        <v>11558</v>
      </c>
      <c r="Y573" t="s">
        <v>11559</v>
      </c>
      <c r="Z573" t="s">
        <v>11560</v>
      </c>
      <c r="AA573" t="s">
        <v>11561</v>
      </c>
      <c r="AB573" t="s">
        <v>11562</v>
      </c>
      <c r="AC573" t="s">
        <v>11563</v>
      </c>
      <c r="AD573" t="s">
        <v>11564</v>
      </c>
      <c r="AE573" t="s">
        <v>11565</v>
      </c>
      <c r="AF573" t="s">
        <v>74</v>
      </c>
      <c r="AG573">
        <v>54</v>
      </c>
      <c r="AH573">
        <v>17</v>
      </c>
      <c r="AI573">
        <v>17</v>
      </c>
      <c r="AJ573">
        <v>2</v>
      </c>
      <c r="AK573">
        <v>8</v>
      </c>
      <c r="AL573" t="s">
        <v>117</v>
      </c>
      <c r="AM573" t="s">
        <v>118</v>
      </c>
      <c r="AN573" t="s">
        <v>119</v>
      </c>
      <c r="AO573" t="s">
        <v>3849</v>
      </c>
      <c r="AP573" t="s">
        <v>3850</v>
      </c>
      <c r="AQ573" t="s">
        <v>74</v>
      </c>
      <c r="AR573" t="s">
        <v>3851</v>
      </c>
      <c r="AS573" t="s">
        <v>3852</v>
      </c>
      <c r="AT573" t="s">
        <v>11514</v>
      </c>
      <c r="AU573">
        <v>2022</v>
      </c>
      <c r="AV573">
        <v>22</v>
      </c>
      <c r="AW573">
        <v>7</v>
      </c>
      <c r="AX573" t="s">
        <v>74</v>
      </c>
      <c r="AY573" t="s">
        <v>74</v>
      </c>
      <c r="AZ573" t="s">
        <v>74</v>
      </c>
      <c r="BA573" t="s">
        <v>74</v>
      </c>
      <c r="BB573">
        <v>4303</v>
      </c>
      <c r="BC573">
        <v>4322</v>
      </c>
      <c r="BD573" t="s">
        <v>74</v>
      </c>
      <c r="BE573" t="s">
        <v>11566</v>
      </c>
      <c r="BF573" t="str">
        <f>HYPERLINK("http://dx.doi.org/10.5194/acp-22-4303-2022","http://dx.doi.org/10.5194/acp-22-4303-2022")</f>
        <v>http://dx.doi.org/10.5194/acp-22-4303-2022</v>
      </c>
      <c r="BG573" t="s">
        <v>74</v>
      </c>
      <c r="BH573" t="s">
        <v>74</v>
      </c>
      <c r="BI573">
        <v>20</v>
      </c>
      <c r="BJ573" t="s">
        <v>1797</v>
      </c>
      <c r="BK573" t="s">
        <v>101</v>
      </c>
      <c r="BL573" t="s">
        <v>957</v>
      </c>
      <c r="BM573" t="s">
        <v>11567</v>
      </c>
      <c r="BN573" t="s">
        <v>74</v>
      </c>
      <c r="BO573" t="s">
        <v>6363</v>
      </c>
      <c r="BP573" t="s">
        <v>74</v>
      </c>
      <c r="BQ573" t="s">
        <v>74</v>
      </c>
      <c r="BR573" t="s">
        <v>103</v>
      </c>
      <c r="BS573" t="s">
        <v>11568</v>
      </c>
      <c r="BT573" t="str">
        <f>HYPERLINK("https%3A%2F%2Fwww.webofscience.com%2Fwos%2Fwoscc%2Ffull-record%2FWOS:000777608100001","View Full Record in Web of Science")</f>
        <v>View Full Record in Web of Science</v>
      </c>
    </row>
    <row r="574" spans="1:72" x14ac:dyDescent="0.15">
      <c r="A574" t="s">
        <v>72</v>
      </c>
      <c r="B574" t="s">
        <v>11569</v>
      </c>
      <c r="C574" t="s">
        <v>74</v>
      </c>
      <c r="D574" t="s">
        <v>74</v>
      </c>
      <c r="E574" t="s">
        <v>74</v>
      </c>
      <c r="F574" t="s">
        <v>11570</v>
      </c>
      <c r="G574" t="s">
        <v>74</v>
      </c>
      <c r="H574" t="s">
        <v>74</v>
      </c>
      <c r="I574" t="s">
        <v>11571</v>
      </c>
      <c r="J574" t="s">
        <v>692</v>
      </c>
      <c r="K574" t="s">
        <v>74</v>
      </c>
      <c r="L574" t="s">
        <v>74</v>
      </c>
      <c r="M574" t="s">
        <v>78</v>
      </c>
      <c r="N574" t="s">
        <v>79</v>
      </c>
      <c r="O574" t="s">
        <v>74</v>
      </c>
      <c r="P574" t="s">
        <v>74</v>
      </c>
      <c r="Q574" t="s">
        <v>74</v>
      </c>
      <c r="R574" t="s">
        <v>74</v>
      </c>
      <c r="S574" t="s">
        <v>74</v>
      </c>
      <c r="T574" t="s">
        <v>11572</v>
      </c>
      <c r="U574" t="s">
        <v>11573</v>
      </c>
      <c r="V574" t="s">
        <v>11574</v>
      </c>
      <c r="W574" t="s">
        <v>11575</v>
      </c>
      <c r="X574" t="s">
        <v>11576</v>
      </c>
      <c r="Y574" t="s">
        <v>11577</v>
      </c>
      <c r="Z574" t="s">
        <v>11578</v>
      </c>
      <c r="AA574" t="s">
        <v>11579</v>
      </c>
      <c r="AB574" t="s">
        <v>11580</v>
      </c>
      <c r="AC574" t="s">
        <v>11581</v>
      </c>
      <c r="AD574" t="s">
        <v>11582</v>
      </c>
      <c r="AE574" t="s">
        <v>11583</v>
      </c>
      <c r="AF574" t="s">
        <v>74</v>
      </c>
      <c r="AG574">
        <v>144</v>
      </c>
      <c r="AH574">
        <v>4</v>
      </c>
      <c r="AI574">
        <v>4</v>
      </c>
      <c r="AJ574">
        <v>3</v>
      </c>
      <c r="AK574">
        <v>15</v>
      </c>
      <c r="AL574" t="s">
        <v>428</v>
      </c>
      <c r="AM574" t="s">
        <v>531</v>
      </c>
      <c r="AN574" t="s">
        <v>748</v>
      </c>
      <c r="AO574" t="s">
        <v>703</v>
      </c>
      <c r="AP574" t="s">
        <v>704</v>
      </c>
      <c r="AQ574" t="s">
        <v>74</v>
      </c>
      <c r="AR574" t="s">
        <v>705</v>
      </c>
      <c r="AS574" t="s">
        <v>706</v>
      </c>
      <c r="AT574" t="s">
        <v>537</v>
      </c>
      <c r="AU574">
        <v>2022</v>
      </c>
      <c r="AV574">
        <v>34</v>
      </c>
      <c r="AW574">
        <v>3</v>
      </c>
      <c r="AX574" t="s">
        <v>74</v>
      </c>
      <c r="AY574" t="s">
        <v>74</v>
      </c>
      <c r="AZ574" t="s">
        <v>74</v>
      </c>
      <c r="BA574" t="s">
        <v>74</v>
      </c>
      <c r="BB574">
        <v>226</v>
      </c>
      <c r="BC574">
        <v>245</v>
      </c>
      <c r="BD574" t="s">
        <v>11584</v>
      </c>
      <c r="BE574" t="s">
        <v>11585</v>
      </c>
      <c r="BF574" t="str">
        <f>HYPERLINK("http://dx.doi.org/10.1017/S0954102022000037","http://dx.doi.org/10.1017/S0954102022000037")</f>
        <v>http://dx.doi.org/10.1017/S0954102022000037</v>
      </c>
      <c r="BG574" t="s">
        <v>74</v>
      </c>
      <c r="BH574" t="s">
        <v>7987</v>
      </c>
      <c r="BI574">
        <v>20</v>
      </c>
      <c r="BJ574" t="s">
        <v>708</v>
      </c>
      <c r="BK574" t="s">
        <v>101</v>
      </c>
      <c r="BL574" t="s">
        <v>709</v>
      </c>
      <c r="BM574" t="s">
        <v>1570</v>
      </c>
      <c r="BN574" t="s">
        <v>74</v>
      </c>
      <c r="BO574" t="s">
        <v>74</v>
      </c>
      <c r="BP574" t="s">
        <v>74</v>
      </c>
      <c r="BQ574" t="s">
        <v>74</v>
      </c>
      <c r="BR574" t="s">
        <v>103</v>
      </c>
      <c r="BS574" t="s">
        <v>11586</v>
      </c>
      <c r="BT574" t="str">
        <f>HYPERLINK("https%3A%2F%2Fwww.webofscience.com%2Fwos%2Fwoscc%2Ffull-record%2FWOS:000777855300001","View Full Record in Web of Science")</f>
        <v>View Full Record in Web of Science</v>
      </c>
    </row>
    <row r="575" spans="1:72" x14ac:dyDescent="0.15">
      <c r="A575" t="s">
        <v>72</v>
      </c>
      <c r="B575" t="s">
        <v>11587</v>
      </c>
      <c r="C575" t="s">
        <v>74</v>
      </c>
      <c r="D575" t="s">
        <v>74</v>
      </c>
      <c r="E575" t="s">
        <v>74</v>
      </c>
      <c r="F575" t="s">
        <v>11588</v>
      </c>
      <c r="G575" t="s">
        <v>74</v>
      </c>
      <c r="H575" t="s">
        <v>74</v>
      </c>
      <c r="I575" t="s">
        <v>11589</v>
      </c>
      <c r="J575" t="s">
        <v>11590</v>
      </c>
      <c r="K575" t="s">
        <v>74</v>
      </c>
      <c r="L575" t="s">
        <v>74</v>
      </c>
      <c r="M575" t="s">
        <v>78</v>
      </c>
      <c r="N575" t="s">
        <v>79</v>
      </c>
      <c r="O575" t="s">
        <v>74</v>
      </c>
      <c r="P575" t="s">
        <v>74</v>
      </c>
      <c r="Q575" t="s">
        <v>74</v>
      </c>
      <c r="R575" t="s">
        <v>74</v>
      </c>
      <c r="S575" t="s">
        <v>74</v>
      </c>
      <c r="T575" t="s">
        <v>11591</v>
      </c>
      <c r="U575" t="s">
        <v>11592</v>
      </c>
      <c r="V575" t="s">
        <v>11593</v>
      </c>
      <c r="W575" t="s">
        <v>11594</v>
      </c>
      <c r="X575" t="s">
        <v>9219</v>
      </c>
      <c r="Y575" t="s">
        <v>11595</v>
      </c>
      <c r="Z575" t="s">
        <v>11596</v>
      </c>
      <c r="AA575" t="s">
        <v>11597</v>
      </c>
      <c r="AB575" t="s">
        <v>11598</v>
      </c>
      <c r="AC575" t="s">
        <v>893</v>
      </c>
      <c r="AD575" t="s">
        <v>893</v>
      </c>
      <c r="AE575" t="s">
        <v>11599</v>
      </c>
      <c r="AF575" t="s">
        <v>74</v>
      </c>
      <c r="AG575">
        <v>52</v>
      </c>
      <c r="AH575">
        <v>0</v>
      </c>
      <c r="AI575">
        <v>0</v>
      </c>
      <c r="AJ575">
        <v>0</v>
      </c>
      <c r="AK575">
        <v>5</v>
      </c>
      <c r="AL575" t="s">
        <v>4862</v>
      </c>
      <c r="AM575" t="s">
        <v>4863</v>
      </c>
      <c r="AN575" t="s">
        <v>4864</v>
      </c>
      <c r="AO575" t="s">
        <v>11600</v>
      </c>
      <c r="AP575" t="s">
        <v>11601</v>
      </c>
      <c r="AQ575" t="s">
        <v>74</v>
      </c>
      <c r="AR575" t="s">
        <v>11602</v>
      </c>
      <c r="AS575" t="s">
        <v>11603</v>
      </c>
      <c r="AT575" t="s">
        <v>11604</v>
      </c>
      <c r="AU575">
        <v>2022</v>
      </c>
      <c r="AV575">
        <v>29</v>
      </c>
      <c r="AW575">
        <v>2</v>
      </c>
      <c r="AX575" t="s">
        <v>74</v>
      </c>
      <c r="AY575" t="s">
        <v>74</v>
      </c>
      <c r="AZ575" t="s">
        <v>74</v>
      </c>
      <c r="BA575" t="s">
        <v>74</v>
      </c>
      <c r="BB575">
        <v>159</v>
      </c>
      <c r="BC575">
        <v>176</v>
      </c>
      <c r="BD575" t="s">
        <v>74</v>
      </c>
      <c r="BE575" t="s">
        <v>11605</v>
      </c>
      <c r="BF575" t="str">
        <f>HYPERLINK("http://dx.doi.org/10.1080/14486563.2022.2077847","http://dx.doi.org/10.1080/14486563.2022.2077847")</f>
        <v>http://dx.doi.org/10.1080/14486563.2022.2077847</v>
      </c>
      <c r="BG575" t="s">
        <v>74</v>
      </c>
      <c r="BH575" t="s">
        <v>7987</v>
      </c>
      <c r="BI575">
        <v>18</v>
      </c>
      <c r="BJ575" t="s">
        <v>11606</v>
      </c>
      <c r="BK575" t="s">
        <v>9665</v>
      </c>
      <c r="BL575" t="s">
        <v>840</v>
      </c>
      <c r="BM575" t="s">
        <v>11607</v>
      </c>
      <c r="BN575" t="s">
        <v>74</v>
      </c>
      <c r="BO575" t="s">
        <v>74</v>
      </c>
      <c r="BP575" t="s">
        <v>74</v>
      </c>
      <c r="BQ575" t="s">
        <v>74</v>
      </c>
      <c r="BR575" t="s">
        <v>103</v>
      </c>
      <c r="BS575" t="s">
        <v>11608</v>
      </c>
      <c r="BT575" t="str">
        <f>HYPERLINK("https%3A%2F%2Fwww.webofscience.com%2Fwos%2Fwoscc%2Ffull-record%2FWOS:000808482300001","View Full Record in Web of Science")</f>
        <v>View Full Record in Web of Science</v>
      </c>
    </row>
    <row r="576" spans="1:72" x14ac:dyDescent="0.15">
      <c r="A576" t="s">
        <v>72</v>
      </c>
      <c r="B576" t="s">
        <v>11609</v>
      </c>
      <c r="C576" t="s">
        <v>74</v>
      </c>
      <c r="D576" t="s">
        <v>74</v>
      </c>
      <c r="E576" t="s">
        <v>74</v>
      </c>
      <c r="F576" t="s">
        <v>11610</v>
      </c>
      <c r="G576" t="s">
        <v>74</v>
      </c>
      <c r="H576" t="s">
        <v>74</v>
      </c>
      <c r="I576" t="s">
        <v>11611</v>
      </c>
      <c r="J576" t="s">
        <v>6189</v>
      </c>
      <c r="K576" t="s">
        <v>74</v>
      </c>
      <c r="L576" t="s">
        <v>74</v>
      </c>
      <c r="M576" t="s">
        <v>78</v>
      </c>
      <c r="N576" t="s">
        <v>79</v>
      </c>
      <c r="O576" t="s">
        <v>74</v>
      </c>
      <c r="P576" t="s">
        <v>74</v>
      </c>
      <c r="Q576" t="s">
        <v>74</v>
      </c>
      <c r="R576" t="s">
        <v>74</v>
      </c>
      <c r="S576" t="s">
        <v>74</v>
      </c>
      <c r="T576" t="s">
        <v>11612</v>
      </c>
      <c r="U576" t="s">
        <v>11613</v>
      </c>
      <c r="V576" t="s">
        <v>11614</v>
      </c>
      <c r="W576" t="s">
        <v>11615</v>
      </c>
      <c r="X576" t="s">
        <v>11616</v>
      </c>
      <c r="Y576" t="s">
        <v>11617</v>
      </c>
      <c r="Z576" t="s">
        <v>11618</v>
      </c>
      <c r="AA576" t="s">
        <v>74</v>
      </c>
      <c r="AB576" t="s">
        <v>74</v>
      </c>
      <c r="AC576" t="s">
        <v>11619</v>
      </c>
      <c r="AD576" t="s">
        <v>11620</v>
      </c>
      <c r="AE576" t="s">
        <v>11621</v>
      </c>
      <c r="AF576" t="s">
        <v>74</v>
      </c>
      <c r="AG576">
        <v>12</v>
      </c>
      <c r="AH576">
        <v>0</v>
      </c>
      <c r="AI576">
        <v>0</v>
      </c>
      <c r="AJ576">
        <v>0</v>
      </c>
      <c r="AK576">
        <v>3</v>
      </c>
      <c r="AL576" t="s">
        <v>4862</v>
      </c>
      <c r="AM576" t="s">
        <v>4863</v>
      </c>
      <c r="AN576" t="s">
        <v>4864</v>
      </c>
      <c r="AO576" t="s">
        <v>74</v>
      </c>
      <c r="AP576" t="s">
        <v>6202</v>
      </c>
      <c r="AQ576" t="s">
        <v>74</v>
      </c>
      <c r="AR576" t="s">
        <v>6203</v>
      </c>
      <c r="AS576" t="s">
        <v>6204</v>
      </c>
      <c r="AT576" t="s">
        <v>11604</v>
      </c>
      <c r="AU576">
        <v>2022</v>
      </c>
      <c r="AV576">
        <v>7</v>
      </c>
      <c r="AW576">
        <v>4</v>
      </c>
      <c r="AX576" t="s">
        <v>74</v>
      </c>
      <c r="AY576" t="s">
        <v>74</v>
      </c>
      <c r="AZ576" t="s">
        <v>74</v>
      </c>
      <c r="BA576" t="s">
        <v>74</v>
      </c>
      <c r="BB576">
        <v>683</v>
      </c>
      <c r="BC576">
        <v>685</v>
      </c>
      <c r="BD576" t="s">
        <v>74</v>
      </c>
      <c r="BE576" t="s">
        <v>11622</v>
      </c>
      <c r="BF576" t="str">
        <f>HYPERLINK("http://dx.doi.org/10.1080/23802359.2021.1909435","http://dx.doi.org/10.1080/23802359.2021.1909435")</f>
        <v>http://dx.doi.org/10.1080/23802359.2021.1909435</v>
      </c>
      <c r="BG576" t="s">
        <v>74</v>
      </c>
      <c r="BH576" t="s">
        <v>74</v>
      </c>
      <c r="BI576">
        <v>3</v>
      </c>
      <c r="BJ576" t="s">
        <v>2023</v>
      </c>
      <c r="BK576" t="s">
        <v>101</v>
      </c>
      <c r="BL576" t="s">
        <v>2023</v>
      </c>
      <c r="BM576" t="s">
        <v>11623</v>
      </c>
      <c r="BN576">
        <v>35478861</v>
      </c>
      <c r="BO576" t="s">
        <v>1533</v>
      </c>
      <c r="BP576" t="s">
        <v>74</v>
      </c>
      <c r="BQ576" t="s">
        <v>74</v>
      </c>
      <c r="BR576" t="s">
        <v>103</v>
      </c>
      <c r="BS576" t="s">
        <v>11624</v>
      </c>
      <c r="BT576" t="str">
        <f>HYPERLINK("https%3A%2F%2Fwww.webofscience.com%2Fwos%2Fwoscc%2Ffull-record%2FWOS:000786546600001","View Full Record in Web of Science")</f>
        <v>View Full Record in Web of Science</v>
      </c>
    </row>
    <row r="577" spans="1:72" x14ac:dyDescent="0.15">
      <c r="A577" t="s">
        <v>72</v>
      </c>
      <c r="B577" t="s">
        <v>11625</v>
      </c>
      <c r="C577" t="s">
        <v>74</v>
      </c>
      <c r="D577" t="s">
        <v>74</v>
      </c>
      <c r="E577" t="s">
        <v>74</v>
      </c>
      <c r="F577" t="s">
        <v>11626</v>
      </c>
      <c r="G577" t="s">
        <v>74</v>
      </c>
      <c r="H577" t="s">
        <v>74</v>
      </c>
      <c r="I577" t="s">
        <v>11627</v>
      </c>
      <c r="J577" t="s">
        <v>11628</v>
      </c>
      <c r="K577" t="s">
        <v>74</v>
      </c>
      <c r="L577" t="s">
        <v>74</v>
      </c>
      <c r="M577" t="s">
        <v>78</v>
      </c>
      <c r="N577" t="s">
        <v>79</v>
      </c>
      <c r="O577" t="s">
        <v>74</v>
      </c>
      <c r="P577" t="s">
        <v>74</v>
      </c>
      <c r="Q577" t="s">
        <v>74</v>
      </c>
      <c r="R577" t="s">
        <v>74</v>
      </c>
      <c r="S577" t="s">
        <v>74</v>
      </c>
      <c r="T577" t="s">
        <v>11629</v>
      </c>
      <c r="U577" t="s">
        <v>11630</v>
      </c>
      <c r="V577" t="s">
        <v>11631</v>
      </c>
      <c r="W577" t="s">
        <v>11632</v>
      </c>
      <c r="X577" t="s">
        <v>11633</v>
      </c>
      <c r="Y577" t="s">
        <v>11634</v>
      </c>
      <c r="Z577" t="s">
        <v>11635</v>
      </c>
      <c r="AA577" t="s">
        <v>11636</v>
      </c>
      <c r="AB577" t="s">
        <v>11637</v>
      </c>
      <c r="AC577" t="s">
        <v>11638</v>
      </c>
      <c r="AD577" t="s">
        <v>11639</v>
      </c>
      <c r="AE577" t="s">
        <v>11640</v>
      </c>
      <c r="AF577" t="s">
        <v>74</v>
      </c>
      <c r="AG577">
        <v>98</v>
      </c>
      <c r="AH577">
        <v>4</v>
      </c>
      <c r="AI577">
        <v>4</v>
      </c>
      <c r="AJ577">
        <v>1</v>
      </c>
      <c r="AK577">
        <v>8</v>
      </c>
      <c r="AL577" t="s">
        <v>3228</v>
      </c>
      <c r="AM577" t="s">
        <v>200</v>
      </c>
      <c r="AN577" t="s">
        <v>3229</v>
      </c>
      <c r="AO577" t="s">
        <v>11641</v>
      </c>
      <c r="AP577" t="s">
        <v>11642</v>
      </c>
      <c r="AQ577" t="s">
        <v>74</v>
      </c>
      <c r="AR577" t="s">
        <v>11643</v>
      </c>
      <c r="AS577" t="s">
        <v>11644</v>
      </c>
      <c r="AT577" t="s">
        <v>8316</v>
      </c>
      <c r="AU577">
        <v>2022</v>
      </c>
      <c r="AV577">
        <v>176</v>
      </c>
      <c r="AW577" t="s">
        <v>74</v>
      </c>
      <c r="AX577" t="s">
        <v>74</v>
      </c>
      <c r="AY577" t="s">
        <v>74</v>
      </c>
      <c r="AZ577" t="s">
        <v>74</v>
      </c>
      <c r="BA577" t="s">
        <v>74</v>
      </c>
      <c r="BB577" t="s">
        <v>74</v>
      </c>
      <c r="BC577" t="s">
        <v>74</v>
      </c>
      <c r="BD577">
        <v>105614</v>
      </c>
      <c r="BE577" t="s">
        <v>11645</v>
      </c>
      <c r="BF577" t="str">
        <f>HYPERLINK("http://dx.doi.org/10.1016/j.marenvres.2022.105614","http://dx.doi.org/10.1016/j.marenvres.2022.105614")</f>
        <v>http://dx.doi.org/10.1016/j.marenvres.2022.105614</v>
      </c>
      <c r="BG577" t="s">
        <v>74</v>
      </c>
      <c r="BH577" t="s">
        <v>7987</v>
      </c>
      <c r="BI577">
        <v>10</v>
      </c>
      <c r="BJ577" t="s">
        <v>11646</v>
      </c>
      <c r="BK577" t="s">
        <v>101</v>
      </c>
      <c r="BL577" t="s">
        <v>11647</v>
      </c>
      <c r="BM577" t="s">
        <v>11648</v>
      </c>
      <c r="BN577">
        <v>35381507</v>
      </c>
      <c r="BO577" t="s">
        <v>74</v>
      </c>
      <c r="BP577" t="s">
        <v>74</v>
      </c>
      <c r="BQ577" t="s">
        <v>74</v>
      </c>
      <c r="BR577" t="s">
        <v>103</v>
      </c>
      <c r="BS577" t="s">
        <v>11649</v>
      </c>
      <c r="BT577" t="str">
        <f>HYPERLINK("https%3A%2F%2Fwww.webofscience.com%2Fwos%2Fwoscc%2Ffull-record%2FWOS:000795140000010","View Full Record in Web of Science")</f>
        <v>View Full Record in Web of Science</v>
      </c>
    </row>
    <row r="578" spans="1:72" x14ac:dyDescent="0.15">
      <c r="A578" t="s">
        <v>72</v>
      </c>
      <c r="B578" t="s">
        <v>11650</v>
      </c>
      <c r="C578" t="s">
        <v>74</v>
      </c>
      <c r="D578" t="s">
        <v>74</v>
      </c>
      <c r="E578" t="s">
        <v>74</v>
      </c>
      <c r="F578" t="s">
        <v>11651</v>
      </c>
      <c r="G578" t="s">
        <v>74</v>
      </c>
      <c r="H578" t="s">
        <v>74</v>
      </c>
      <c r="I578" t="s">
        <v>11652</v>
      </c>
      <c r="J578" t="s">
        <v>11653</v>
      </c>
      <c r="K578" t="s">
        <v>74</v>
      </c>
      <c r="L578" t="s">
        <v>74</v>
      </c>
      <c r="M578" t="s">
        <v>78</v>
      </c>
      <c r="N578" t="s">
        <v>79</v>
      </c>
      <c r="O578" t="s">
        <v>74</v>
      </c>
      <c r="P578" t="s">
        <v>74</v>
      </c>
      <c r="Q578" t="s">
        <v>74</v>
      </c>
      <c r="R578" t="s">
        <v>74</v>
      </c>
      <c r="S578" t="s">
        <v>74</v>
      </c>
      <c r="T578" t="s">
        <v>11654</v>
      </c>
      <c r="U578" t="s">
        <v>11655</v>
      </c>
      <c r="V578" t="s">
        <v>11656</v>
      </c>
      <c r="W578" t="s">
        <v>11657</v>
      </c>
      <c r="X578" t="s">
        <v>11658</v>
      </c>
      <c r="Y578" t="s">
        <v>11659</v>
      </c>
      <c r="Z578" t="s">
        <v>11660</v>
      </c>
      <c r="AA578" t="s">
        <v>11661</v>
      </c>
      <c r="AB578" t="s">
        <v>11662</v>
      </c>
      <c r="AC578" t="s">
        <v>11663</v>
      </c>
      <c r="AD578" t="s">
        <v>11664</v>
      </c>
      <c r="AE578" t="s">
        <v>11665</v>
      </c>
      <c r="AF578" t="s">
        <v>74</v>
      </c>
      <c r="AG578">
        <v>83</v>
      </c>
      <c r="AH578">
        <v>5</v>
      </c>
      <c r="AI578">
        <v>5</v>
      </c>
      <c r="AJ578">
        <v>3</v>
      </c>
      <c r="AK578">
        <v>17</v>
      </c>
      <c r="AL578" t="s">
        <v>530</v>
      </c>
      <c r="AM578" t="s">
        <v>1121</v>
      </c>
      <c r="AN578" t="s">
        <v>1122</v>
      </c>
      <c r="AO578" t="s">
        <v>11666</v>
      </c>
      <c r="AP578" t="s">
        <v>11667</v>
      </c>
      <c r="AQ578" t="s">
        <v>74</v>
      </c>
      <c r="AR578" t="s">
        <v>11653</v>
      </c>
      <c r="AS578" t="s">
        <v>11668</v>
      </c>
      <c r="AT578" t="s">
        <v>537</v>
      </c>
      <c r="AU578">
        <v>2022</v>
      </c>
      <c r="AV578">
        <v>849</v>
      </c>
      <c r="AW578">
        <v>10</v>
      </c>
      <c r="AX578" t="s">
        <v>74</v>
      </c>
      <c r="AY578" t="s">
        <v>74</v>
      </c>
      <c r="AZ578" t="s">
        <v>74</v>
      </c>
      <c r="BA578" t="s">
        <v>74</v>
      </c>
      <c r="BB578">
        <v>2317</v>
      </c>
      <c r="BC578">
        <v>2333</v>
      </c>
      <c r="BD578" t="s">
        <v>74</v>
      </c>
      <c r="BE578" t="s">
        <v>11669</v>
      </c>
      <c r="BF578" t="str">
        <f>HYPERLINK("http://dx.doi.org/10.1007/s10750-022-04871-3","http://dx.doi.org/10.1007/s10750-022-04871-3")</f>
        <v>http://dx.doi.org/10.1007/s10750-022-04871-3</v>
      </c>
      <c r="BG578" t="s">
        <v>74</v>
      </c>
      <c r="BH578" t="s">
        <v>7987</v>
      </c>
      <c r="BI578">
        <v>17</v>
      </c>
      <c r="BJ578" t="s">
        <v>1696</v>
      </c>
      <c r="BK578" t="s">
        <v>101</v>
      </c>
      <c r="BL578" t="s">
        <v>1696</v>
      </c>
      <c r="BM578" t="s">
        <v>11670</v>
      </c>
      <c r="BN578" t="s">
        <v>74</v>
      </c>
      <c r="BO578" t="s">
        <v>74</v>
      </c>
      <c r="BP578" t="s">
        <v>74</v>
      </c>
      <c r="BQ578" t="s">
        <v>74</v>
      </c>
      <c r="BR578" t="s">
        <v>103</v>
      </c>
      <c r="BS578" t="s">
        <v>11671</v>
      </c>
      <c r="BT578" t="str">
        <f>HYPERLINK("https%3A%2F%2Fwww.webofscience.com%2Fwos%2Fwoscc%2Ffull-record%2FWOS:000777380600001","View Full Record in Web of Science")</f>
        <v>View Full Record in Web of Science</v>
      </c>
    </row>
    <row r="579" spans="1:72" x14ac:dyDescent="0.15">
      <c r="A579" t="s">
        <v>72</v>
      </c>
      <c r="B579" t="s">
        <v>11672</v>
      </c>
      <c r="C579" t="s">
        <v>74</v>
      </c>
      <c r="D579" t="s">
        <v>74</v>
      </c>
      <c r="E579" t="s">
        <v>74</v>
      </c>
      <c r="F579" t="s">
        <v>11673</v>
      </c>
      <c r="G579" t="s">
        <v>74</v>
      </c>
      <c r="H579" t="s">
        <v>74</v>
      </c>
      <c r="I579" t="s">
        <v>11674</v>
      </c>
      <c r="J579" t="s">
        <v>11675</v>
      </c>
      <c r="K579" t="s">
        <v>74</v>
      </c>
      <c r="L579" t="s">
        <v>74</v>
      </c>
      <c r="M579" t="s">
        <v>78</v>
      </c>
      <c r="N579" t="s">
        <v>79</v>
      </c>
      <c r="O579" t="s">
        <v>74</v>
      </c>
      <c r="P579" t="s">
        <v>74</v>
      </c>
      <c r="Q579" t="s">
        <v>74</v>
      </c>
      <c r="R579" t="s">
        <v>74</v>
      </c>
      <c r="S579" t="s">
        <v>74</v>
      </c>
      <c r="T579" t="s">
        <v>11676</v>
      </c>
      <c r="U579" t="s">
        <v>11677</v>
      </c>
      <c r="V579" t="s">
        <v>11678</v>
      </c>
      <c r="W579" t="s">
        <v>11679</v>
      </c>
      <c r="X579" t="s">
        <v>11680</v>
      </c>
      <c r="Y579" t="s">
        <v>11681</v>
      </c>
      <c r="Z579" t="s">
        <v>11682</v>
      </c>
      <c r="AA579" t="s">
        <v>74</v>
      </c>
      <c r="AB579" t="s">
        <v>74</v>
      </c>
      <c r="AC579" t="s">
        <v>74</v>
      </c>
      <c r="AD579" t="s">
        <v>74</v>
      </c>
      <c r="AE579" t="s">
        <v>74</v>
      </c>
      <c r="AF579" t="s">
        <v>74</v>
      </c>
      <c r="AG579">
        <v>32</v>
      </c>
      <c r="AH579">
        <v>1</v>
      </c>
      <c r="AI579">
        <v>1</v>
      </c>
      <c r="AJ579">
        <v>2</v>
      </c>
      <c r="AK579">
        <v>10</v>
      </c>
      <c r="AL579" t="s">
        <v>9679</v>
      </c>
      <c r="AM579" t="s">
        <v>4863</v>
      </c>
      <c r="AN579" t="s">
        <v>9680</v>
      </c>
      <c r="AO579" t="s">
        <v>11683</v>
      </c>
      <c r="AP579" t="s">
        <v>11684</v>
      </c>
      <c r="AQ579" t="s">
        <v>74</v>
      </c>
      <c r="AR579" t="s">
        <v>11685</v>
      </c>
      <c r="AS579" t="s">
        <v>11686</v>
      </c>
      <c r="AT579" t="s">
        <v>6182</v>
      </c>
      <c r="AU579">
        <v>2022</v>
      </c>
      <c r="AV579">
        <v>76</v>
      </c>
      <c r="AW579">
        <v>3</v>
      </c>
      <c r="AX579" t="s">
        <v>74</v>
      </c>
      <c r="AY579" t="s">
        <v>74</v>
      </c>
      <c r="AZ579" t="s">
        <v>772</v>
      </c>
      <c r="BA579" t="s">
        <v>74</v>
      </c>
      <c r="BB579">
        <v>324</v>
      </c>
      <c r="BC579">
        <v>339</v>
      </c>
      <c r="BD579" t="s">
        <v>74</v>
      </c>
      <c r="BE579" t="s">
        <v>11687</v>
      </c>
      <c r="BF579" t="str">
        <f>HYPERLINK("http://dx.doi.org/10.1080/10357718.2022.2057917","http://dx.doi.org/10.1080/10357718.2022.2057917")</f>
        <v>http://dx.doi.org/10.1080/10357718.2022.2057917</v>
      </c>
      <c r="BG579" t="s">
        <v>74</v>
      </c>
      <c r="BH579" t="s">
        <v>7987</v>
      </c>
      <c r="BI579">
        <v>16</v>
      </c>
      <c r="BJ579" t="s">
        <v>11688</v>
      </c>
      <c r="BK579" t="s">
        <v>9665</v>
      </c>
      <c r="BL579" t="s">
        <v>11688</v>
      </c>
      <c r="BM579" t="s">
        <v>11689</v>
      </c>
      <c r="BN579" t="s">
        <v>74</v>
      </c>
      <c r="BO579" t="s">
        <v>74</v>
      </c>
      <c r="BP579" t="s">
        <v>74</v>
      </c>
      <c r="BQ579" t="s">
        <v>74</v>
      </c>
      <c r="BR579" t="s">
        <v>103</v>
      </c>
      <c r="BS579" t="s">
        <v>11690</v>
      </c>
      <c r="BT579" t="str">
        <f>HYPERLINK("https%3A%2F%2Fwww.webofscience.com%2Fwos%2Fwoscc%2Ffull-record%2FWOS:000777164800001","View Full Record in Web of Science")</f>
        <v>View Full Record in Web of Science</v>
      </c>
    </row>
    <row r="580" spans="1:72" x14ac:dyDescent="0.15">
      <c r="A580" t="s">
        <v>72</v>
      </c>
      <c r="B580" t="s">
        <v>11691</v>
      </c>
      <c r="C580" t="s">
        <v>74</v>
      </c>
      <c r="D580" t="s">
        <v>74</v>
      </c>
      <c r="E580" t="s">
        <v>74</v>
      </c>
      <c r="F580" t="s">
        <v>11692</v>
      </c>
      <c r="G580" t="s">
        <v>74</v>
      </c>
      <c r="H580" t="s">
        <v>74</v>
      </c>
      <c r="I580" t="s">
        <v>11693</v>
      </c>
      <c r="J580" t="s">
        <v>11675</v>
      </c>
      <c r="K580" t="s">
        <v>74</v>
      </c>
      <c r="L580" t="s">
        <v>74</v>
      </c>
      <c r="M580" t="s">
        <v>78</v>
      </c>
      <c r="N580" t="s">
        <v>79</v>
      </c>
      <c r="O580" t="s">
        <v>74</v>
      </c>
      <c r="P580" t="s">
        <v>74</v>
      </c>
      <c r="Q580" t="s">
        <v>74</v>
      </c>
      <c r="R580" t="s">
        <v>74</v>
      </c>
      <c r="S580" t="s">
        <v>74</v>
      </c>
      <c r="T580" t="s">
        <v>74</v>
      </c>
      <c r="U580" t="s">
        <v>74</v>
      </c>
      <c r="V580" t="s">
        <v>74</v>
      </c>
      <c r="W580" t="s">
        <v>11694</v>
      </c>
      <c r="X580" t="s">
        <v>11695</v>
      </c>
      <c r="Y580" t="s">
        <v>11696</v>
      </c>
      <c r="Z580" t="s">
        <v>11682</v>
      </c>
      <c r="AA580" t="s">
        <v>74</v>
      </c>
      <c r="AB580" t="s">
        <v>11697</v>
      </c>
      <c r="AC580" t="s">
        <v>74</v>
      </c>
      <c r="AD580" t="s">
        <v>74</v>
      </c>
      <c r="AE580" t="s">
        <v>74</v>
      </c>
      <c r="AF580" t="s">
        <v>74</v>
      </c>
      <c r="AG580">
        <v>0</v>
      </c>
      <c r="AH580">
        <v>2</v>
      </c>
      <c r="AI580">
        <v>2</v>
      </c>
      <c r="AJ580">
        <v>0</v>
      </c>
      <c r="AK580">
        <v>4</v>
      </c>
      <c r="AL580" t="s">
        <v>9679</v>
      </c>
      <c r="AM580" t="s">
        <v>4863</v>
      </c>
      <c r="AN580" t="s">
        <v>9680</v>
      </c>
      <c r="AO580" t="s">
        <v>11683</v>
      </c>
      <c r="AP580" t="s">
        <v>11684</v>
      </c>
      <c r="AQ580" t="s">
        <v>74</v>
      </c>
      <c r="AR580" t="s">
        <v>11685</v>
      </c>
      <c r="AS580" t="s">
        <v>11686</v>
      </c>
      <c r="AT580" t="s">
        <v>6182</v>
      </c>
      <c r="AU580">
        <v>2022</v>
      </c>
      <c r="AV580">
        <v>76</v>
      </c>
      <c r="AW580">
        <v>3</v>
      </c>
      <c r="AX580" t="s">
        <v>74</v>
      </c>
      <c r="AY580" t="s">
        <v>74</v>
      </c>
      <c r="AZ580" t="s">
        <v>772</v>
      </c>
      <c r="BA580" t="s">
        <v>74</v>
      </c>
      <c r="BB580">
        <v>245</v>
      </c>
      <c r="BC580">
        <v>247</v>
      </c>
      <c r="BD580" t="s">
        <v>74</v>
      </c>
      <c r="BE580" t="s">
        <v>11698</v>
      </c>
      <c r="BF580" t="str">
        <f>HYPERLINK("http://dx.doi.org/10.1080/10357718.2022.2057919","http://dx.doi.org/10.1080/10357718.2022.2057919")</f>
        <v>http://dx.doi.org/10.1080/10357718.2022.2057919</v>
      </c>
      <c r="BG580" t="s">
        <v>74</v>
      </c>
      <c r="BH580" t="s">
        <v>7987</v>
      </c>
      <c r="BI580">
        <v>3</v>
      </c>
      <c r="BJ580" t="s">
        <v>11688</v>
      </c>
      <c r="BK580" t="s">
        <v>9665</v>
      </c>
      <c r="BL580" t="s">
        <v>11688</v>
      </c>
      <c r="BM580" t="s">
        <v>11689</v>
      </c>
      <c r="BN580" t="s">
        <v>74</v>
      </c>
      <c r="BO580" t="s">
        <v>74</v>
      </c>
      <c r="BP580" t="s">
        <v>74</v>
      </c>
      <c r="BQ580" t="s">
        <v>74</v>
      </c>
      <c r="BR580" t="s">
        <v>103</v>
      </c>
      <c r="BS580" t="s">
        <v>11699</v>
      </c>
      <c r="BT580" t="str">
        <f>HYPERLINK("https%3A%2F%2Fwww.webofscience.com%2Fwos%2Fwoscc%2Ffull-record%2FWOS:000777090900001","View Full Record in Web of Science")</f>
        <v>View Full Record in Web of Science</v>
      </c>
    </row>
    <row r="581" spans="1:72" x14ac:dyDescent="0.15">
      <c r="A581" t="s">
        <v>72</v>
      </c>
      <c r="B581" t="s">
        <v>11700</v>
      </c>
      <c r="C581" t="s">
        <v>74</v>
      </c>
      <c r="D581" t="s">
        <v>74</v>
      </c>
      <c r="E581" t="s">
        <v>74</v>
      </c>
      <c r="F581" t="s">
        <v>11701</v>
      </c>
      <c r="G581" t="s">
        <v>74</v>
      </c>
      <c r="H581" t="s">
        <v>74</v>
      </c>
      <c r="I581" t="s">
        <v>11702</v>
      </c>
      <c r="J581" t="s">
        <v>11703</v>
      </c>
      <c r="K581" t="s">
        <v>74</v>
      </c>
      <c r="L581" t="s">
        <v>74</v>
      </c>
      <c r="M581" t="s">
        <v>78</v>
      </c>
      <c r="N581" t="s">
        <v>79</v>
      </c>
      <c r="O581" t="s">
        <v>74</v>
      </c>
      <c r="P581" t="s">
        <v>74</v>
      </c>
      <c r="Q581" t="s">
        <v>74</v>
      </c>
      <c r="R581" t="s">
        <v>74</v>
      </c>
      <c r="S581" t="s">
        <v>74</v>
      </c>
      <c r="T581" t="s">
        <v>11704</v>
      </c>
      <c r="U581" t="s">
        <v>11705</v>
      </c>
      <c r="V581" t="s">
        <v>11706</v>
      </c>
      <c r="W581" t="s">
        <v>11707</v>
      </c>
      <c r="X581" t="s">
        <v>11708</v>
      </c>
      <c r="Y581" t="s">
        <v>11709</v>
      </c>
      <c r="Z581" t="s">
        <v>11710</v>
      </c>
      <c r="AA581" t="s">
        <v>11711</v>
      </c>
      <c r="AB581" t="s">
        <v>11712</v>
      </c>
      <c r="AC581" t="s">
        <v>11713</v>
      </c>
      <c r="AD581" t="s">
        <v>11714</v>
      </c>
      <c r="AE581" t="s">
        <v>11715</v>
      </c>
      <c r="AF581" t="s">
        <v>74</v>
      </c>
      <c r="AG581">
        <v>206</v>
      </c>
      <c r="AH581">
        <v>25</v>
      </c>
      <c r="AI581">
        <v>26</v>
      </c>
      <c r="AJ581">
        <v>4</v>
      </c>
      <c r="AK581">
        <v>24</v>
      </c>
      <c r="AL581" t="s">
        <v>3228</v>
      </c>
      <c r="AM581" t="s">
        <v>200</v>
      </c>
      <c r="AN581" t="s">
        <v>3229</v>
      </c>
      <c r="AO581" t="s">
        <v>11716</v>
      </c>
      <c r="AP581" t="s">
        <v>74</v>
      </c>
      <c r="AQ581" t="s">
        <v>74</v>
      </c>
      <c r="AR581" t="s">
        <v>11717</v>
      </c>
      <c r="AS581" t="s">
        <v>11718</v>
      </c>
      <c r="AT581" t="s">
        <v>8316</v>
      </c>
      <c r="AU581">
        <v>2022</v>
      </c>
      <c r="AV581">
        <v>18</v>
      </c>
      <c r="AW581" t="s">
        <v>74</v>
      </c>
      <c r="AX581" t="s">
        <v>74</v>
      </c>
      <c r="AY581" t="s">
        <v>74</v>
      </c>
      <c r="AZ581" t="s">
        <v>74</v>
      </c>
      <c r="BA581" t="s">
        <v>74</v>
      </c>
      <c r="BB581">
        <v>87</v>
      </c>
      <c r="BC581">
        <v>102</v>
      </c>
      <c r="BD581" t="s">
        <v>74</v>
      </c>
      <c r="BE581" t="s">
        <v>11719</v>
      </c>
      <c r="BF581" t="str">
        <f>HYPERLINK("http://dx.doi.org/10.1016/j.ijpddr.2022.02.001","http://dx.doi.org/10.1016/j.ijpddr.2022.02.001")</f>
        <v>http://dx.doi.org/10.1016/j.ijpddr.2022.02.001</v>
      </c>
      <c r="BG581" t="s">
        <v>74</v>
      </c>
      <c r="BH581" t="s">
        <v>74</v>
      </c>
      <c r="BI581">
        <v>16</v>
      </c>
      <c r="BJ581" t="s">
        <v>11720</v>
      </c>
      <c r="BK581" t="s">
        <v>101</v>
      </c>
      <c r="BL581" t="s">
        <v>11720</v>
      </c>
      <c r="BM581" t="s">
        <v>11721</v>
      </c>
      <c r="BN581">
        <v>35220160</v>
      </c>
      <c r="BO581" t="s">
        <v>1533</v>
      </c>
      <c r="BP581" t="s">
        <v>74</v>
      </c>
      <c r="BQ581" t="s">
        <v>74</v>
      </c>
      <c r="BR581" t="s">
        <v>103</v>
      </c>
      <c r="BS581" t="s">
        <v>11722</v>
      </c>
      <c r="BT581" t="str">
        <f>HYPERLINK("https%3A%2F%2Fwww.webofscience.com%2Fwos%2Fwoscc%2Ffull-record%2FWOS:000933930300001","View Full Record in Web of Science")</f>
        <v>View Full Record in Web of Science</v>
      </c>
    </row>
    <row r="582" spans="1:72" x14ac:dyDescent="0.15">
      <c r="A582" t="s">
        <v>72</v>
      </c>
      <c r="B582" t="s">
        <v>11723</v>
      </c>
      <c r="C582" t="s">
        <v>74</v>
      </c>
      <c r="D582" t="s">
        <v>74</v>
      </c>
      <c r="E582" t="s">
        <v>74</v>
      </c>
      <c r="F582" t="s">
        <v>11724</v>
      </c>
      <c r="G582" t="s">
        <v>74</v>
      </c>
      <c r="H582" t="s">
        <v>74</v>
      </c>
      <c r="I582" t="s">
        <v>11725</v>
      </c>
      <c r="J582" t="s">
        <v>11726</v>
      </c>
      <c r="K582" t="s">
        <v>74</v>
      </c>
      <c r="L582" t="s">
        <v>74</v>
      </c>
      <c r="M582" t="s">
        <v>78</v>
      </c>
      <c r="N582" t="s">
        <v>79</v>
      </c>
      <c r="O582" t="s">
        <v>74</v>
      </c>
      <c r="P582" t="s">
        <v>74</v>
      </c>
      <c r="Q582" t="s">
        <v>74</v>
      </c>
      <c r="R582" t="s">
        <v>74</v>
      </c>
      <c r="S582" t="s">
        <v>74</v>
      </c>
      <c r="T582" t="s">
        <v>11727</v>
      </c>
      <c r="U582" t="s">
        <v>11728</v>
      </c>
      <c r="V582" t="s">
        <v>11729</v>
      </c>
      <c r="W582" t="s">
        <v>11730</v>
      </c>
      <c r="X582" t="s">
        <v>11731</v>
      </c>
      <c r="Y582" t="s">
        <v>11732</v>
      </c>
      <c r="Z582" t="s">
        <v>11733</v>
      </c>
      <c r="AA582" t="s">
        <v>11734</v>
      </c>
      <c r="AB582" t="s">
        <v>11735</v>
      </c>
      <c r="AC582" t="s">
        <v>11736</v>
      </c>
      <c r="AD582" t="s">
        <v>11737</v>
      </c>
      <c r="AE582" t="s">
        <v>11738</v>
      </c>
      <c r="AF582" t="s">
        <v>74</v>
      </c>
      <c r="AG582">
        <v>85</v>
      </c>
      <c r="AH582">
        <v>3</v>
      </c>
      <c r="AI582">
        <v>3</v>
      </c>
      <c r="AJ582">
        <v>1</v>
      </c>
      <c r="AK582">
        <v>3</v>
      </c>
      <c r="AL582" t="s">
        <v>257</v>
      </c>
      <c r="AM582" t="s">
        <v>258</v>
      </c>
      <c r="AN582" t="s">
        <v>259</v>
      </c>
      <c r="AO582" t="s">
        <v>11739</v>
      </c>
      <c r="AP582" t="s">
        <v>74</v>
      </c>
      <c r="AQ582" t="s">
        <v>74</v>
      </c>
      <c r="AR582" t="s">
        <v>11740</v>
      </c>
      <c r="AS582" t="s">
        <v>11741</v>
      </c>
      <c r="AT582" t="s">
        <v>8316</v>
      </c>
      <c r="AU582">
        <v>2022</v>
      </c>
      <c r="AV582">
        <v>6</v>
      </c>
      <c r="AW582" t="s">
        <v>74</v>
      </c>
      <c r="AX582" t="s">
        <v>74</v>
      </c>
      <c r="AY582" t="s">
        <v>74</v>
      </c>
      <c r="AZ582" t="s">
        <v>74</v>
      </c>
      <c r="BA582" t="s">
        <v>74</v>
      </c>
      <c r="BB582" t="s">
        <v>74</v>
      </c>
      <c r="BC582" t="s">
        <v>74</v>
      </c>
      <c r="BD582">
        <v>100052</v>
      </c>
      <c r="BE582" t="s">
        <v>11742</v>
      </c>
      <c r="BF582" t="str">
        <f>HYPERLINK("http://dx.doi.org/10.1016/j.qsa.2022.100052","http://dx.doi.org/10.1016/j.qsa.2022.100052")</f>
        <v>http://dx.doi.org/10.1016/j.qsa.2022.100052</v>
      </c>
      <c r="BG582" t="s">
        <v>74</v>
      </c>
      <c r="BH582" t="s">
        <v>74</v>
      </c>
      <c r="BI582">
        <v>13</v>
      </c>
      <c r="BJ582" t="s">
        <v>125</v>
      </c>
      <c r="BK582" t="s">
        <v>839</v>
      </c>
      <c r="BL582" t="s">
        <v>126</v>
      </c>
      <c r="BM582" t="s">
        <v>11743</v>
      </c>
      <c r="BN582" t="s">
        <v>74</v>
      </c>
      <c r="BO582" t="s">
        <v>1533</v>
      </c>
      <c r="BP582" t="s">
        <v>74</v>
      </c>
      <c r="BQ582" t="s">
        <v>74</v>
      </c>
      <c r="BR582" t="s">
        <v>103</v>
      </c>
      <c r="BS582" t="s">
        <v>11744</v>
      </c>
      <c r="BT582" t="str">
        <f>HYPERLINK("https%3A%2F%2Fwww.webofscience.com%2Fwos%2Fwoscc%2Ffull-record%2FWOS:000903538900004","View Full Record in Web of Science")</f>
        <v>View Full Record in Web of Science</v>
      </c>
    </row>
    <row r="583" spans="1:72" x14ac:dyDescent="0.15">
      <c r="A583" t="s">
        <v>72</v>
      </c>
      <c r="B583" t="s">
        <v>11745</v>
      </c>
      <c r="C583" t="s">
        <v>74</v>
      </c>
      <c r="D583" t="s">
        <v>74</v>
      </c>
      <c r="E583" t="s">
        <v>74</v>
      </c>
      <c r="F583" t="s">
        <v>11746</v>
      </c>
      <c r="G583" t="s">
        <v>74</v>
      </c>
      <c r="H583" t="s">
        <v>74</v>
      </c>
      <c r="I583" t="s">
        <v>11747</v>
      </c>
      <c r="J583" t="s">
        <v>11726</v>
      </c>
      <c r="K583" t="s">
        <v>74</v>
      </c>
      <c r="L583" t="s">
        <v>74</v>
      </c>
      <c r="M583" t="s">
        <v>78</v>
      </c>
      <c r="N583" t="s">
        <v>79</v>
      </c>
      <c r="O583" t="s">
        <v>74</v>
      </c>
      <c r="P583" t="s">
        <v>74</v>
      </c>
      <c r="Q583" t="s">
        <v>74</v>
      </c>
      <c r="R583" t="s">
        <v>74</v>
      </c>
      <c r="S583" t="s">
        <v>74</v>
      </c>
      <c r="T583" t="s">
        <v>11748</v>
      </c>
      <c r="U583" t="s">
        <v>11749</v>
      </c>
      <c r="V583" t="s">
        <v>11750</v>
      </c>
      <c r="W583" t="s">
        <v>11751</v>
      </c>
      <c r="X583" t="s">
        <v>11752</v>
      </c>
      <c r="Y583" t="s">
        <v>11753</v>
      </c>
      <c r="Z583" t="s">
        <v>11754</v>
      </c>
      <c r="AA583" t="s">
        <v>11755</v>
      </c>
      <c r="AB583" t="s">
        <v>11756</v>
      </c>
      <c r="AC583" t="s">
        <v>11757</v>
      </c>
      <c r="AD583" t="s">
        <v>11758</v>
      </c>
      <c r="AE583" t="s">
        <v>11759</v>
      </c>
      <c r="AF583" t="s">
        <v>74</v>
      </c>
      <c r="AG583">
        <v>69</v>
      </c>
      <c r="AH583">
        <v>5</v>
      </c>
      <c r="AI583">
        <v>5</v>
      </c>
      <c r="AJ583">
        <v>2</v>
      </c>
      <c r="AK583">
        <v>6</v>
      </c>
      <c r="AL583" t="s">
        <v>257</v>
      </c>
      <c r="AM583" t="s">
        <v>258</v>
      </c>
      <c r="AN583" t="s">
        <v>259</v>
      </c>
      <c r="AO583" t="s">
        <v>11739</v>
      </c>
      <c r="AP583" t="s">
        <v>74</v>
      </c>
      <c r="AQ583" t="s">
        <v>74</v>
      </c>
      <c r="AR583" t="s">
        <v>11740</v>
      </c>
      <c r="AS583" t="s">
        <v>11741</v>
      </c>
      <c r="AT583" t="s">
        <v>8316</v>
      </c>
      <c r="AU583">
        <v>2022</v>
      </c>
      <c r="AV583">
        <v>6</v>
      </c>
      <c r="AW583" t="s">
        <v>74</v>
      </c>
      <c r="AX583" t="s">
        <v>74</v>
      </c>
      <c r="AY583" t="s">
        <v>74</v>
      </c>
      <c r="AZ583" t="s">
        <v>74</v>
      </c>
      <c r="BA583" t="s">
        <v>74</v>
      </c>
      <c r="BB583" t="s">
        <v>74</v>
      </c>
      <c r="BC583" t="s">
        <v>74</v>
      </c>
      <c r="BD583">
        <v>100051</v>
      </c>
      <c r="BE583" t="s">
        <v>11760</v>
      </c>
      <c r="BF583" t="str">
        <f>HYPERLINK("http://dx.doi.org/10.1016/j.qsa.2022.100051","http://dx.doi.org/10.1016/j.qsa.2022.100051")</f>
        <v>http://dx.doi.org/10.1016/j.qsa.2022.100051</v>
      </c>
      <c r="BG583" t="s">
        <v>74</v>
      </c>
      <c r="BH583" t="s">
        <v>74</v>
      </c>
      <c r="BI583">
        <v>23</v>
      </c>
      <c r="BJ583" t="s">
        <v>125</v>
      </c>
      <c r="BK583" t="s">
        <v>839</v>
      </c>
      <c r="BL583" t="s">
        <v>126</v>
      </c>
      <c r="BM583" t="s">
        <v>11743</v>
      </c>
      <c r="BN583" t="s">
        <v>74</v>
      </c>
      <c r="BO583" t="s">
        <v>660</v>
      </c>
      <c r="BP583" t="s">
        <v>74</v>
      </c>
      <c r="BQ583" t="s">
        <v>74</v>
      </c>
      <c r="BR583" t="s">
        <v>103</v>
      </c>
      <c r="BS583" t="s">
        <v>11761</v>
      </c>
      <c r="BT583" t="str">
        <f>HYPERLINK("https%3A%2F%2Fwww.webofscience.com%2Fwos%2Fwoscc%2Ffull-record%2FWOS:000903538900003","View Full Record in Web of Science")</f>
        <v>View Full Record in Web of Science</v>
      </c>
    </row>
    <row r="584" spans="1:72" x14ac:dyDescent="0.15">
      <c r="A584" t="s">
        <v>72</v>
      </c>
      <c r="B584" t="s">
        <v>11762</v>
      </c>
      <c r="C584" t="s">
        <v>74</v>
      </c>
      <c r="D584" t="s">
        <v>74</v>
      </c>
      <c r="E584" t="s">
        <v>74</v>
      </c>
      <c r="F584" t="s">
        <v>11763</v>
      </c>
      <c r="G584" t="s">
        <v>74</v>
      </c>
      <c r="H584" t="s">
        <v>74</v>
      </c>
      <c r="I584" t="s">
        <v>11764</v>
      </c>
      <c r="J584" t="s">
        <v>4159</v>
      </c>
      <c r="K584" t="s">
        <v>74</v>
      </c>
      <c r="L584" t="s">
        <v>74</v>
      </c>
      <c r="M584" t="s">
        <v>78</v>
      </c>
      <c r="N584" t="s">
        <v>79</v>
      </c>
      <c r="O584" t="s">
        <v>74</v>
      </c>
      <c r="P584" t="s">
        <v>74</v>
      </c>
      <c r="Q584" t="s">
        <v>74</v>
      </c>
      <c r="R584" t="s">
        <v>74</v>
      </c>
      <c r="S584" t="s">
        <v>74</v>
      </c>
      <c r="T584" t="s">
        <v>11765</v>
      </c>
      <c r="U584" t="s">
        <v>11766</v>
      </c>
      <c r="V584" t="s">
        <v>11767</v>
      </c>
      <c r="W584" t="s">
        <v>11768</v>
      </c>
      <c r="X584" t="s">
        <v>11769</v>
      </c>
      <c r="Y584" t="s">
        <v>11770</v>
      </c>
      <c r="Z584" t="s">
        <v>11771</v>
      </c>
      <c r="AA584" t="s">
        <v>74</v>
      </c>
      <c r="AB584" t="s">
        <v>11772</v>
      </c>
      <c r="AC584" t="s">
        <v>11773</v>
      </c>
      <c r="AD584" t="s">
        <v>11774</v>
      </c>
      <c r="AE584" t="s">
        <v>11775</v>
      </c>
      <c r="AF584" t="s">
        <v>74</v>
      </c>
      <c r="AG584">
        <v>42</v>
      </c>
      <c r="AH584">
        <v>13</v>
      </c>
      <c r="AI584">
        <v>13</v>
      </c>
      <c r="AJ584">
        <v>3</v>
      </c>
      <c r="AK584">
        <v>5</v>
      </c>
      <c r="AL584" t="s">
        <v>313</v>
      </c>
      <c r="AM584" t="s">
        <v>314</v>
      </c>
      <c r="AN584" t="s">
        <v>315</v>
      </c>
      <c r="AO584" t="s">
        <v>4171</v>
      </c>
      <c r="AP584" t="s">
        <v>4172</v>
      </c>
      <c r="AQ584" t="s">
        <v>74</v>
      </c>
      <c r="AR584" t="s">
        <v>4173</v>
      </c>
      <c r="AS584" t="s">
        <v>4174</v>
      </c>
      <c r="AT584" t="s">
        <v>11776</v>
      </c>
      <c r="AU584">
        <v>2022</v>
      </c>
      <c r="AV584">
        <v>205</v>
      </c>
      <c r="AW584" t="s">
        <v>74</v>
      </c>
      <c r="AX584" t="s">
        <v>74</v>
      </c>
      <c r="AY584" t="s">
        <v>74</v>
      </c>
      <c r="AZ584" t="s">
        <v>74</v>
      </c>
      <c r="BA584" t="s">
        <v>74</v>
      </c>
      <c r="BB584" t="s">
        <v>74</v>
      </c>
      <c r="BC584" t="s">
        <v>74</v>
      </c>
      <c r="BD584">
        <v>112468</v>
      </c>
      <c r="BE584" t="s">
        <v>11777</v>
      </c>
      <c r="BF584" t="str">
        <f>HYPERLINK("http://dx.doi.org/10.1016/j.envres.2021.112468","http://dx.doi.org/10.1016/j.envres.2021.112468")</f>
        <v>http://dx.doi.org/10.1016/j.envres.2021.112468</v>
      </c>
      <c r="BG584" t="s">
        <v>74</v>
      </c>
      <c r="BH584" t="s">
        <v>74</v>
      </c>
      <c r="BI584">
        <v>16</v>
      </c>
      <c r="BJ584" t="s">
        <v>4177</v>
      </c>
      <c r="BK584" t="s">
        <v>101</v>
      </c>
      <c r="BL584" t="s">
        <v>4178</v>
      </c>
      <c r="BM584" t="s">
        <v>11778</v>
      </c>
      <c r="BN584">
        <v>34863988</v>
      </c>
      <c r="BO584" t="s">
        <v>267</v>
      </c>
      <c r="BP584" t="s">
        <v>74</v>
      </c>
      <c r="BQ584" t="s">
        <v>74</v>
      </c>
      <c r="BR584" t="s">
        <v>103</v>
      </c>
      <c r="BS584" t="s">
        <v>11779</v>
      </c>
      <c r="BT584" t="str">
        <f>HYPERLINK("https%3A%2F%2Fwww.webofscience.com%2Fwos%2Fwoscc%2Ffull-record%2FWOS:000884053300005","View Full Record in Web of Science")</f>
        <v>View Full Record in Web of Science</v>
      </c>
    </row>
    <row r="585" spans="1:72" x14ac:dyDescent="0.15">
      <c r="A585" t="s">
        <v>72</v>
      </c>
      <c r="B585" t="s">
        <v>11780</v>
      </c>
      <c r="C585" t="s">
        <v>74</v>
      </c>
      <c r="D585" t="s">
        <v>74</v>
      </c>
      <c r="E585" t="s">
        <v>74</v>
      </c>
      <c r="F585" t="s">
        <v>11781</v>
      </c>
      <c r="G585" t="s">
        <v>74</v>
      </c>
      <c r="H585" t="s">
        <v>74</v>
      </c>
      <c r="I585" t="s">
        <v>11782</v>
      </c>
      <c r="J585" t="s">
        <v>1361</v>
      </c>
      <c r="K585" t="s">
        <v>74</v>
      </c>
      <c r="L585" t="s">
        <v>74</v>
      </c>
      <c r="M585" t="s">
        <v>78</v>
      </c>
      <c r="N585" t="s">
        <v>79</v>
      </c>
      <c r="O585" t="s">
        <v>74</v>
      </c>
      <c r="P585" t="s">
        <v>74</v>
      </c>
      <c r="Q585" t="s">
        <v>74</v>
      </c>
      <c r="R585" t="s">
        <v>74</v>
      </c>
      <c r="S585" t="s">
        <v>74</v>
      </c>
      <c r="T585" t="s">
        <v>11783</v>
      </c>
      <c r="U585" t="s">
        <v>11784</v>
      </c>
      <c r="V585" t="s">
        <v>11785</v>
      </c>
      <c r="W585" t="s">
        <v>11786</v>
      </c>
      <c r="X585" t="s">
        <v>11787</v>
      </c>
      <c r="Y585" t="s">
        <v>11788</v>
      </c>
      <c r="Z585" t="s">
        <v>11789</v>
      </c>
      <c r="AA585" t="s">
        <v>74</v>
      </c>
      <c r="AB585" t="s">
        <v>74</v>
      </c>
      <c r="AC585" t="s">
        <v>11790</v>
      </c>
      <c r="AD585" t="s">
        <v>11791</v>
      </c>
      <c r="AE585" t="s">
        <v>11792</v>
      </c>
      <c r="AF585" t="s">
        <v>74</v>
      </c>
      <c r="AG585">
        <v>40</v>
      </c>
      <c r="AH585">
        <v>3</v>
      </c>
      <c r="AI585">
        <v>3</v>
      </c>
      <c r="AJ585">
        <v>1</v>
      </c>
      <c r="AK585">
        <v>3</v>
      </c>
      <c r="AL585" t="s">
        <v>1372</v>
      </c>
      <c r="AM585" t="s">
        <v>531</v>
      </c>
      <c r="AN585" t="s">
        <v>1373</v>
      </c>
      <c r="AO585" t="s">
        <v>1374</v>
      </c>
      <c r="AP585" t="s">
        <v>1375</v>
      </c>
      <c r="AQ585" t="s">
        <v>74</v>
      </c>
      <c r="AR585" t="s">
        <v>1376</v>
      </c>
      <c r="AS585" t="s">
        <v>1377</v>
      </c>
      <c r="AT585" t="s">
        <v>8316</v>
      </c>
      <c r="AU585">
        <v>2022</v>
      </c>
      <c r="AV585">
        <v>47</v>
      </c>
      <c r="AW585">
        <v>4</v>
      </c>
      <c r="AX585" t="s">
        <v>74</v>
      </c>
      <c r="AY585" t="s">
        <v>74</v>
      </c>
      <c r="AZ585" t="s">
        <v>74</v>
      </c>
      <c r="BA585" t="s">
        <v>74</v>
      </c>
      <c r="BB585">
        <v>262</v>
      </c>
      <c r="BC585">
        <v>271</v>
      </c>
      <c r="BD585" t="s">
        <v>74</v>
      </c>
      <c r="BE585" t="s">
        <v>11793</v>
      </c>
      <c r="BF585" t="str">
        <f>HYPERLINK("http://dx.doi.org/10.3103/S1068373922040021","http://dx.doi.org/10.3103/S1068373922040021")</f>
        <v>http://dx.doi.org/10.3103/S1068373922040021</v>
      </c>
      <c r="BG585" t="s">
        <v>74</v>
      </c>
      <c r="BH585" t="s">
        <v>74</v>
      </c>
      <c r="BI585">
        <v>10</v>
      </c>
      <c r="BJ585" t="s">
        <v>510</v>
      </c>
      <c r="BK585" t="s">
        <v>101</v>
      </c>
      <c r="BL585" t="s">
        <v>510</v>
      </c>
      <c r="BM585" t="s">
        <v>11794</v>
      </c>
      <c r="BN585" t="s">
        <v>74</v>
      </c>
      <c r="BO585" t="s">
        <v>74</v>
      </c>
      <c r="BP585" t="s">
        <v>74</v>
      </c>
      <c r="BQ585" t="s">
        <v>74</v>
      </c>
      <c r="BR585" t="s">
        <v>103</v>
      </c>
      <c r="BS585" t="s">
        <v>11795</v>
      </c>
      <c r="BT585" t="str">
        <f>HYPERLINK("https%3A%2F%2Fwww.webofscience.com%2Fwos%2Fwoscc%2Ffull-record%2FWOS:000830712000002","View Full Record in Web of Science")</f>
        <v>View Full Record in Web of Science</v>
      </c>
    </row>
    <row r="586" spans="1:72" x14ac:dyDescent="0.15">
      <c r="A586" t="s">
        <v>72</v>
      </c>
      <c r="B586" t="s">
        <v>11796</v>
      </c>
      <c r="C586" t="s">
        <v>74</v>
      </c>
      <c r="D586" t="s">
        <v>74</v>
      </c>
      <c r="E586" t="s">
        <v>74</v>
      </c>
      <c r="F586" t="s">
        <v>11797</v>
      </c>
      <c r="G586" t="s">
        <v>74</v>
      </c>
      <c r="H586" t="s">
        <v>74</v>
      </c>
      <c r="I586" t="s">
        <v>11798</v>
      </c>
      <c r="J586" t="s">
        <v>1361</v>
      </c>
      <c r="K586" t="s">
        <v>74</v>
      </c>
      <c r="L586" t="s">
        <v>74</v>
      </c>
      <c r="M586" t="s">
        <v>78</v>
      </c>
      <c r="N586" t="s">
        <v>79</v>
      </c>
      <c r="O586" t="s">
        <v>74</v>
      </c>
      <c r="P586" t="s">
        <v>74</v>
      </c>
      <c r="Q586" t="s">
        <v>74</v>
      </c>
      <c r="R586" t="s">
        <v>74</v>
      </c>
      <c r="S586" t="s">
        <v>74</v>
      </c>
      <c r="T586" t="s">
        <v>11799</v>
      </c>
      <c r="U586" t="s">
        <v>11800</v>
      </c>
      <c r="V586" t="s">
        <v>11801</v>
      </c>
      <c r="W586" t="s">
        <v>11802</v>
      </c>
      <c r="X586" t="s">
        <v>11803</v>
      </c>
      <c r="Y586" t="s">
        <v>11804</v>
      </c>
      <c r="Z586" t="s">
        <v>11805</v>
      </c>
      <c r="AA586" t="s">
        <v>11806</v>
      </c>
      <c r="AB586" t="s">
        <v>11807</v>
      </c>
      <c r="AC586" t="s">
        <v>74</v>
      </c>
      <c r="AD586" t="s">
        <v>74</v>
      </c>
      <c r="AE586" t="s">
        <v>74</v>
      </c>
      <c r="AF586" t="s">
        <v>74</v>
      </c>
      <c r="AG586">
        <v>31</v>
      </c>
      <c r="AH586">
        <v>0</v>
      </c>
      <c r="AI586">
        <v>0</v>
      </c>
      <c r="AJ586">
        <v>1</v>
      </c>
      <c r="AK586">
        <v>6</v>
      </c>
      <c r="AL586" t="s">
        <v>1372</v>
      </c>
      <c r="AM586" t="s">
        <v>531</v>
      </c>
      <c r="AN586" t="s">
        <v>1373</v>
      </c>
      <c r="AO586" t="s">
        <v>1374</v>
      </c>
      <c r="AP586" t="s">
        <v>1375</v>
      </c>
      <c r="AQ586" t="s">
        <v>74</v>
      </c>
      <c r="AR586" t="s">
        <v>1376</v>
      </c>
      <c r="AS586" t="s">
        <v>1377</v>
      </c>
      <c r="AT586" t="s">
        <v>8316</v>
      </c>
      <c r="AU586">
        <v>2022</v>
      </c>
      <c r="AV586">
        <v>47</v>
      </c>
      <c r="AW586">
        <v>4</v>
      </c>
      <c r="AX586" t="s">
        <v>74</v>
      </c>
      <c r="AY586" t="s">
        <v>74</v>
      </c>
      <c r="AZ586" t="s">
        <v>74</v>
      </c>
      <c r="BA586" t="s">
        <v>74</v>
      </c>
      <c r="BB586">
        <v>281</v>
      </c>
      <c r="BC586">
        <v>289</v>
      </c>
      <c r="BD586" t="s">
        <v>74</v>
      </c>
      <c r="BE586" t="s">
        <v>11808</v>
      </c>
      <c r="BF586" t="str">
        <f>HYPERLINK("http://dx.doi.org/10.3103/S1068373922040045","http://dx.doi.org/10.3103/S1068373922040045")</f>
        <v>http://dx.doi.org/10.3103/S1068373922040045</v>
      </c>
      <c r="BG586" t="s">
        <v>74</v>
      </c>
      <c r="BH586" t="s">
        <v>74</v>
      </c>
      <c r="BI586">
        <v>9</v>
      </c>
      <c r="BJ586" t="s">
        <v>510</v>
      </c>
      <c r="BK586" t="s">
        <v>101</v>
      </c>
      <c r="BL586" t="s">
        <v>510</v>
      </c>
      <c r="BM586" t="s">
        <v>11794</v>
      </c>
      <c r="BN586" t="s">
        <v>74</v>
      </c>
      <c r="BO586" t="s">
        <v>74</v>
      </c>
      <c r="BP586" t="s">
        <v>74</v>
      </c>
      <c r="BQ586" t="s">
        <v>74</v>
      </c>
      <c r="BR586" t="s">
        <v>103</v>
      </c>
      <c r="BS586" t="s">
        <v>11809</v>
      </c>
      <c r="BT586" t="str">
        <f>HYPERLINK("https%3A%2F%2Fwww.webofscience.com%2Fwos%2Fwoscc%2Ffull-record%2FWOS:000830712000004","View Full Record in Web of Science")</f>
        <v>View Full Record in Web of Science</v>
      </c>
    </row>
    <row r="587" spans="1:72" x14ac:dyDescent="0.15">
      <c r="A587" t="s">
        <v>72</v>
      </c>
      <c r="B587" t="s">
        <v>11810</v>
      </c>
      <c r="C587" t="s">
        <v>74</v>
      </c>
      <c r="D587" t="s">
        <v>74</v>
      </c>
      <c r="E587" t="s">
        <v>74</v>
      </c>
      <c r="F587" t="s">
        <v>11811</v>
      </c>
      <c r="G587" t="s">
        <v>74</v>
      </c>
      <c r="H587" t="s">
        <v>74</v>
      </c>
      <c r="I587" t="s">
        <v>11812</v>
      </c>
      <c r="J587" t="s">
        <v>11813</v>
      </c>
      <c r="K587" t="s">
        <v>74</v>
      </c>
      <c r="L587" t="s">
        <v>74</v>
      </c>
      <c r="M587" t="s">
        <v>7297</v>
      </c>
      <c r="N587" t="s">
        <v>79</v>
      </c>
      <c r="O587" t="s">
        <v>74</v>
      </c>
      <c r="P587" t="s">
        <v>74</v>
      </c>
      <c r="Q587" t="s">
        <v>74</v>
      </c>
      <c r="R587" t="s">
        <v>74</v>
      </c>
      <c r="S587" t="s">
        <v>74</v>
      </c>
      <c r="T587" t="s">
        <v>11814</v>
      </c>
      <c r="U587" t="s">
        <v>11815</v>
      </c>
      <c r="V587" t="s">
        <v>11816</v>
      </c>
      <c r="W587" t="s">
        <v>11817</v>
      </c>
      <c r="X587" t="s">
        <v>11818</v>
      </c>
      <c r="Y587" t="s">
        <v>11819</v>
      </c>
      <c r="Z587" t="s">
        <v>11820</v>
      </c>
      <c r="AA587" t="s">
        <v>11821</v>
      </c>
      <c r="AB587" t="s">
        <v>74</v>
      </c>
      <c r="AC587" t="s">
        <v>11822</v>
      </c>
      <c r="AD587" t="s">
        <v>4740</v>
      </c>
      <c r="AE587" t="s">
        <v>11823</v>
      </c>
      <c r="AF587" t="s">
        <v>74</v>
      </c>
      <c r="AG587">
        <v>17</v>
      </c>
      <c r="AH587">
        <v>2</v>
      </c>
      <c r="AI587">
        <v>2</v>
      </c>
      <c r="AJ587">
        <v>2</v>
      </c>
      <c r="AK587">
        <v>5</v>
      </c>
      <c r="AL587" t="s">
        <v>11824</v>
      </c>
      <c r="AM587" t="s">
        <v>2859</v>
      </c>
      <c r="AN587" t="s">
        <v>11825</v>
      </c>
      <c r="AO587" t="s">
        <v>11826</v>
      </c>
      <c r="AP587" t="s">
        <v>74</v>
      </c>
      <c r="AQ587" t="s">
        <v>74</v>
      </c>
      <c r="AR587" t="s">
        <v>11827</v>
      </c>
      <c r="AS587" t="s">
        <v>11828</v>
      </c>
      <c r="AT587" t="s">
        <v>8316</v>
      </c>
      <c r="AU587">
        <v>2022</v>
      </c>
      <c r="AV587">
        <v>44</v>
      </c>
      <c r="AW587">
        <v>4</v>
      </c>
      <c r="AX587" t="s">
        <v>74</v>
      </c>
      <c r="AY587" t="s">
        <v>74</v>
      </c>
      <c r="AZ587" t="s">
        <v>74</v>
      </c>
      <c r="BA587" t="s">
        <v>74</v>
      </c>
      <c r="BB587">
        <v>1311</v>
      </c>
      <c r="BC587">
        <v>1317</v>
      </c>
      <c r="BD587" t="s">
        <v>74</v>
      </c>
      <c r="BE587" t="s">
        <v>11829</v>
      </c>
      <c r="BF587" t="str">
        <f>HYPERLINK("http://dx.doi.org/10.11999/JEIT210410","http://dx.doi.org/10.11999/JEIT210410")</f>
        <v>http://dx.doi.org/10.11999/JEIT210410</v>
      </c>
      <c r="BG587" t="s">
        <v>74</v>
      </c>
      <c r="BH587" t="s">
        <v>74</v>
      </c>
      <c r="BI587">
        <v>7</v>
      </c>
      <c r="BJ587" t="s">
        <v>11830</v>
      </c>
      <c r="BK587" t="s">
        <v>839</v>
      </c>
      <c r="BL587" t="s">
        <v>1289</v>
      </c>
      <c r="BM587" t="s">
        <v>11831</v>
      </c>
      <c r="BN587" t="s">
        <v>74</v>
      </c>
      <c r="BO587" t="s">
        <v>74</v>
      </c>
      <c r="BP587" t="s">
        <v>74</v>
      </c>
      <c r="BQ587" t="s">
        <v>74</v>
      </c>
      <c r="BR587" t="s">
        <v>103</v>
      </c>
      <c r="BS587" t="s">
        <v>11832</v>
      </c>
      <c r="BT587" t="str">
        <f>HYPERLINK("https%3A%2F%2Fwww.webofscience.com%2Fwos%2Fwoscc%2Ffull-record%2FWOS:000810212800007","View Full Record in Web of Science")</f>
        <v>View Full Record in Web of Science</v>
      </c>
    </row>
    <row r="588" spans="1:72" x14ac:dyDescent="0.15">
      <c r="A588" t="s">
        <v>72</v>
      </c>
      <c r="B588" t="s">
        <v>11833</v>
      </c>
      <c r="C588" t="s">
        <v>74</v>
      </c>
      <c r="D588" t="s">
        <v>74</v>
      </c>
      <c r="E588" t="s">
        <v>74</v>
      </c>
      <c r="F588" t="s">
        <v>11834</v>
      </c>
      <c r="G588" t="s">
        <v>74</v>
      </c>
      <c r="H588" t="s">
        <v>74</v>
      </c>
      <c r="I588" t="s">
        <v>11835</v>
      </c>
      <c r="J588" t="s">
        <v>4808</v>
      </c>
      <c r="K588" t="s">
        <v>74</v>
      </c>
      <c r="L588" t="s">
        <v>74</v>
      </c>
      <c r="M588" t="s">
        <v>78</v>
      </c>
      <c r="N588" t="s">
        <v>79</v>
      </c>
      <c r="O588" t="s">
        <v>74</v>
      </c>
      <c r="P588" t="s">
        <v>74</v>
      </c>
      <c r="Q588" t="s">
        <v>74</v>
      </c>
      <c r="R588" t="s">
        <v>74</v>
      </c>
      <c r="S588" t="s">
        <v>74</v>
      </c>
      <c r="T588" t="s">
        <v>11836</v>
      </c>
      <c r="U588" t="s">
        <v>11837</v>
      </c>
      <c r="V588" t="s">
        <v>11838</v>
      </c>
      <c r="W588" t="s">
        <v>11839</v>
      </c>
      <c r="X588" t="s">
        <v>11840</v>
      </c>
      <c r="Y588" t="s">
        <v>11841</v>
      </c>
      <c r="Z588" t="s">
        <v>11842</v>
      </c>
      <c r="AA588" t="s">
        <v>11843</v>
      </c>
      <c r="AB588" t="s">
        <v>11844</v>
      </c>
      <c r="AC588" t="s">
        <v>11845</v>
      </c>
      <c r="AD588" t="s">
        <v>11846</v>
      </c>
      <c r="AE588" t="s">
        <v>11847</v>
      </c>
      <c r="AF588" t="s">
        <v>74</v>
      </c>
      <c r="AG588">
        <v>83</v>
      </c>
      <c r="AH588">
        <v>2</v>
      </c>
      <c r="AI588">
        <v>2</v>
      </c>
      <c r="AJ588">
        <v>2</v>
      </c>
      <c r="AK588">
        <v>9</v>
      </c>
      <c r="AL588" t="s">
        <v>1413</v>
      </c>
      <c r="AM588" t="s">
        <v>1414</v>
      </c>
      <c r="AN588" t="s">
        <v>4821</v>
      </c>
      <c r="AO588" t="s">
        <v>4822</v>
      </c>
      <c r="AP588" t="s">
        <v>4823</v>
      </c>
      <c r="AQ588" t="s">
        <v>74</v>
      </c>
      <c r="AR588" t="s">
        <v>4824</v>
      </c>
      <c r="AS588" t="s">
        <v>4825</v>
      </c>
      <c r="AT588" t="s">
        <v>8316</v>
      </c>
      <c r="AU588">
        <v>2022</v>
      </c>
      <c r="AV588">
        <v>35</v>
      </c>
      <c r="AW588">
        <v>8</v>
      </c>
      <c r="AX588" t="s">
        <v>74</v>
      </c>
      <c r="AY588" t="s">
        <v>74</v>
      </c>
      <c r="AZ588" t="s">
        <v>74</v>
      </c>
      <c r="BA588" t="s">
        <v>74</v>
      </c>
      <c r="BB588">
        <v>2549</v>
      </c>
      <c r="BC588">
        <v>2564</v>
      </c>
      <c r="BD588" t="s">
        <v>74</v>
      </c>
      <c r="BE588" t="s">
        <v>11848</v>
      </c>
      <c r="BF588" t="str">
        <f>HYPERLINK("http://dx.doi.org/10.1175/JCLI-D-21-0228.1","http://dx.doi.org/10.1175/JCLI-D-21-0228.1")</f>
        <v>http://dx.doi.org/10.1175/JCLI-D-21-0228.1</v>
      </c>
      <c r="BG588" t="s">
        <v>74</v>
      </c>
      <c r="BH588" t="s">
        <v>74</v>
      </c>
      <c r="BI588">
        <v>16</v>
      </c>
      <c r="BJ588" t="s">
        <v>510</v>
      </c>
      <c r="BK588" t="s">
        <v>101</v>
      </c>
      <c r="BL588" t="s">
        <v>510</v>
      </c>
      <c r="BM588" t="s">
        <v>11849</v>
      </c>
      <c r="BN588" t="s">
        <v>74</v>
      </c>
      <c r="BO588" t="s">
        <v>1483</v>
      </c>
      <c r="BP588" t="s">
        <v>74</v>
      </c>
      <c r="BQ588" t="s">
        <v>74</v>
      </c>
      <c r="BR588" t="s">
        <v>103</v>
      </c>
      <c r="BS588" t="s">
        <v>11850</v>
      </c>
      <c r="BT588" t="str">
        <f>HYPERLINK("https%3A%2F%2Fwww.webofscience.com%2Fwos%2Fwoscc%2Ffull-record%2FWOS:000808524500014","View Full Record in Web of Science")</f>
        <v>View Full Record in Web of Science</v>
      </c>
    </row>
    <row r="589" spans="1:72" x14ac:dyDescent="0.15">
      <c r="A589" t="s">
        <v>72</v>
      </c>
      <c r="B589" t="s">
        <v>11851</v>
      </c>
      <c r="C589" t="s">
        <v>74</v>
      </c>
      <c r="D589" t="s">
        <v>74</v>
      </c>
      <c r="E589" t="s">
        <v>74</v>
      </c>
      <c r="F589" t="s">
        <v>11852</v>
      </c>
      <c r="G589" t="s">
        <v>74</v>
      </c>
      <c r="H589" t="s">
        <v>74</v>
      </c>
      <c r="I589" t="s">
        <v>11853</v>
      </c>
      <c r="J589" t="s">
        <v>11854</v>
      </c>
      <c r="K589" t="s">
        <v>74</v>
      </c>
      <c r="L589" t="s">
        <v>74</v>
      </c>
      <c r="M589" t="s">
        <v>78</v>
      </c>
      <c r="N589" t="s">
        <v>79</v>
      </c>
      <c r="O589" t="s">
        <v>74</v>
      </c>
      <c r="P589" t="s">
        <v>74</v>
      </c>
      <c r="Q589" t="s">
        <v>74</v>
      </c>
      <c r="R589" t="s">
        <v>74</v>
      </c>
      <c r="S589" t="s">
        <v>74</v>
      </c>
      <c r="T589" t="s">
        <v>11855</v>
      </c>
      <c r="U589" t="s">
        <v>11856</v>
      </c>
      <c r="V589" t="s">
        <v>11857</v>
      </c>
      <c r="W589" t="s">
        <v>11858</v>
      </c>
      <c r="X589" t="s">
        <v>11859</v>
      </c>
      <c r="Y589" t="s">
        <v>11860</v>
      </c>
      <c r="Z589" t="s">
        <v>11861</v>
      </c>
      <c r="AA589" t="s">
        <v>11862</v>
      </c>
      <c r="AB589" t="s">
        <v>11863</v>
      </c>
      <c r="AC589" t="s">
        <v>11864</v>
      </c>
      <c r="AD589" t="s">
        <v>11865</v>
      </c>
      <c r="AE589" t="s">
        <v>11866</v>
      </c>
      <c r="AF589" t="s">
        <v>74</v>
      </c>
      <c r="AG589">
        <v>47</v>
      </c>
      <c r="AH589">
        <v>0</v>
      </c>
      <c r="AI589">
        <v>0</v>
      </c>
      <c r="AJ589">
        <v>4</v>
      </c>
      <c r="AK589">
        <v>5</v>
      </c>
      <c r="AL589" t="s">
        <v>11867</v>
      </c>
      <c r="AM589" t="s">
        <v>11868</v>
      </c>
      <c r="AN589" t="s">
        <v>11869</v>
      </c>
      <c r="AO589" t="s">
        <v>11870</v>
      </c>
      <c r="AP589" t="s">
        <v>11871</v>
      </c>
      <c r="AQ589" t="s">
        <v>74</v>
      </c>
      <c r="AR589" t="s">
        <v>11854</v>
      </c>
      <c r="AS589" t="s">
        <v>11872</v>
      </c>
      <c r="AT589" t="s">
        <v>8316</v>
      </c>
      <c r="AU589">
        <v>2022</v>
      </c>
      <c r="AV589">
        <v>35</v>
      </c>
      <c r="AW589">
        <v>2</v>
      </c>
      <c r="AX589" t="s">
        <v>74</v>
      </c>
      <c r="AY589" t="s">
        <v>74</v>
      </c>
      <c r="AZ589" t="s">
        <v>74</v>
      </c>
      <c r="BA589" t="s">
        <v>74</v>
      </c>
      <c r="BB589">
        <v>221</v>
      </c>
      <c r="BC589">
        <v>235</v>
      </c>
      <c r="BD589" t="s">
        <v>74</v>
      </c>
      <c r="BE589" t="s">
        <v>11873</v>
      </c>
      <c r="BF589" t="str">
        <f>HYPERLINK("http://dx.doi.org/10.20937/ATM.52910","http://dx.doi.org/10.20937/ATM.52910")</f>
        <v>http://dx.doi.org/10.20937/ATM.52910</v>
      </c>
      <c r="BG589" t="s">
        <v>74</v>
      </c>
      <c r="BH589" t="s">
        <v>74</v>
      </c>
      <c r="BI589">
        <v>15</v>
      </c>
      <c r="BJ589" t="s">
        <v>510</v>
      </c>
      <c r="BK589" t="s">
        <v>101</v>
      </c>
      <c r="BL589" t="s">
        <v>510</v>
      </c>
      <c r="BM589" t="s">
        <v>11874</v>
      </c>
      <c r="BN589" t="s">
        <v>74</v>
      </c>
      <c r="BO589" t="s">
        <v>643</v>
      </c>
      <c r="BP589" t="s">
        <v>74</v>
      </c>
      <c r="BQ589" t="s">
        <v>74</v>
      </c>
      <c r="BR589" t="s">
        <v>103</v>
      </c>
      <c r="BS589" t="s">
        <v>11875</v>
      </c>
      <c r="BT589" t="str">
        <f>HYPERLINK("https%3A%2F%2Fwww.webofscience.com%2Fwos%2Fwoscc%2Ffull-record%2FWOS:000803013800002","View Full Record in Web of Science")</f>
        <v>View Full Record in Web of Science</v>
      </c>
    </row>
    <row r="590" spans="1:72" x14ac:dyDescent="0.15">
      <c r="A590" t="s">
        <v>72</v>
      </c>
      <c r="B590" t="s">
        <v>11876</v>
      </c>
      <c r="C590" t="s">
        <v>74</v>
      </c>
      <c r="D590" t="s">
        <v>74</v>
      </c>
      <c r="E590" t="s">
        <v>74</v>
      </c>
      <c r="F590" t="s">
        <v>11877</v>
      </c>
      <c r="G590" t="s">
        <v>74</v>
      </c>
      <c r="H590" t="s">
        <v>74</v>
      </c>
      <c r="I590" t="s">
        <v>11878</v>
      </c>
      <c r="J590" t="s">
        <v>1429</v>
      </c>
      <c r="K590" t="s">
        <v>74</v>
      </c>
      <c r="L590" t="s">
        <v>74</v>
      </c>
      <c r="M590" t="s">
        <v>78</v>
      </c>
      <c r="N590" t="s">
        <v>79</v>
      </c>
      <c r="O590" t="s">
        <v>74</v>
      </c>
      <c r="P590" t="s">
        <v>74</v>
      </c>
      <c r="Q590" t="s">
        <v>74</v>
      </c>
      <c r="R590" t="s">
        <v>74</v>
      </c>
      <c r="S590" t="s">
        <v>74</v>
      </c>
      <c r="T590" t="s">
        <v>11879</v>
      </c>
      <c r="U590" t="s">
        <v>11880</v>
      </c>
      <c r="V590" t="s">
        <v>11881</v>
      </c>
      <c r="W590" t="s">
        <v>11882</v>
      </c>
      <c r="X590" t="s">
        <v>11883</v>
      </c>
      <c r="Y590" t="s">
        <v>11884</v>
      </c>
      <c r="Z590" t="s">
        <v>11885</v>
      </c>
      <c r="AA590" t="s">
        <v>11886</v>
      </c>
      <c r="AB590" t="s">
        <v>11887</v>
      </c>
      <c r="AC590" t="s">
        <v>11888</v>
      </c>
      <c r="AD590" t="s">
        <v>11889</v>
      </c>
      <c r="AE590" t="s">
        <v>11890</v>
      </c>
      <c r="AF590" t="s">
        <v>74</v>
      </c>
      <c r="AG590">
        <v>77</v>
      </c>
      <c r="AH590">
        <v>1</v>
      </c>
      <c r="AI590">
        <v>1</v>
      </c>
      <c r="AJ590">
        <v>2</v>
      </c>
      <c r="AK590">
        <v>15</v>
      </c>
      <c r="AL590" t="s">
        <v>1413</v>
      </c>
      <c r="AM590" t="s">
        <v>1414</v>
      </c>
      <c r="AN590" t="s">
        <v>4821</v>
      </c>
      <c r="AO590" t="s">
        <v>1442</v>
      </c>
      <c r="AP590" t="s">
        <v>1443</v>
      </c>
      <c r="AQ590" t="s">
        <v>74</v>
      </c>
      <c r="AR590" t="s">
        <v>1444</v>
      </c>
      <c r="AS590" t="s">
        <v>1445</v>
      </c>
      <c r="AT590" t="s">
        <v>8316</v>
      </c>
      <c r="AU590">
        <v>2022</v>
      </c>
      <c r="AV590">
        <v>52</v>
      </c>
      <c r="AW590">
        <v>4</v>
      </c>
      <c r="AX590" t="s">
        <v>74</v>
      </c>
      <c r="AY590" t="s">
        <v>74</v>
      </c>
      <c r="AZ590" t="s">
        <v>74</v>
      </c>
      <c r="BA590" t="s">
        <v>74</v>
      </c>
      <c r="BB590">
        <v>557</v>
      </c>
      <c r="BC590">
        <v>578</v>
      </c>
      <c r="BD590" t="s">
        <v>74</v>
      </c>
      <c r="BE590" t="s">
        <v>11891</v>
      </c>
      <c r="BF590" t="str">
        <f>HYPERLINK("http://dx.doi.org/10.1175/JPO-D-21-0046.1","http://dx.doi.org/10.1175/JPO-D-21-0046.1")</f>
        <v>http://dx.doi.org/10.1175/JPO-D-21-0046.1</v>
      </c>
      <c r="BG590" t="s">
        <v>74</v>
      </c>
      <c r="BH590" t="s">
        <v>74</v>
      </c>
      <c r="BI590">
        <v>22</v>
      </c>
      <c r="BJ590" t="s">
        <v>208</v>
      </c>
      <c r="BK590" t="s">
        <v>101</v>
      </c>
      <c r="BL590" t="s">
        <v>208</v>
      </c>
      <c r="BM590" t="s">
        <v>11892</v>
      </c>
      <c r="BN590" t="s">
        <v>74</v>
      </c>
      <c r="BO590" t="s">
        <v>6526</v>
      </c>
      <c r="BP590" t="s">
        <v>74</v>
      </c>
      <c r="BQ590" t="s">
        <v>74</v>
      </c>
      <c r="BR590" t="s">
        <v>103</v>
      </c>
      <c r="BS590" t="s">
        <v>11893</v>
      </c>
      <c r="BT590" t="str">
        <f>HYPERLINK("https%3A%2F%2Fwww.webofscience.com%2Fwos%2Fwoscc%2Ffull-record%2FWOS:000797940200002","View Full Record in Web of Science")</f>
        <v>View Full Record in Web of Science</v>
      </c>
    </row>
    <row r="591" spans="1:72" x14ac:dyDescent="0.15">
      <c r="A591" t="s">
        <v>72</v>
      </c>
      <c r="B591" t="s">
        <v>11894</v>
      </c>
      <c r="C591" t="s">
        <v>74</v>
      </c>
      <c r="D591" t="s">
        <v>74</v>
      </c>
      <c r="E591" t="s">
        <v>74</v>
      </c>
      <c r="F591" t="s">
        <v>11895</v>
      </c>
      <c r="G591" t="s">
        <v>74</v>
      </c>
      <c r="H591" t="s">
        <v>74</v>
      </c>
      <c r="I591" t="s">
        <v>11896</v>
      </c>
      <c r="J591" t="s">
        <v>1429</v>
      </c>
      <c r="K591" t="s">
        <v>74</v>
      </c>
      <c r="L591" t="s">
        <v>74</v>
      </c>
      <c r="M591" t="s">
        <v>78</v>
      </c>
      <c r="N591" t="s">
        <v>79</v>
      </c>
      <c r="O591" t="s">
        <v>74</v>
      </c>
      <c r="P591" t="s">
        <v>74</v>
      </c>
      <c r="Q591" t="s">
        <v>74</v>
      </c>
      <c r="R591" t="s">
        <v>74</v>
      </c>
      <c r="S591" t="s">
        <v>74</v>
      </c>
      <c r="T591" t="s">
        <v>11897</v>
      </c>
      <c r="U591" t="s">
        <v>11898</v>
      </c>
      <c r="V591" t="s">
        <v>11899</v>
      </c>
      <c r="W591" t="s">
        <v>11900</v>
      </c>
      <c r="X591" t="s">
        <v>11901</v>
      </c>
      <c r="Y591" t="s">
        <v>11902</v>
      </c>
      <c r="Z591" t="s">
        <v>11903</v>
      </c>
      <c r="AA591" t="s">
        <v>11904</v>
      </c>
      <c r="AB591" t="s">
        <v>11905</v>
      </c>
      <c r="AC591" t="s">
        <v>11906</v>
      </c>
      <c r="AD591" t="s">
        <v>11907</v>
      </c>
      <c r="AE591" t="s">
        <v>11908</v>
      </c>
      <c r="AF591" t="s">
        <v>74</v>
      </c>
      <c r="AG591">
        <v>44</v>
      </c>
      <c r="AH591">
        <v>1</v>
      </c>
      <c r="AI591">
        <v>1</v>
      </c>
      <c r="AJ591">
        <v>0</v>
      </c>
      <c r="AK591">
        <v>5</v>
      </c>
      <c r="AL591" t="s">
        <v>1413</v>
      </c>
      <c r="AM591" t="s">
        <v>1414</v>
      </c>
      <c r="AN591" t="s">
        <v>4821</v>
      </c>
      <c r="AO591" t="s">
        <v>1442</v>
      </c>
      <c r="AP591" t="s">
        <v>1443</v>
      </c>
      <c r="AQ591" t="s">
        <v>74</v>
      </c>
      <c r="AR591" t="s">
        <v>1444</v>
      </c>
      <c r="AS591" t="s">
        <v>1445</v>
      </c>
      <c r="AT591" t="s">
        <v>8316</v>
      </c>
      <c r="AU591">
        <v>2022</v>
      </c>
      <c r="AV591">
        <v>52</v>
      </c>
      <c r="AW591">
        <v>4</v>
      </c>
      <c r="AX591" t="s">
        <v>74</v>
      </c>
      <c r="AY591" t="s">
        <v>74</v>
      </c>
      <c r="AZ591" t="s">
        <v>74</v>
      </c>
      <c r="BA591" t="s">
        <v>74</v>
      </c>
      <c r="BB591">
        <v>759</v>
      </c>
      <c r="BC591">
        <v>774</v>
      </c>
      <c r="BD591" t="s">
        <v>74</v>
      </c>
      <c r="BE591" t="s">
        <v>11909</v>
      </c>
      <c r="BF591" t="str">
        <f>HYPERLINK("http://dx.doi.org/10.1175/JPO-D-21-0214.1","http://dx.doi.org/10.1175/JPO-D-21-0214.1")</f>
        <v>http://dx.doi.org/10.1175/JPO-D-21-0214.1</v>
      </c>
      <c r="BG591" t="s">
        <v>74</v>
      </c>
      <c r="BH591" t="s">
        <v>74</v>
      </c>
      <c r="BI591">
        <v>16</v>
      </c>
      <c r="BJ591" t="s">
        <v>208</v>
      </c>
      <c r="BK591" t="s">
        <v>101</v>
      </c>
      <c r="BL591" t="s">
        <v>208</v>
      </c>
      <c r="BM591" t="s">
        <v>11892</v>
      </c>
      <c r="BN591" t="s">
        <v>74</v>
      </c>
      <c r="BO591" t="s">
        <v>1483</v>
      </c>
      <c r="BP591" t="s">
        <v>74</v>
      </c>
      <c r="BQ591" t="s">
        <v>74</v>
      </c>
      <c r="BR591" t="s">
        <v>103</v>
      </c>
      <c r="BS591" t="s">
        <v>11910</v>
      </c>
      <c r="BT591" t="str">
        <f>HYPERLINK("https%3A%2F%2Fwww.webofscience.com%2Fwos%2Fwoscc%2Ffull-record%2FWOS:000797940200013","View Full Record in Web of Science")</f>
        <v>View Full Record in Web of Science</v>
      </c>
    </row>
    <row r="592" spans="1:72" x14ac:dyDescent="0.15">
      <c r="A592" t="s">
        <v>72</v>
      </c>
      <c r="B592" t="s">
        <v>11911</v>
      </c>
      <c r="C592" t="s">
        <v>74</v>
      </c>
      <c r="D592" t="s">
        <v>74</v>
      </c>
      <c r="E592" t="s">
        <v>74</v>
      </c>
      <c r="F592" t="s">
        <v>11912</v>
      </c>
      <c r="G592" t="s">
        <v>74</v>
      </c>
      <c r="H592" t="s">
        <v>74</v>
      </c>
      <c r="I592" t="s">
        <v>11913</v>
      </c>
      <c r="J592" t="s">
        <v>2259</v>
      </c>
      <c r="K592" t="s">
        <v>74</v>
      </c>
      <c r="L592" t="s">
        <v>74</v>
      </c>
      <c r="M592" t="s">
        <v>78</v>
      </c>
      <c r="N592" t="s">
        <v>79</v>
      </c>
      <c r="O592" t="s">
        <v>74</v>
      </c>
      <c r="P592" t="s">
        <v>74</v>
      </c>
      <c r="Q592" t="s">
        <v>74</v>
      </c>
      <c r="R592" t="s">
        <v>74</v>
      </c>
      <c r="S592" t="s">
        <v>74</v>
      </c>
      <c r="T592" t="s">
        <v>11914</v>
      </c>
      <c r="U592" t="s">
        <v>11915</v>
      </c>
      <c r="V592" t="s">
        <v>11916</v>
      </c>
      <c r="W592" t="s">
        <v>11917</v>
      </c>
      <c r="X592" t="s">
        <v>2264</v>
      </c>
      <c r="Y592" t="s">
        <v>11918</v>
      </c>
      <c r="Z592" t="s">
        <v>11919</v>
      </c>
      <c r="AA592" t="s">
        <v>74</v>
      </c>
      <c r="AB592" t="s">
        <v>74</v>
      </c>
      <c r="AC592" t="s">
        <v>11920</v>
      </c>
      <c r="AD592" t="s">
        <v>11921</v>
      </c>
      <c r="AE592" t="s">
        <v>11922</v>
      </c>
      <c r="AF592" t="s">
        <v>74</v>
      </c>
      <c r="AG592">
        <v>30</v>
      </c>
      <c r="AH592">
        <v>0</v>
      </c>
      <c r="AI592">
        <v>0</v>
      </c>
      <c r="AJ592">
        <v>1</v>
      </c>
      <c r="AK592">
        <v>2</v>
      </c>
      <c r="AL592" t="s">
        <v>1372</v>
      </c>
      <c r="AM592" t="s">
        <v>531</v>
      </c>
      <c r="AN592" t="s">
        <v>1373</v>
      </c>
      <c r="AO592" t="s">
        <v>2270</v>
      </c>
      <c r="AP592" t="s">
        <v>2271</v>
      </c>
      <c r="AQ592" t="s">
        <v>74</v>
      </c>
      <c r="AR592" t="s">
        <v>2272</v>
      </c>
      <c r="AS592" t="s">
        <v>2273</v>
      </c>
      <c r="AT592" t="s">
        <v>8316</v>
      </c>
      <c r="AU592">
        <v>2022</v>
      </c>
      <c r="AV592">
        <v>38</v>
      </c>
      <c r="AW592">
        <v>2</v>
      </c>
      <c r="AX592" t="s">
        <v>74</v>
      </c>
      <c r="AY592" t="s">
        <v>74</v>
      </c>
      <c r="AZ592" t="s">
        <v>74</v>
      </c>
      <c r="BA592" t="s">
        <v>74</v>
      </c>
      <c r="BB592">
        <v>73</v>
      </c>
      <c r="BC592">
        <v>82</v>
      </c>
      <c r="BD592" t="s">
        <v>74</v>
      </c>
      <c r="BE592" t="s">
        <v>11923</v>
      </c>
      <c r="BF592" t="str">
        <f>HYPERLINK("http://dx.doi.org/10.3103/S0884591322020076","http://dx.doi.org/10.3103/S0884591322020076")</f>
        <v>http://dx.doi.org/10.3103/S0884591322020076</v>
      </c>
      <c r="BG592" t="s">
        <v>74</v>
      </c>
      <c r="BH592" t="s">
        <v>74</v>
      </c>
      <c r="BI592">
        <v>10</v>
      </c>
      <c r="BJ592" t="s">
        <v>2275</v>
      </c>
      <c r="BK592" t="s">
        <v>101</v>
      </c>
      <c r="BL592" t="s">
        <v>2275</v>
      </c>
      <c r="BM592" t="s">
        <v>11924</v>
      </c>
      <c r="BN592" t="s">
        <v>74</v>
      </c>
      <c r="BO592" t="s">
        <v>74</v>
      </c>
      <c r="BP592" t="s">
        <v>74</v>
      </c>
      <c r="BQ592" t="s">
        <v>74</v>
      </c>
      <c r="BR592" t="s">
        <v>103</v>
      </c>
      <c r="BS592" t="s">
        <v>11925</v>
      </c>
      <c r="BT592" t="str">
        <f>HYPERLINK("https%3A%2F%2Fwww.webofscience.com%2Fwos%2Fwoscc%2Ffull-record%2FWOS:000797507100002","View Full Record in Web of Science")</f>
        <v>View Full Record in Web of Science</v>
      </c>
    </row>
    <row r="593" spans="1:72" x14ac:dyDescent="0.15">
      <c r="A593" t="s">
        <v>72</v>
      </c>
      <c r="B593" t="s">
        <v>11926</v>
      </c>
      <c r="C593" t="s">
        <v>74</v>
      </c>
      <c r="D593" t="s">
        <v>74</v>
      </c>
      <c r="E593" t="s">
        <v>74</v>
      </c>
      <c r="F593" t="s">
        <v>11927</v>
      </c>
      <c r="G593" t="s">
        <v>74</v>
      </c>
      <c r="H593" t="s">
        <v>74</v>
      </c>
      <c r="I593" t="s">
        <v>11928</v>
      </c>
      <c r="J593" t="s">
        <v>11929</v>
      </c>
      <c r="K593" t="s">
        <v>74</v>
      </c>
      <c r="L593" t="s">
        <v>74</v>
      </c>
      <c r="M593" t="s">
        <v>78</v>
      </c>
      <c r="N593" t="s">
        <v>79</v>
      </c>
      <c r="O593" t="s">
        <v>74</v>
      </c>
      <c r="P593" t="s">
        <v>74</v>
      </c>
      <c r="Q593" t="s">
        <v>74</v>
      </c>
      <c r="R593" t="s">
        <v>74</v>
      </c>
      <c r="S593" t="s">
        <v>74</v>
      </c>
      <c r="T593" t="s">
        <v>11930</v>
      </c>
      <c r="U593" t="s">
        <v>11931</v>
      </c>
      <c r="V593" t="s">
        <v>11932</v>
      </c>
      <c r="W593" t="s">
        <v>11933</v>
      </c>
      <c r="X593" t="s">
        <v>11934</v>
      </c>
      <c r="Y593" t="s">
        <v>11935</v>
      </c>
      <c r="Z593" t="s">
        <v>11936</v>
      </c>
      <c r="AA593" t="s">
        <v>11937</v>
      </c>
      <c r="AB593" t="s">
        <v>11938</v>
      </c>
      <c r="AC593" t="s">
        <v>11939</v>
      </c>
      <c r="AD593" t="s">
        <v>74</v>
      </c>
      <c r="AE593" t="s">
        <v>11940</v>
      </c>
      <c r="AF593" t="s">
        <v>74</v>
      </c>
      <c r="AG593">
        <v>31</v>
      </c>
      <c r="AH593">
        <v>1</v>
      </c>
      <c r="AI593">
        <v>1</v>
      </c>
      <c r="AJ593">
        <v>2</v>
      </c>
      <c r="AK593">
        <v>6</v>
      </c>
      <c r="AL593" t="s">
        <v>1372</v>
      </c>
      <c r="AM593" t="s">
        <v>531</v>
      </c>
      <c r="AN593" t="s">
        <v>1373</v>
      </c>
      <c r="AO593" t="s">
        <v>11941</v>
      </c>
      <c r="AP593" t="s">
        <v>11942</v>
      </c>
      <c r="AQ593" t="s">
        <v>74</v>
      </c>
      <c r="AR593" t="s">
        <v>11943</v>
      </c>
      <c r="AS593" t="s">
        <v>11944</v>
      </c>
      <c r="AT593" t="s">
        <v>8316</v>
      </c>
      <c r="AU593">
        <v>2022</v>
      </c>
      <c r="AV593">
        <v>62</v>
      </c>
      <c r="AW593">
        <v>2</v>
      </c>
      <c r="AX593" t="s">
        <v>74</v>
      </c>
      <c r="AY593" t="s">
        <v>74</v>
      </c>
      <c r="AZ593" t="s">
        <v>74</v>
      </c>
      <c r="BA593" t="s">
        <v>74</v>
      </c>
      <c r="BB593">
        <v>185</v>
      </c>
      <c r="BC593">
        <v>197</v>
      </c>
      <c r="BD593" t="s">
        <v>74</v>
      </c>
      <c r="BE593" t="s">
        <v>11945</v>
      </c>
      <c r="BF593" t="str">
        <f>HYPERLINK("http://dx.doi.org/10.1134/S000143702202014X","http://dx.doi.org/10.1134/S000143702202014X")</f>
        <v>http://dx.doi.org/10.1134/S000143702202014X</v>
      </c>
      <c r="BG593" t="s">
        <v>74</v>
      </c>
      <c r="BH593" t="s">
        <v>74</v>
      </c>
      <c r="BI593">
        <v>13</v>
      </c>
      <c r="BJ593" t="s">
        <v>208</v>
      </c>
      <c r="BK593" t="s">
        <v>101</v>
      </c>
      <c r="BL593" t="s">
        <v>208</v>
      </c>
      <c r="BM593" t="s">
        <v>11946</v>
      </c>
      <c r="BN593" t="s">
        <v>74</v>
      </c>
      <c r="BO593" t="s">
        <v>74</v>
      </c>
      <c r="BP593" t="s">
        <v>74</v>
      </c>
      <c r="BQ593" t="s">
        <v>74</v>
      </c>
      <c r="BR593" t="s">
        <v>103</v>
      </c>
      <c r="BS593" t="s">
        <v>11947</v>
      </c>
      <c r="BT593" t="str">
        <f>HYPERLINK("https%3A%2F%2Fwww.webofscience.com%2Fwos%2Fwoscc%2Ffull-record%2FWOS:000795146400006","View Full Record in Web of Science")</f>
        <v>View Full Record in Web of Science</v>
      </c>
    </row>
    <row r="594" spans="1:72" x14ac:dyDescent="0.15">
      <c r="A594" t="s">
        <v>72</v>
      </c>
      <c r="B594" t="s">
        <v>11948</v>
      </c>
      <c r="C594" t="s">
        <v>74</v>
      </c>
      <c r="D594" t="s">
        <v>74</v>
      </c>
      <c r="E594" t="s">
        <v>74</v>
      </c>
      <c r="F594" t="s">
        <v>11949</v>
      </c>
      <c r="G594" t="s">
        <v>74</v>
      </c>
      <c r="H594" t="s">
        <v>74</v>
      </c>
      <c r="I594" t="s">
        <v>11950</v>
      </c>
      <c r="J594" t="s">
        <v>11929</v>
      </c>
      <c r="K594" t="s">
        <v>74</v>
      </c>
      <c r="L594" t="s">
        <v>74</v>
      </c>
      <c r="M594" t="s">
        <v>78</v>
      </c>
      <c r="N594" t="s">
        <v>79</v>
      </c>
      <c r="O594" t="s">
        <v>74</v>
      </c>
      <c r="P594" t="s">
        <v>74</v>
      </c>
      <c r="Q594" t="s">
        <v>74</v>
      </c>
      <c r="R594" t="s">
        <v>74</v>
      </c>
      <c r="S594" t="s">
        <v>74</v>
      </c>
      <c r="T594" t="s">
        <v>11951</v>
      </c>
      <c r="U594" t="s">
        <v>74</v>
      </c>
      <c r="V594" t="s">
        <v>11952</v>
      </c>
      <c r="W594" t="s">
        <v>11953</v>
      </c>
      <c r="X594" t="s">
        <v>11954</v>
      </c>
      <c r="Y594" t="s">
        <v>11955</v>
      </c>
      <c r="Z594" t="s">
        <v>11956</v>
      </c>
      <c r="AA594" t="s">
        <v>11957</v>
      </c>
      <c r="AB594" t="s">
        <v>11958</v>
      </c>
      <c r="AC594" t="s">
        <v>11959</v>
      </c>
      <c r="AD594" t="s">
        <v>11960</v>
      </c>
      <c r="AE594" t="s">
        <v>11961</v>
      </c>
      <c r="AF594" t="s">
        <v>74</v>
      </c>
      <c r="AG594">
        <v>2</v>
      </c>
      <c r="AH594">
        <v>1</v>
      </c>
      <c r="AI594">
        <v>1</v>
      </c>
      <c r="AJ594">
        <v>0</v>
      </c>
      <c r="AK594">
        <v>2</v>
      </c>
      <c r="AL594" t="s">
        <v>1372</v>
      </c>
      <c r="AM594" t="s">
        <v>531</v>
      </c>
      <c r="AN594" t="s">
        <v>1373</v>
      </c>
      <c r="AO594" t="s">
        <v>11941</v>
      </c>
      <c r="AP594" t="s">
        <v>11942</v>
      </c>
      <c r="AQ594" t="s">
        <v>74</v>
      </c>
      <c r="AR594" t="s">
        <v>11943</v>
      </c>
      <c r="AS594" t="s">
        <v>11944</v>
      </c>
      <c r="AT594" t="s">
        <v>8316</v>
      </c>
      <c r="AU594">
        <v>2022</v>
      </c>
      <c r="AV594">
        <v>62</v>
      </c>
      <c r="AW594">
        <v>2</v>
      </c>
      <c r="AX594" t="s">
        <v>74</v>
      </c>
      <c r="AY594" t="s">
        <v>74</v>
      </c>
      <c r="AZ594" t="s">
        <v>74</v>
      </c>
      <c r="BA594" t="s">
        <v>74</v>
      </c>
      <c r="BB594">
        <v>286</v>
      </c>
      <c r="BC594">
        <v>288</v>
      </c>
      <c r="BD594" t="s">
        <v>74</v>
      </c>
      <c r="BE594" t="s">
        <v>11962</v>
      </c>
      <c r="BF594" t="str">
        <f>HYPERLINK("http://dx.doi.org/10.1134/S0001437022020023","http://dx.doi.org/10.1134/S0001437022020023")</f>
        <v>http://dx.doi.org/10.1134/S0001437022020023</v>
      </c>
      <c r="BG594" t="s">
        <v>74</v>
      </c>
      <c r="BH594" t="s">
        <v>74</v>
      </c>
      <c r="BI594">
        <v>3</v>
      </c>
      <c r="BJ594" t="s">
        <v>208</v>
      </c>
      <c r="BK594" t="s">
        <v>101</v>
      </c>
      <c r="BL594" t="s">
        <v>208</v>
      </c>
      <c r="BM594" t="s">
        <v>11946</v>
      </c>
      <c r="BN594" t="s">
        <v>74</v>
      </c>
      <c r="BO594" t="s">
        <v>74</v>
      </c>
      <c r="BP594" t="s">
        <v>74</v>
      </c>
      <c r="BQ594" t="s">
        <v>74</v>
      </c>
      <c r="BR594" t="s">
        <v>103</v>
      </c>
      <c r="BS594" t="s">
        <v>11963</v>
      </c>
      <c r="BT594" t="str">
        <f>HYPERLINK("https%3A%2F%2Fwww.webofscience.com%2Fwos%2Fwoscc%2Ffull-record%2FWOS:000795146400016","View Full Record in Web of Science")</f>
        <v>View Full Record in Web of Science</v>
      </c>
    </row>
    <row r="595" spans="1:72" x14ac:dyDescent="0.15">
      <c r="A595" t="s">
        <v>72</v>
      </c>
      <c r="B595" t="s">
        <v>11964</v>
      </c>
      <c r="C595" t="s">
        <v>74</v>
      </c>
      <c r="D595" t="s">
        <v>74</v>
      </c>
      <c r="E595" t="s">
        <v>74</v>
      </c>
      <c r="F595" t="s">
        <v>11965</v>
      </c>
      <c r="G595" t="s">
        <v>74</v>
      </c>
      <c r="H595" t="s">
        <v>74</v>
      </c>
      <c r="I595" t="s">
        <v>11966</v>
      </c>
      <c r="J595" t="s">
        <v>1154</v>
      </c>
      <c r="K595" t="s">
        <v>74</v>
      </c>
      <c r="L595" t="s">
        <v>74</v>
      </c>
      <c r="M595" t="s">
        <v>78</v>
      </c>
      <c r="N595" t="s">
        <v>79</v>
      </c>
      <c r="O595" t="s">
        <v>74</v>
      </c>
      <c r="P595" t="s">
        <v>74</v>
      </c>
      <c r="Q595" t="s">
        <v>74</v>
      </c>
      <c r="R595" t="s">
        <v>74</v>
      </c>
      <c r="S595" t="s">
        <v>74</v>
      </c>
      <c r="T595" t="s">
        <v>11967</v>
      </c>
      <c r="U595" t="s">
        <v>11968</v>
      </c>
      <c r="V595" t="s">
        <v>11969</v>
      </c>
      <c r="W595" t="s">
        <v>11970</v>
      </c>
      <c r="X595" t="s">
        <v>11971</v>
      </c>
      <c r="Y595" t="s">
        <v>11972</v>
      </c>
      <c r="Z595" t="s">
        <v>11973</v>
      </c>
      <c r="AA595" t="s">
        <v>11974</v>
      </c>
      <c r="AB595" t="s">
        <v>11975</v>
      </c>
      <c r="AC595" t="s">
        <v>11976</v>
      </c>
      <c r="AD595" t="s">
        <v>11977</v>
      </c>
      <c r="AE595" t="s">
        <v>11978</v>
      </c>
      <c r="AF595" t="s">
        <v>74</v>
      </c>
      <c r="AG595">
        <v>109</v>
      </c>
      <c r="AH595">
        <v>12</v>
      </c>
      <c r="AI595">
        <v>12</v>
      </c>
      <c r="AJ595">
        <v>1</v>
      </c>
      <c r="AK595">
        <v>10</v>
      </c>
      <c r="AL595" t="s">
        <v>199</v>
      </c>
      <c r="AM595" t="s">
        <v>200</v>
      </c>
      <c r="AN595" t="s">
        <v>201</v>
      </c>
      <c r="AO595" t="s">
        <v>1167</v>
      </c>
      <c r="AP595" t="s">
        <v>1168</v>
      </c>
      <c r="AQ595" t="s">
        <v>74</v>
      </c>
      <c r="AR595" t="s">
        <v>1169</v>
      </c>
      <c r="AS595" t="s">
        <v>1170</v>
      </c>
      <c r="AT595" t="s">
        <v>7628</v>
      </c>
      <c r="AU595">
        <v>2022</v>
      </c>
      <c r="AV595">
        <v>283</v>
      </c>
      <c r="AW595" t="s">
        <v>74</v>
      </c>
      <c r="AX595" t="s">
        <v>74</v>
      </c>
      <c r="AY595" t="s">
        <v>74</v>
      </c>
      <c r="AZ595" t="s">
        <v>74</v>
      </c>
      <c r="BA595" t="s">
        <v>74</v>
      </c>
      <c r="BB595" t="s">
        <v>74</v>
      </c>
      <c r="BC595" t="s">
        <v>74</v>
      </c>
      <c r="BD595">
        <v>107460</v>
      </c>
      <c r="BE595" t="s">
        <v>11979</v>
      </c>
      <c r="BF595" t="str">
        <f>HYPERLINK("http://dx.doi.org/10.1016/j.quascirev.2022.107460","http://dx.doi.org/10.1016/j.quascirev.2022.107460")</f>
        <v>http://dx.doi.org/10.1016/j.quascirev.2022.107460</v>
      </c>
      <c r="BG595" t="s">
        <v>74</v>
      </c>
      <c r="BH595" t="s">
        <v>7987</v>
      </c>
      <c r="BI595">
        <v>27</v>
      </c>
      <c r="BJ595" t="s">
        <v>125</v>
      </c>
      <c r="BK595" t="s">
        <v>101</v>
      </c>
      <c r="BL595" t="s">
        <v>126</v>
      </c>
      <c r="BM595" t="s">
        <v>11980</v>
      </c>
      <c r="BN595" t="s">
        <v>74</v>
      </c>
      <c r="BO595" t="s">
        <v>267</v>
      </c>
      <c r="BP595" t="s">
        <v>74</v>
      </c>
      <c r="BQ595" t="s">
        <v>74</v>
      </c>
      <c r="BR595" t="s">
        <v>103</v>
      </c>
      <c r="BS595" t="s">
        <v>11981</v>
      </c>
      <c r="BT595" t="str">
        <f>HYPERLINK("https%3A%2F%2Fwww.webofscience.com%2Fwos%2Fwoscc%2Ffull-record%2FWOS:000796231200004","View Full Record in Web of Science")</f>
        <v>View Full Record in Web of Science</v>
      </c>
    </row>
    <row r="596" spans="1:72" x14ac:dyDescent="0.15">
      <c r="A596" t="s">
        <v>72</v>
      </c>
      <c r="B596" t="s">
        <v>11982</v>
      </c>
      <c r="C596" t="s">
        <v>74</v>
      </c>
      <c r="D596" t="s">
        <v>74</v>
      </c>
      <c r="E596" t="s">
        <v>74</v>
      </c>
      <c r="F596" t="s">
        <v>11983</v>
      </c>
      <c r="G596" t="s">
        <v>74</v>
      </c>
      <c r="H596" t="s">
        <v>74</v>
      </c>
      <c r="I596" t="s">
        <v>11984</v>
      </c>
      <c r="J596" t="s">
        <v>692</v>
      </c>
      <c r="K596" t="s">
        <v>74</v>
      </c>
      <c r="L596" t="s">
        <v>74</v>
      </c>
      <c r="M596" t="s">
        <v>78</v>
      </c>
      <c r="N596" t="s">
        <v>4454</v>
      </c>
      <c r="O596" t="s">
        <v>74</v>
      </c>
      <c r="P596" t="s">
        <v>74</v>
      </c>
      <c r="Q596" t="s">
        <v>74</v>
      </c>
      <c r="R596" t="s">
        <v>74</v>
      </c>
      <c r="S596" t="s">
        <v>74</v>
      </c>
      <c r="T596" t="s">
        <v>74</v>
      </c>
      <c r="U596" t="s">
        <v>74</v>
      </c>
      <c r="V596" t="s">
        <v>74</v>
      </c>
      <c r="W596" t="s">
        <v>11985</v>
      </c>
      <c r="X596" t="s">
        <v>11986</v>
      </c>
      <c r="Y596" t="s">
        <v>11987</v>
      </c>
      <c r="Z596" t="s">
        <v>74</v>
      </c>
      <c r="AA596" t="s">
        <v>74</v>
      </c>
      <c r="AB596" t="s">
        <v>74</v>
      </c>
      <c r="AC596" t="s">
        <v>74</v>
      </c>
      <c r="AD596" t="s">
        <v>74</v>
      </c>
      <c r="AE596" t="s">
        <v>74</v>
      </c>
      <c r="AF596" t="s">
        <v>74</v>
      </c>
      <c r="AG596">
        <v>1</v>
      </c>
      <c r="AH596">
        <v>0</v>
      </c>
      <c r="AI596">
        <v>0</v>
      </c>
      <c r="AJ596">
        <v>0</v>
      </c>
      <c r="AK596">
        <v>1</v>
      </c>
      <c r="AL596" t="s">
        <v>428</v>
      </c>
      <c r="AM596" t="s">
        <v>531</v>
      </c>
      <c r="AN596" t="s">
        <v>748</v>
      </c>
      <c r="AO596" t="s">
        <v>703</v>
      </c>
      <c r="AP596" t="s">
        <v>704</v>
      </c>
      <c r="AQ596" t="s">
        <v>74</v>
      </c>
      <c r="AR596" t="s">
        <v>705</v>
      </c>
      <c r="AS596" t="s">
        <v>706</v>
      </c>
      <c r="AT596" t="s">
        <v>8316</v>
      </c>
      <c r="AU596">
        <v>2022</v>
      </c>
      <c r="AV596">
        <v>34</v>
      </c>
      <c r="AW596">
        <v>2</v>
      </c>
      <c r="AX596" t="s">
        <v>74</v>
      </c>
      <c r="AY596" t="s">
        <v>74</v>
      </c>
      <c r="AZ596" t="s">
        <v>74</v>
      </c>
      <c r="BA596" t="s">
        <v>74</v>
      </c>
      <c r="BB596">
        <v>105</v>
      </c>
      <c r="BC596">
        <v>106</v>
      </c>
      <c r="BD596" t="s">
        <v>11988</v>
      </c>
      <c r="BE596" t="s">
        <v>11989</v>
      </c>
      <c r="BF596" t="str">
        <f>HYPERLINK("http://dx.doi.org/10.1017/S0954102022000189","http://dx.doi.org/10.1017/S0954102022000189")</f>
        <v>http://dx.doi.org/10.1017/S0954102022000189</v>
      </c>
      <c r="BG596" t="s">
        <v>74</v>
      </c>
      <c r="BH596" t="s">
        <v>74</v>
      </c>
      <c r="BI596">
        <v>2</v>
      </c>
      <c r="BJ596" t="s">
        <v>708</v>
      </c>
      <c r="BK596" t="s">
        <v>101</v>
      </c>
      <c r="BL596" t="s">
        <v>709</v>
      </c>
      <c r="BM596" t="s">
        <v>9226</v>
      </c>
      <c r="BN596" t="s">
        <v>74</v>
      </c>
      <c r="BO596" t="s">
        <v>1483</v>
      </c>
      <c r="BP596" t="s">
        <v>74</v>
      </c>
      <c r="BQ596" t="s">
        <v>74</v>
      </c>
      <c r="BR596" t="s">
        <v>103</v>
      </c>
      <c r="BS596" t="s">
        <v>11990</v>
      </c>
      <c r="BT596" t="str">
        <f>HYPERLINK("https%3A%2F%2Fwww.webofscience.com%2Fwos%2Fwoscc%2Ffull-record%2FWOS:000796591900003","View Full Record in Web of Science")</f>
        <v>View Full Record in Web of Science</v>
      </c>
    </row>
    <row r="597" spans="1:72" x14ac:dyDescent="0.15">
      <c r="A597" t="s">
        <v>72</v>
      </c>
      <c r="B597" t="s">
        <v>11991</v>
      </c>
      <c r="C597" t="s">
        <v>74</v>
      </c>
      <c r="D597" t="s">
        <v>74</v>
      </c>
      <c r="E597" t="s">
        <v>74</v>
      </c>
      <c r="F597" t="s">
        <v>11992</v>
      </c>
      <c r="G597" t="s">
        <v>74</v>
      </c>
      <c r="H597" t="s">
        <v>74</v>
      </c>
      <c r="I597" t="s">
        <v>11993</v>
      </c>
      <c r="J597" t="s">
        <v>546</v>
      </c>
      <c r="K597" t="s">
        <v>74</v>
      </c>
      <c r="L597" t="s">
        <v>74</v>
      </c>
      <c r="M597" t="s">
        <v>78</v>
      </c>
      <c r="N597" t="s">
        <v>79</v>
      </c>
      <c r="O597" t="s">
        <v>74</v>
      </c>
      <c r="P597" t="s">
        <v>74</v>
      </c>
      <c r="Q597" t="s">
        <v>74</v>
      </c>
      <c r="R597" t="s">
        <v>74</v>
      </c>
      <c r="S597" t="s">
        <v>74</v>
      </c>
      <c r="T597" t="s">
        <v>11994</v>
      </c>
      <c r="U597" t="s">
        <v>11995</v>
      </c>
      <c r="V597" t="s">
        <v>11996</v>
      </c>
      <c r="W597" t="s">
        <v>11997</v>
      </c>
      <c r="X597" t="s">
        <v>11998</v>
      </c>
      <c r="Y597" t="s">
        <v>11999</v>
      </c>
      <c r="Z597" t="s">
        <v>12000</v>
      </c>
      <c r="AA597" t="s">
        <v>12001</v>
      </c>
      <c r="AB597" t="s">
        <v>12002</v>
      </c>
      <c r="AC597" t="s">
        <v>12003</v>
      </c>
      <c r="AD597" t="s">
        <v>12004</v>
      </c>
      <c r="AE597" t="s">
        <v>12005</v>
      </c>
      <c r="AF597" t="s">
        <v>74</v>
      </c>
      <c r="AG597">
        <v>85</v>
      </c>
      <c r="AH597">
        <v>1</v>
      </c>
      <c r="AI597">
        <v>1</v>
      </c>
      <c r="AJ597">
        <v>4</v>
      </c>
      <c r="AK597">
        <v>12</v>
      </c>
      <c r="AL597" t="s">
        <v>285</v>
      </c>
      <c r="AM597" t="s">
        <v>286</v>
      </c>
      <c r="AN597" t="s">
        <v>287</v>
      </c>
      <c r="AO597" t="s">
        <v>74</v>
      </c>
      <c r="AP597" t="s">
        <v>558</v>
      </c>
      <c r="AQ597" t="s">
        <v>74</v>
      </c>
      <c r="AR597" t="s">
        <v>559</v>
      </c>
      <c r="AS597" t="s">
        <v>560</v>
      </c>
      <c r="AT597" t="s">
        <v>11776</v>
      </c>
      <c r="AU597">
        <v>2022</v>
      </c>
      <c r="AV597">
        <v>9</v>
      </c>
      <c r="AW597" t="s">
        <v>74</v>
      </c>
      <c r="AX597" t="s">
        <v>74</v>
      </c>
      <c r="AY597" t="s">
        <v>74</v>
      </c>
      <c r="AZ597" t="s">
        <v>74</v>
      </c>
      <c r="BA597" t="s">
        <v>74</v>
      </c>
      <c r="BB597" t="s">
        <v>74</v>
      </c>
      <c r="BC597" t="s">
        <v>74</v>
      </c>
      <c r="BD597">
        <v>612021</v>
      </c>
      <c r="BE597" t="s">
        <v>12006</v>
      </c>
      <c r="BF597" t="str">
        <f>HYPERLINK("http://dx.doi.org/10.3389/fmars.2022.612021","http://dx.doi.org/10.3389/fmars.2022.612021")</f>
        <v>http://dx.doi.org/10.3389/fmars.2022.612021</v>
      </c>
      <c r="BG597" t="s">
        <v>74</v>
      </c>
      <c r="BH597" t="s">
        <v>74</v>
      </c>
      <c r="BI597">
        <v>20</v>
      </c>
      <c r="BJ597" t="s">
        <v>563</v>
      </c>
      <c r="BK597" t="s">
        <v>101</v>
      </c>
      <c r="BL597" t="s">
        <v>564</v>
      </c>
      <c r="BM597" t="s">
        <v>12007</v>
      </c>
      <c r="BN597" t="s">
        <v>74</v>
      </c>
      <c r="BO597" t="s">
        <v>438</v>
      </c>
      <c r="BP597" t="s">
        <v>74</v>
      </c>
      <c r="BQ597" t="s">
        <v>74</v>
      </c>
      <c r="BR597" t="s">
        <v>103</v>
      </c>
      <c r="BS597" t="s">
        <v>12008</v>
      </c>
      <c r="BT597" t="str">
        <f>HYPERLINK("https%3A%2F%2Fwww.webofscience.com%2Fwos%2Fwoscc%2Ffull-record%2FWOS:000789155900001","View Full Record in Web of Science")</f>
        <v>View Full Record in Web of Science</v>
      </c>
    </row>
    <row r="598" spans="1:72" x14ac:dyDescent="0.15">
      <c r="A598" t="s">
        <v>72</v>
      </c>
      <c r="B598" t="s">
        <v>12009</v>
      </c>
      <c r="C598" t="s">
        <v>74</v>
      </c>
      <c r="D598" t="s">
        <v>74</v>
      </c>
      <c r="E598" t="s">
        <v>74</v>
      </c>
      <c r="F598" t="s">
        <v>12010</v>
      </c>
      <c r="G598" t="s">
        <v>74</v>
      </c>
      <c r="H598" t="s">
        <v>74</v>
      </c>
      <c r="I598" t="s">
        <v>12011</v>
      </c>
      <c r="J598" t="s">
        <v>12012</v>
      </c>
      <c r="K598" t="s">
        <v>74</v>
      </c>
      <c r="L598" t="s">
        <v>74</v>
      </c>
      <c r="M598" t="s">
        <v>78</v>
      </c>
      <c r="N598" t="s">
        <v>79</v>
      </c>
      <c r="O598" t="s">
        <v>74</v>
      </c>
      <c r="P598" t="s">
        <v>74</v>
      </c>
      <c r="Q598" t="s">
        <v>74</v>
      </c>
      <c r="R598" t="s">
        <v>74</v>
      </c>
      <c r="S598" t="s">
        <v>74</v>
      </c>
      <c r="T598" t="s">
        <v>12013</v>
      </c>
      <c r="U598" t="s">
        <v>12014</v>
      </c>
      <c r="V598" t="s">
        <v>12015</v>
      </c>
      <c r="W598" t="s">
        <v>12016</v>
      </c>
      <c r="X598" t="s">
        <v>12017</v>
      </c>
      <c r="Y598" t="s">
        <v>12018</v>
      </c>
      <c r="Z598" t="s">
        <v>12019</v>
      </c>
      <c r="AA598" t="s">
        <v>12020</v>
      </c>
      <c r="AB598" t="s">
        <v>12021</v>
      </c>
      <c r="AC598" t="s">
        <v>12022</v>
      </c>
      <c r="AD598" t="s">
        <v>12023</v>
      </c>
      <c r="AE598" t="s">
        <v>12024</v>
      </c>
      <c r="AF598" t="s">
        <v>74</v>
      </c>
      <c r="AG598">
        <v>61</v>
      </c>
      <c r="AH598">
        <v>2</v>
      </c>
      <c r="AI598">
        <v>2</v>
      </c>
      <c r="AJ598">
        <v>0</v>
      </c>
      <c r="AK598">
        <v>6</v>
      </c>
      <c r="AL598" t="s">
        <v>91</v>
      </c>
      <c r="AM598" t="s">
        <v>92</v>
      </c>
      <c r="AN598" t="s">
        <v>93</v>
      </c>
      <c r="AO598" t="s">
        <v>74</v>
      </c>
      <c r="AP598" t="s">
        <v>12025</v>
      </c>
      <c r="AQ598" t="s">
        <v>74</v>
      </c>
      <c r="AR598" t="s">
        <v>12026</v>
      </c>
      <c r="AS598" t="s">
        <v>12027</v>
      </c>
      <c r="AT598" t="s">
        <v>8316</v>
      </c>
      <c r="AU598">
        <v>2022</v>
      </c>
      <c r="AV598">
        <v>3</v>
      </c>
      <c r="AW598">
        <v>2</v>
      </c>
      <c r="AX598" t="s">
        <v>74</v>
      </c>
      <c r="AY598" t="s">
        <v>74</v>
      </c>
      <c r="AZ598" t="s">
        <v>74</v>
      </c>
      <c r="BA598" t="s">
        <v>74</v>
      </c>
      <c r="BB598" t="s">
        <v>74</v>
      </c>
      <c r="BC598" t="s">
        <v>74</v>
      </c>
      <c r="BD598" t="s">
        <v>12028</v>
      </c>
      <c r="BE598" t="s">
        <v>12029</v>
      </c>
      <c r="BF598" t="str">
        <f>HYPERLINK("http://dx.doi.org/10.1002/2688-8319.12143","http://dx.doi.org/10.1002/2688-8319.12143")</f>
        <v>http://dx.doi.org/10.1002/2688-8319.12143</v>
      </c>
      <c r="BG598" t="s">
        <v>74</v>
      </c>
      <c r="BH598" t="s">
        <v>74</v>
      </c>
      <c r="BI598">
        <v>13</v>
      </c>
      <c r="BJ598" t="s">
        <v>2647</v>
      </c>
      <c r="BK598" t="s">
        <v>839</v>
      </c>
      <c r="BL598" t="s">
        <v>840</v>
      </c>
      <c r="BM598" t="s">
        <v>12030</v>
      </c>
      <c r="BN598" t="s">
        <v>74</v>
      </c>
      <c r="BO598" t="s">
        <v>2438</v>
      </c>
      <c r="BP598" t="s">
        <v>74</v>
      </c>
      <c r="BQ598" t="s">
        <v>74</v>
      </c>
      <c r="BR598" t="s">
        <v>103</v>
      </c>
      <c r="BS598" t="s">
        <v>12031</v>
      </c>
      <c r="BT598" t="str">
        <f>HYPERLINK("https%3A%2F%2Fwww.webofscience.com%2Fwos%2Fwoscc%2Ffull-record%2FWOS:000789937700001","View Full Record in Web of Science")</f>
        <v>View Full Record in Web of Science</v>
      </c>
    </row>
    <row r="599" spans="1:72" x14ac:dyDescent="0.15">
      <c r="A599" t="s">
        <v>72</v>
      </c>
      <c r="B599" t="s">
        <v>12032</v>
      </c>
      <c r="C599" t="s">
        <v>74</v>
      </c>
      <c r="D599" t="s">
        <v>74</v>
      </c>
      <c r="E599" t="s">
        <v>74</v>
      </c>
      <c r="F599" t="s">
        <v>12033</v>
      </c>
      <c r="G599" t="s">
        <v>74</v>
      </c>
      <c r="H599" t="s">
        <v>74</v>
      </c>
      <c r="I599" t="s">
        <v>12034</v>
      </c>
      <c r="J599" t="s">
        <v>329</v>
      </c>
      <c r="K599" t="s">
        <v>74</v>
      </c>
      <c r="L599" t="s">
        <v>74</v>
      </c>
      <c r="M599" t="s">
        <v>78</v>
      </c>
      <c r="N599" t="s">
        <v>79</v>
      </c>
      <c r="O599" t="s">
        <v>74</v>
      </c>
      <c r="P599" t="s">
        <v>74</v>
      </c>
      <c r="Q599" t="s">
        <v>74</v>
      </c>
      <c r="R599" t="s">
        <v>74</v>
      </c>
      <c r="S599" t="s">
        <v>74</v>
      </c>
      <c r="T599" t="s">
        <v>12035</v>
      </c>
      <c r="U599" t="s">
        <v>12036</v>
      </c>
      <c r="V599" t="s">
        <v>12037</v>
      </c>
      <c r="W599" t="s">
        <v>12038</v>
      </c>
      <c r="X599" t="s">
        <v>12039</v>
      </c>
      <c r="Y599" t="s">
        <v>12040</v>
      </c>
      <c r="Z599" t="s">
        <v>12041</v>
      </c>
      <c r="AA599" t="s">
        <v>12042</v>
      </c>
      <c r="AB599" t="s">
        <v>74</v>
      </c>
      <c r="AC599" t="s">
        <v>12043</v>
      </c>
      <c r="AD599" t="s">
        <v>12044</v>
      </c>
      <c r="AE599" t="s">
        <v>12045</v>
      </c>
      <c r="AF599" t="s">
        <v>74</v>
      </c>
      <c r="AG599">
        <v>88</v>
      </c>
      <c r="AH599">
        <v>0</v>
      </c>
      <c r="AI599">
        <v>0</v>
      </c>
      <c r="AJ599">
        <v>1</v>
      </c>
      <c r="AK599">
        <v>13</v>
      </c>
      <c r="AL599" t="s">
        <v>199</v>
      </c>
      <c r="AM599" t="s">
        <v>200</v>
      </c>
      <c r="AN599" t="s">
        <v>201</v>
      </c>
      <c r="AO599" t="s">
        <v>342</v>
      </c>
      <c r="AP599" t="s">
        <v>343</v>
      </c>
      <c r="AQ599" t="s">
        <v>74</v>
      </c>
      <c r="AR599" t="s">
        <v>344</v>
      </c>
      <c r="AS599" t="s">
        <v>345</v>
      </c>
      <c r="AT599" t="s">
        <v>537</v>
      </c>
      <c r="AU599">
        <v>2022</v>
      </c>
      <c r="AV599">
        <v>184</v>
      </c>
      <c r="AW599" t="s">
        <v>74</v>
      </c>
      <c r="AX599" t="s">
        <v>74</v>
      </c>
      <c r="AY599" t="s">
        <v>74</v>
      </c>
      <c r="AZ599" t="s">
        <v>74</v>
      </c>
      <c r="BA599" t="s">
        <v>74</v>
      </c>
      <c r="BB599" t="s">
        <v>74</v>
      </c>
      <c r="BC599" t="s">
        <v>74</v>
      </c>
      <c r="BD599">
        <v>103764</v>
      </c>
      <c r="BE599" t="s">
        <v>12046</v>
      </c>
      <c r="BF599" t="str">
        <f>HYPERLINK("http://dx.doi.org/10.1016/j.dsr.2022.103764","http://dx.doi.org/10.1016/j.dsr.2022.103764")</f>
        <v>http://dx.doi.org/10.1016/j.dsr.2022.103764</v>
      </c>
      <c r="BG599" t="s">
        <v>74</v>
      </c>
      <c r="BH599" t="s">
        <v>7987</v>
      </c>
      <c r="BI599">
        <v>14</v>
      </c>
      <c r="BJ599" t="s">
        <v>208</v>
      </c>
      <c r="BK599" t="s">
        <v>101</v>
      </c>
      <c r="BL599" t="s">
        <v>208</v>
      </c>
      <c r="BM599" t="s">
        <v>12047</v>
      </c>
      <c r="BN599" t="s">
        <v>74</v>
      </c>
      <c r="BO599" t="s">
        <v>1448</v>
      </c>
      <c r="BP599" t="s">
        <v>74</v>
      </c>
      <c r="BQ599" t="s">
        <v>74</v>
      </c>
      <c r="BR599" t="s">
        <v>103</v>
      </c>
      <c r="BS599" t="s">
        <v>12048</v>
      </c>
      <c r="BT599" t="str">
        <f>HYPERLINK("https%3A%2F%2Fwww.webofscience.com%2Fwos%2Fwoscc%2Ffull-record%2FWOS:000791216800002","View Full Record in Web of Science")</f>
        <v>View Full Record in Web of Science</v>
      </c>
    </row>
    <row r="600" spans="1:72" x14ac:dyDescent="0.15">
      <c r="A600" t="s">
        <v>72</v>
      </c>
      <c r="B600" t="s">
        <v>12049</v>
      </c>
      <c r="C600" t="s">
        <v>74</v>
      </c>
      <c r="D600" t="s">
        <v>74</v>
      </c>
      <c r="E600" t="s">
        <v>74</v>
      </c>
      <c r="F600" t="s">
        <v>12050</v>
      </c>
      <c r="G600" t="s">
        <v>74</v>
      </c>
      <c r="H600" t="s">
        <v>74</v>
      </c>
      <c r="I600" t="s">
        <v>12051</v>
      </c>
      <c r="J600" t="s">
        <v>7822</v>
      </c>
      <c r="K600" t="s">
        <v>74</v>
      </c>
      <c r="L600" t="s">
        <v>74</v>
      </c>
      <c r="M600" t="s">
        <v>78</v>
      </c>
      <c r="N600" t="s">
        <v>79</v>
      </c>
      <c r="O600" t="s">
        <v>74</v>
      </c>
      <c r="P600" t="s">
        <v>74</v>
      </c>
      <c r="Q600" t="s">
        <v>74</v>
      </c>
      <c r="R600" t="s">
        <v>74</v>
      </c>
      <c r="S600" t="s">
        <v>74</v>
      </c>
      <c r="T600" t="s">
        <v>12052</v>
      </c>
      <c r="U600" t="s">
        <v>12053</v>
      </c>
      <c r="V600" t="s">
        <v>12054</v>
      </c>
      <c r="W600" t="s">
        <v>12055</v>
      </c>
      <c r="X600" t="s">
        <v>12056</v>
      </c>
      <c r="Y600" t="s">
        <v>12057</v>
      </c>
      <c r="Z600" t="s">
        <v>12058</v>
      </c>
      <c r="AA600" t="s">
        <v>12059</v>
      </c>
      <c r="AB600" t="s">
        <v>12060</v>
      </c>
      <c r="AC600" t="s">
        <v>12061</v>
      </c>
      <c r="AD600" t="s">
        <v>12062</v>
      </c>
      <c r="AE600" t="s">
        <v>12063</v>
      </c>
      <c r="AF600" t="s">
        <v>74</v>
      </c>
      <c r="AG600">
        <v>20</v>
      </c>
      <c r="AH600">
        <v>0</v>
      </c>
      <c r="AI600">
        <v>0</v>
      </c>
      <c r="AJ600">
        <v>1</v>
      </c>
      <c r="AK600">
        <v>2</v>
      </c>
      <c r="AL600" t="s">
        <v>1689</v>
      </c>
      <c r="AM600" t="s">
        <v>531</v>
      </c>
      <c r="AN600" t="s">
        <v>1690</v>
      </c>
      <c r="AO600" t="s">
        <v>7833</v>
      </c>
      <c r="AP600" t="s">
        <v>7834</v>
      </c>
      <c r="AQ600" t="s">
        <v>74</v>
      </c>
      <c r="AR600" t="s">
        <v>7835</v>
      </c>
      <c r="AS600" t="s">
        <v>7836</v>
      </c>
      <c r="AT600" t="s">
        <v>8316</v>
      </c>
      <c r="AU600">
        <v>2022</v>
      </c>
      <c r="AV600">
        <v>503</v>
      </c>
      <c r="AW600">
        <v>2</v>
      </c>
      <c r="AX600" t="s">
        <v>74</v>
      </c>
      <c r="AY600" t="s">
        <v>74</v>
      </c>
      <c r="AZ600" t="s">
        <v>74</v>
      </c>
      <c r="BA600" t="s">
        <v>74</v>
      </c>
      <c r="BB600">
        <v>211</v>
      </c>
      <c r="BC600">
        <v>214</v>
      </c>
      <c r="BD600" t="s">
        <v>74</v>
      </c>
      <c r="BE600" t="s">
        <v>12064</v>
      </c>
      <c r="BF600" t="str">
        <f>HYPERLINK("http://dx.doi.org/10.1134/S1028334X2204016X","http://dx.doi.org/10.1134/S1028334X2204016X")</f>
        <v>http://dx.doi.org/10.1134/S1028334X2204016X</v>
      </c>
      <c r="BG600" t="s">
        <v>74</v>
      </c>
      <c r="BH600" t="s">
        <v>74</v>
      </c>
      <c r="BI600">
        <v>4</v>
      </c>
      <c r="BJ600" t="s">
        <v>265</v>
      </c>
      <c r="BK600" t="s">
        <v>101</v>
      </c>
      <c r="BL600" t="s">
        <v>100</v>
      </c>
      <c r="BM600" t="s">
        <v>12065</v>
      </c>
      <c r="BN600" t="s">
        <v>74</v>
      </c>
      <c r="BO600" t="s">
        <v>74</v>
      </c>
      <c r="BP600" t="s">
        <v>74</v>
      </c>
      <c r="BQ600" t="s">
        <v>74</v>
      </c>
      <c r="BR600" t="s">
        <v>103</v>
      </c>
      <c r="BS600" t="s">
        <v>12066</v>
      </c>
      <c r="BT600" t="str">
        <f>HYPERLINK("https%3A%2F%2Fwww.webofscience.com%2Fwos%2Fwoscc%2Ffull-record%2FWOS:000787308300014","View Full Record in Web of Science")</f>
        <v>View Full Record in Web of Science</v>
      </c>
    </row>
    <row r="601" spans="1:72" x14ac:dyDescent="0.15">
      <c r="A601" t="s">
        <v>72</v>
      </c>
      <c r="B601" t="s">
        <v>12067</v>
      </c>
      <c r="C601" t="s">
        <v>74</v>
      </c>
      <c r="D601" t="s">
        <v>74</v>
      </c>
      <c r="E601" t="s">
        <v>74</v>
      </c>
      <c r="F601" t="s">
        <v>12068</v>
      </c>
      <c r="G601" t="s">
        <v>74</v>
      </c>
      <c r="H601" t="s">
        <v>74</v>
      </c>
      <c r="I601" t="s">
        <v>12069</v>
      </c>
      <c r="J601" t="s">
        <v>546</v>
      </c>
      <c r="K601" t="s">
        <v>74</v>
      </c>
      <c r="L601" t="s">
        <v>74</v>
      </c>
      <c r="M601" t="s">
        <v>78</v>
      </c>
      <c r="N601" t="s">
        <v>79</v>
      </c>
      <c r="O601" t="s">
        <v>74</v>
      </c>
      <c r="P601" t="s">
        <v>74</v>
      </c>
      <c r="Q601" t="s">
        <v>74</v>
      </c>
      <c r="R601" t="s">
        <v>74</v>
      </c>
      <c r="S601" t="s">
        <v>74</v>
      </c>
      <c r="T601" t="s">
        <v>12070</v>
      </c>
      <c r="U601" t="s">
        <v>12071</v>
      </c>
      <c r="V601" t="s">
        <v>12072</v>
      </c>
      <c r="W601" t="s">
        <v>12073</v>
      </c>
      <c r="X601" t="s">
        <v>4259</v>
      </c>
      <c r="Y601" t="s">
        <v>12074</v>
      </c>
      <c r="Z601" t="s">
        <v>12075</v>
      </c>
      <c r="AA601" t="s">
        <v>4262</v>
      </c>
      <c r="AB601" t="s">
        <v>4263</v>
      </c>
      <c r="AC601" t="s">
        <v>74</v>
      </c>
      <c r="AD601" t="s">
        <v>74</v>
      </c>
      <c r="AE601" t="s">
        <v>74</v>
      </c>
      <c r="AF601" t="s">
        <v>74</v>
      </c>
      <c r="AG601">
        <v>82</v>
      </c>
      <c r="AH601">
        <v>6</v>
      </c>
      <c r="AI601">
        <v>6</v>
      </c>
      <c r="AJ601">
        <v>3</v>
      </c>
      <c r="AK601">
        <v>11</v>
      </c>
      <c r="AL601" t="s">
        <v>285</v>
      </c>
      <c r="AM601" t="s">
        <v>286</v>
      </c>
      <c r="AN601" t="s">
        <v>287</v>
      </c>
      <c r="AO601" t="s">
        <v>74</v>
      </c>
      <c r="AP601" t="s">
        <v>558</v>
      </c>
      <c r="AQ601" t="s">
        <v>74</v>
      </c>
      <c r="AR601" t="s">
        <v>559</v>
      </c>
      <c r="AS601" t="s">
        <v>560</v>
      </c>
      <c r="AT601" t="s">
        <v>11776</v>
      </c>
      <c r="AU601">
        <v>2022</v>
      </c>
      <c r="AV601">
        <v>9</v>
      </c>
      <c r="AW601" t="s">
        <v>74</v>
      </c>
      <c r="AX601" t="s">
        <v>74</v>
      </c>
      <c r="AY601" t="s">
        <v>74</v>
      </c>
      <c r="AZ601" t="s">
        <v>74</v>
      </c>
      <c r="BA601" t="s">
        <v>74</v>
      </c>
      <c r="BB601" t="s">
        <v>74</v>
      </c>
      <c r="BC601" t="s">
        <v>74</v>
      </c>
      <c r="BD601">
        <v>784469</v>
      </c>
      <c r="BE601" t="s">
        <v>12076</v>
      </c>
      <c r="BF601" t="str">
        <f>HYPERLINK("http://dx.doi.org/10.3389/fmars.2022.784469","http://dx.doi.org/10.3389/fmars.2022.784469")</f>
        <v>http://dx.doi.org/10.3389/fmars.2022.784469</v>
      </c>
      <c r="BG601" t="s">
        <v>74</v>
      </c>
      <c r="BH601" t="s">
        <v>74</v>
      </c>
      <c r="BI601">
        <v>23</v>
      </c>
      <c r="BJ601" t="s">
        <v>563</v>
      </c>
      <c r="BK601" t="s">
        <v>101</v>
      </c>
      <c r="BL601" t="s">
        <v>564</v>
      </c>
      <c r="BM601" t="s">
        <v>12077</v>
      </c>
      <c r="BN601" t="s">
        <v>74</v>
      </c>
      <c r="BO601" t="s">
        <v>1533</v>
      </c>
      <c r="BP601" t="s">
        <v>74</v>
      </c>
      <c r="BQ601" t="s">
        <v>74</v>
      </c>
      <c r="BR601" t="s">
        <v>103</v>
      </c>
      <c r="BS601" t="s">
        <v>12078</v>
      </c>
      <c r="BT601" t="str">
        <f>HYPERLINK("https%3A%2F%2Fwww.webofscience.com%2Fwos%2Fwoscc%2Ffull-record%2FWOS:000789135900001","View Full Record in Web of Science")</f>
        <v>View Full Record in Web of Science</v>
      </c>
    </row>
    <row r="602" spans="1:72" x14ac:dyDescent="0.15">
      <c r="A602" t="s">
        <v>72</v>
      </c>
      <c r="B602" t="s">
        <v>1699</v>
      </c>
      <c r="C602" t="s">
        <v>74</v>
      </c>
      <c r="D602" t="s">
        <v>74</v>
      </c>
      <c r="E602" t="s">
        <v>74</v>
      </c>
      <c r="F602" t="s">
        <v>7820</v>
      </c>
      <c r="G602" t="s">
        <v>74</v>
      </c>
      <c r="H602" t="s">
        <v>74</v>
      </c>
      <c r="I602" t="s">
        <v>12079</v>
      </c>
      <c r="J602" t="s">
        <v>12080</v>
      </c>
      <c r="K602" t="s">
        <v>74</v>
      </c>
      <c r="L602" t="s">
        <v>74</v>
      </c>
      <c r="M602" t="s">
        <v>78</v>
      </c>
      <c r="N602" t="s">
        <v>79</v>
      </c>
      <c r="O602" t="s">
        <v>74</v>
      </c>
      <c r="P602" t="s">
        <v>74</v>
      </c>
      <c r="Q602" t="s">
        <v>74</v>
      </c>
      <c r="R602" t="s">
        <v>74</v>
      </c>
      <c r="S602" t="s">
        <v>74</v>
      </c>
      <c r="T602" t="s">
        <v>12081</v>
      </c>
      <c r="U602" t="s">
        <v>12082</v>
      </c>
      <c r="V602" t="s">
        <v>12083</v>
      </c>
      <c r="W602" t="s">
        <v>12084</v>
      </c>
      <c r="X602" t="s">
        <v>1706</v>
      </c>
      <c r="Y602" t="s">
        <v>12085</v>
      </c>
      <c r="Z602" t="s">
        <v>7829</v>
      </c>
      <c r="AA602" t="s">
        <v>1709</v>
      </c>
      <c r="AB602" t="s">
        <v>1710</v>
      </c>
      <c r="AC602" t="s">
        <v>12086</v>
      </c>
      <c r="AD602" t="s">
        <v>12087</v>
      </c>
      <c r="AE602" t="s">
        <v>12088</v>
      </c>
      <c r="AF602" t="s">
        <v>74</v>
      </c>
      <c r="AG602">
        <v>44</v>
      </c>
      <c r="AH602">
        <v>2</v>
      </c>
      <c r="AI602">
        <v>2</v>
      </c>
      <c r="AJ602">
        <v>4</v>
      </c>
      <c r="AK602">
        <v>4</v>
      </c>
      <c r="AL602" t="s">
        <v>1689</v>
      </c>
      <c r="AM602" t="s">
        <v>531</v>
      </c>
      <c r="AN602" t="s">
        <v>1690</v>
      </c>
      <c r="AO602" t="s">
        <v>12089</v>
      </c>
      <c r="AP602" t="s">
        <v>12090</v>
      </c>
      <c r="AQ602" t="s">
        <v>74</v>
      </c>
      <c r="AR602" t="s">
        <v>12091</v>
      </c>
      <c r="AS602" t="s">
        <v>12092</v>
      </c>
      <c r="AT602" t="s">
        <v>8316</v>
      </c>
      <c r="AU602">
        <v>2022</v>
      </c>
      <c r="AV602">
        <v>58</v>
      </c>
      <c r="AW602">
        <v>2</v>
      </c>
      <c r="AX602" t="s">
        <v>74</v>
      </c>
      <c r="AY602" t="s">
        <v>74</v>
      </c>
      <c r="AZ602" t="s">
        <v>74</v>
      </c>
      <c r="BA602" t="s">
        <v>74</v>
      </c>
      <c r="BB602">
        <v>131</v>
      </c>
      <c r="BC602">
        <v>139</v>
      </c>
      <c r="BD602" t="s">
        <v>74</v>
      </c>
      <c r="BE602" t="s">
        <v>12093</v>
      </c>
      <c r="BF602" t="str">
        <f>HYPERLINK("http://dx.doi.org/10.1134/S0001433822010091","http://dx.doi.org/10.1134/S0001433822010091")</f>
        <v>http://dx.doi.org/10.1134/S0001433822010091</v>
      </c>
      <c r="BG602" t="s">
        <v>74</v>
      </c>
      <c r="BH602" t="s">
        <v>74</v>
      </c>
      <c r="BI602">
        <v>9</v>
      </c>
      <c r="BJ602" t="s">
        <v>12094</v>
      </c>
      <c r="BK602" t="s">
        <v>101</v>
      </c>
      <c r="BL602" t="s">
        <v>12094</v>
      </c>
      <c r="BM602" t="s">
        <v>12095</v>
      </c>
      <c r="BN602" t="s">
        <v>74</v>
      </c>
      <c r="BO602" t="s">
        <v>74</v>
      </c>
      <c r="BP602" t="s">
        <v>74</v>
      </c>
      <c r="BQ602" t="s">
        <v>74</v>
      </c>
      <c r="BR602" t="s">
        <v>103</v>
      </c>
      <c r="BS602" t="s">
        <v>12096</v>
      </c>
      <c r="BT602" t="str">
        <f>HYPERLINK("https%3A%2F%2Fwww.webofscience.com%2Fwos%2Fwoscc%2Ffull-record%2FWOS:000788622400003","View Full Record in Web of Science")</f>
        <v>View Full Record in Web of Science</v>
      </c>
    </row>
    <row r="603" spans="1:72" x14ac:dyDescent="0.15">
      <c r="A603" t="s">
        <v>72</v>
      </c>
      <c r="B603" t="s">
        <v>12097</v>
      </c>
      <c r="C603" t="s">
        <v>74</v>
      </c>
      <c r="D603" t="s">
        <v>74</v>
      </c>
      <c r="E603" t="s">
        <v>74</v>
      </c>
      <c r="F603" t="s">
        <v>12098</v>
      </c>
      <c r="G603" t="s">
        <v>74</v>
      </c>
      <c r="H603" t="s">
        <v>74</v>
      </c>
      <c r="I603" t="s">
        <v>12099</v>
      </c>
      <c r="J603" t="s">
        <v>272</v>
      </c>
      <c r="K603" t="s">
        <v>74</v>
      </c>
      <c r="L603" t="s">
        <v>74</v>
      </c>
      <c r="M603" t="s">
        <v>78</v>
      </c>
      <c r="N603" t="s">
        <v>79</v>
      </c>
      <c r="O603" t="s">
        <v>74</v>
      </c>
      <c r="P603" t="s">
        <v>74</v>
      </c>
      <c r="Q603" t="s">
        <v>74</v>
      </c>
      <c r="R603" t="s">
        <v>74</v>
      </c>
      <c r="S603" t="s">
        <v>74</v>
      </c>
      <c r="T603" t="s">
        <v>12100</v>
      </c>
      <c r="U603" t="s">
        <v>12101</v>
      </c>
      <c r="V603" t="s">
        <v>12102</v>
      </c>
      <c r="W603" t="s">
        <v>12103</v>
      </c>
      <c r="X603" t="s">
        <v>12104</v>
      </c>
      <c r="Y603" t="s">
        <v>12105</v>
      </c>
      <c r="Z603" t="s">
        <v>12106</v>
      </c>
      <c r="AA603" t="s">
        <v>12107</v>
      </c>
      <c r="AB603" t="s">
        <v>12108</v>
      </c>
      <c r="AC603" t="s">
        <v>12109</v>
      </c>
      <c r="AD603" t="s">
        <v>12110</v>
      </c>
      <c r="AE603" t="s">
        <v>12111</v>
      </c>
      <c r="AF603" t="s">
        <v>74</v>
      </c>
      <c r="AG603">
        <v>62</v>
      </c>
      <c r="AH603">
        <v>6</v>
      </c>
      <c r="AI603">
        <v>7</v>
      </c>
      <c r="AJ603">
        <v>1</v>
      </c>
      <c r="AK603">
        <v>30</v>
      </c>
      <c r="AL603" t="s">
        <v>285</v>
      </c>
      <c r="AM603" t="s">
        <v>286</v>
      </c>
      <c r="AN603" t="s">
        <v>287</v>
      </c>
      <c r="AO603" t="s">
        <v>74</v>
      </c>
      <c r="AP603" t="s">
        <v>288</v>
      </c>
      <c r="AQ603" t="s">
        <v>74</v>
      </c>
      <c r="AR603" t="s">
        <v>289</v>
      </c>
      <c r="AS603" t="s">
        <v>290</v>
      </c>
      <c r="AT603" t="s">
        <v>11776</v>
      </c>
      <c r="AU603">
        <v>2022</v>
      </c>
      <c r="AV603">
        <v>13</v>
      </c>
      <c r="AW603" t="s">
        <v>74</v>
      </c>
      <c r="AX603" t="s">
        <v>74</v>
      </c>
      <c r="AY603" t="s">
        <v>74</v>
      </c>
      <c r="AZ603" t="s">
        <v>74</v>
      </c>
      <c r="BA603" t="s">
        <v>74</v>
      </c>
      <c r="BB603" t="s">
        <v>74</v>
      </c>
      <c r="BC603" t="s">
        <v>74</v>
      </c>
      <c r="BD603">
        <v>853973</v>
      </c>
      <c r="BE603" t="s">
        <v>12112</v>
      </c>
      <c r="BF603" t="str">
        <f>HYPERLINK("http://dx.doi.org/10.3389/fmicb.2022.853973","http://dx.doi.org/10.3389/fmicb.2022.853973")</f>
        <v>http://dx.doi.org/10.3389/fmicb.2022.853973</v>
      </c>
      <c r="BG603" t="s">
        <v>74</v>
      </c>
      <c r="BH603" t="s">
        <v>74</v>
      </c>
      <c r="BI603">
        <v>13</v>
      </c>
      <c r="BJ603" t="s">
        <v>293</v>
      </c>
      <c r="BK603" t="s">
        <v>101</v>
      </c>
      <c r="BL603" t="s">
        <v>293</v>
      </c>
      <c r="BM603" t="s">
        <v>12113</v>
      </c>
      <c r="BN603">
        <v>35432264</v>
      </c>
      <c r="BO603" t="s">
        <v>295</v>
      </c>
      <c r="BP603" t="s">
        <v>74</v>
      </c>
      <c r="BQ603" t="s">
        <v>74</v>
      </c>
      <c r="BR603" t="s">
        <v>103</v>
      </c>
      <c r="BS603" t="s">
        <v>12114</v>
      </c>
      <c r="BT603" t="str">
        <f>HYPERLINK("https%3A%2F%2Fwww.webofscience.com%2Fwos%2Fwoscc%2Ffull-record%2FWOS:000789128900001","View Full Record in Web of Science")</f>
        <v>View Full Record in Web of Science</v>
      </c>
    </row>
    <row r="604" spans="1:72" x14ac:dyDescent="0.15">
      <c r="A604" t="s">
        <v>72</v>
      </c>
      <c r="B604" t="s">
        <v>12115</v>
      </c>
      <c r="C604" t="s">
        <v>74</v>
      </c>
      <c r="D604" t="s">
        <v>74</v>
      </c>
      <c r="E604" t="s">
        <v>74</v>
      </c>
      <c r="F604" t="s">
        <v>12116</v>
      </c>
      <c r="G604" t="s">
        <v>74</v>
      </c>
      <c r="H604" t="s">
        <v>74</v>
      </c>
      <c r="I604" t="s">
        <v>12117</v>
      </c>
      <c r="J604" t="s">
        <v>2056</v>
      </c>
      <c r="K604" t="s">
        <v>74</v>
      </c>
      <c r="L604" t="s">
        <v>74</v>
      </c>
      <c r="M604" t="s">
        <v>78</v>
      </c>
      <c r="N604" t="s">
        <v>79</v>
      </c>
      <c r="O604" t="s">
        <v>74</v>
      </c>
      <c r="P604" t="s">
        <v>74</v>
      </c>
      <c r="Q604" t="s">
        <v>74</v>
      </c>
      <c r="R604" t="s">
        <v>74</v>
      </c>
      <c r="S604" t="s">
        <v>74</v>
      </c>
      <c r="T604" t="s">
        <v>12118</v>
      </c>
      <c r="U604" t="s">
        <v>12119</v>
      </c>
      <c r="V604" t="s">
        <v>12120</v>
      </c>
      <c r="W604" t="s">
        <v>12121</v>
      </c>
      <c r="X604" t="s">
        <v>12122</v>
      </c>
      <c r="Y604" t="s">
        <v>12123</v>
      </c>
      <c r="Z604" t="s">
        <v>12124</v>
      </c>
      <c r="AA604" t="s">
        <v>74</v>
      </c>
      <c r="AB604" t="s">
        <v>12125</v>
      </c>
      <c r="AC604" t="s">
        <v>12126</v>
      </c>
      <c r="AD604" t="s">
        <v>12127</v>
      </c>
      <c r="AE604" t="s">
        <v>12128</v>
      </c>
      <c r="AF604" t="s">
        <v>74</v>
      </c>
      <c r="AG604">
        <v>53</v>
      </c>
      <c r="AH604">
        <v>0</v>
      </c>
      <c r="AI604">
        <v>0</v>
      </c>
      <c r="AJ604">
        <v>2</v>
      </c>
      <c r="AK604">
        <v>18</v>
      </c>
      <c r="AL604" t="s">
        <v>1766</v>
      </c>
      <c r="AM604" t="s">
        <v>1767</v>
      </c>
      <c r="AN604" t="s">
        <v>1768</v>
      </c>
      <c r="AO604" t="s">
        <v>74</v>
      </c>
      <c r="AP604" t="s">
        <v>2069</v>
      </c>
      <c r="AQ604" t="s">
        <v>74</v>
      </c>
      <c r="AR604" t="s">
        <v>2070</v>
      </c>
      <c r="AS604" t="s">
        <v>2071</v>
      </c>
      <c r="AT604" t="s">
        <v>8316</v>
      </c>
      <c r="AU604">
        <v>2022</v>
      </c>
      <c r="AV604">
        <v>10</v>
      </c>
      <c r="AW604">
        <v>4</v>
      </c>
      <c r="AX604" t="s">
        <v>74</v>
      </c>
      <c r="AY604" t="s">
        <v>74</v>
      </c>
      <c r="AZ604" t="s">
        <v>74</v>
      </c>
      <c r="BA604" t="s">
        <v>74</v>
      </c>
      <c r="BB604" t="s">
        <v>74</v>
      </c>
      <c r="BC604" t="s">
        <v>74</v>
      </c>
      <c r="BD604">
        <v>496</v>
      </c>
      <c r="BE604" t="s">
        <v>12129</v>
      </c>
      <c r="BF604" t="str">
        <f>HYPERLINK("http://dx.doi.org/10.3390/jmse10040496","http://dx.doi.org/10.3390/jmse10040496")</f>
        <v>http://dx.doi.org/10.3390/jmse10040496</v>
      </c>
      <c r="BG604" t="s">
        <v>74</v>
      </c>
      <c r="BH604" t="s">
        <v>74</v>
      </c>
      <c r="BI604">
        <v>10</v>
      </c>
      <c r="BJ604" t="s">
        <v>2073</v>
      </c>
      <c r="BK604" t="s">
        <v>101</v>
      </c>
      <c r="BL604" t="s">
        <v>2074</v>
      </c>
      <c r="BM604" t="s">
        <v>12130</v>
      </c>
      <c r="BN604" t="s">
        <v>74</v>
      </c>
      <c r="BO604" t="s">
        <v>438</v>
      </c>
      <c r="BP604" t="s">
        <v>74</v>
      </c>
      <c r="BQ604" t="s">
        <v>74</v>
      </c>
      <c r="BR604" t="s">
        <v>103</v>
      </c>
      <c r="BS604" t="s">
        <v>12131</v>
      </c>
      <c r="BT604" t="str">
        <f>HYPERLINK("https%3A%2F%2Fwww.webofscience.com%2Fwos%2Fwoscc%2Ffull-record%2FWOS:000787942100001","View Full Record in Web of Science")</f>
        <v>View Full Record in Web of Science</v>
      </c>
    </row>
    <row r="605" spans="1:72" x14ac:dyDescent="0.15">
      <c r="A605" t="s">
        <v>72</v>
      </c>
      <c r="B605" t="s">
        <v>12132</v>
      </c>
      <c r="C605" t="s">
        <v>74</v>
      </c>
      <c r="D605" t="s">
        <v>74</v>
      </c>
      <c r="E605" t="s">
        <v>74</v>
      </c>
      <c r="F605" t="s">
        <v>12133</v>
      </c>
      <c r="G605" t="s">
        <v>74</v>
      </c>
      <c r="H605" t="s">
        <v>74</v>
      </c>
      <c r="I605" t="s">
        <v>12134</v>
      </c>
      <c r="J605" t="s">
        <v>7501</v>
      </c>
      <c r="K605" t="s">
        <v>74</v>
      </c>
      <c r="L605" t="s">
        <v>74</v>
      </c>
      <c r="M605" t="s">
        <v>78</v>
      </c>
      <c r="N605" t="s">
        <v>79</v>
      </c>
      <c r="O605" t="s">
        <v>74</v>
      </c>
      <c r="P605" t="s">
        <v>74</v>
      </c>
      <c r="Q605" t="s">
        <v>74</v>
      </c>
      <c r="R605" t="s">
        <v>74</v>
      </c>
      <c r="S605" t="s">
        <v>74</v>
      </c>
      <c r="T605" t="s">
        <v>12135</v>
      </c>
      <c r="U605" t="s">
        <v>12136</v>
      </c>
      <c r="V605" t="s">
        <v>12137</v>
      </c>
      <c r="W605" t="s">
        <v>12138</v>
      </c>
      <c r="X605" t="s">
        <v>12139</v>
      </c>
      <c r="Y605" t="s">
        <v>12140</v>
      </c>
      <c r="Z605" t="s">
        <v>12141</v>
      </c>
      <c r="AA605" t="s">
        <v>12142</v>
      </c>
      <c r="AB605" t="s">
        <v>12143</v>
      </c>
      <c r="AC605" t="s">
        <v>12144</v>
      </c>
      <c r="AD605" t="s">
        <v>12145</v>
      </c>
      <c r="AE605" t="s">
        <v>12146</v>
      </c>
      <c r="AF605" t="s">
        <v>74</v>
      </c>
      <c r="AG605">
        <v>86</v>
      </c>
      <c r="AH605">
        <v>6</v>
      </c>
      <c r="AI605">
        <v>6</v>
      </c>
      <c r="AJ605">
        <v>6</v>
      </c>
      <c r="AK605">
        <v>21</v>
      </c>
      <c r="AL605" t="s">
        <v>7514</v>
      </c>
      <c r="AM605" t="s">
        <v>174</v>
      </c>
      <c r="AN605" t="s">
        <v>7515</v>
      </c>
      <c r="AO605" t="s">
        <v>7516</v>
      </c>
      <c r="AP605" t="s">
        <v>7517</v>
      </c>
      <c r="AQ605" t="s">
        <v>74</v>
      </c>
      <c r="AR605" t="s">
        <v>7518</v>
      </c>
      <c r="AS605" t="s">
        <v>7519</v>
      </c>
      <c r="AT605" t="s">
        <v>8316</v>
      </c>
      <c r="AU605">
        <v>2022</v>
      </c>
      <c r="AV605">
        <v>225</v>
      </c>
      <c r="AW605">
        <v>7</v>
      </c>
      <c r="AX605" t="s">
        <v>74</v>
      </c>
      <c r="AY605" t="s">
        <v>74</v>
      </c>
      <c r="AZ605" t="s">
        <v>74</v>
      </c>
      <c r="BA605" t="s">
        <v>74</v>
      </c>
      <c r="BB605" t="s">
        <v>74</v>
      </c>
      <c r="BC605" t="s">
        <v>74</v>
      </c>
      <c r="BD605" t="s">
        <v>12147</v>
      </c>
      <c r="BE605" t="s">
        <v>12148</v>
      </c>
      <c r="BF605" t="str">
        <f>HYPERLINK("http://dx.doi.org/10.1242/jeb.242994","http://dx.doi.org/10.1242/jeb.242994")</f>
        <v>http://dx.doi.org/10.1242/jeb.242994</v>
      </c>
      <c r="BG605" t="s">
        <v>74</v>
      </c>
      <c r="BH605" t="s">
        <v>74</v>
      </c>
      <c r="BI605">
        <v>13</v>
      </c>
      <c r="BJ605" t="s">
        <v>1819</v>
      </c>
      <c r="BK605" t="s">
        <v>101</v>
      </c>
      <c r="BL605" t="s">
        <v>1820</v>
      </c>
      <c r="BM605" t="s">
        <v>12149</v>
      </c>
      <c r="BN605">
        <v>35258589</v>
      </c>
      <c r="BO605" t="s">
        <v>1483</v>
      </c>
      <c r="BP605" t="s">
        <v>74</v>
      </c>
      <c r="BQ605" t="s">
        <v>74</v>
      </c>
      <c r="BR605" t="s">
        <v>103</v>
      </c>
      <c r="BS605" t="s">
        <v>12150</v>
      </c>
      <c r="BT605" t="str">
        <f>HYPERLINK("https%3A%2F%2Fwww.webofscience.com%2Fwos%2Fwoscc%2Ffull-record%2FWOS:000787609800004","View Full Record in Web of Science")</f>
        <v>View Full Record in Web of Science</v>
      </c>
    </row>
    <row r="606" spans="1:72" x14ac:dyDescent="0.15">
      <c r="A606" t="s">
        <v>72</v>
      </c>
      <c r="B606" t="s">
        <v>12151</v>
      </c>
      <c r="C606" t="s">
        <v>74</v>
      </c>
      <c r="D606" t="s">
        <v>74</v>
      </c>
      <c r="E606" t="s">
        <v>74</v>
      </c>
      <c r="F606" t="s">
        <v>12152</v>
      </c>
      <c r="G606" t="s">
        <v>74</v>
      </c>
      <c r="H606" t="s">
        <v>74</v>
      </c>
      <c r="I606" t="s">
        <v>12153</v>
      </c>
      <c r="J606" t="s">
        <v>12154</v>
      </c>
      <c r="K606" t="s">
        <v>74</v>
      </c>
      <c r="L606" t="s">
        <v>74</v>
      </c>
      <c r="M606" t="s">
        <v>78</v>
      </c>
      <c r="N606" t="s">
        <v>79</v>
      </c>
      <c r="O606" t="s">
        <v>74</v>
      </c>
      <c r="P606" t="s">
        <v>74</v>
      </c>
      <c r="Q606" t="s">
        <v>74</v>
      </c>
      <c r="R606" t="s">
        <v>74</v>
      </c>
      <c r="S606" t="s">
        <v>74</v>
      </c>
      <c r="T606" t="s">
        <v>12155</v>
      </c>
      <c r="U606" t="s">
        <v>12156</v>
      </c>
      <c r="V606" t="s">
        <v>12157</v>
      </c>
      <c r="W606" t="s">
        <v>12158</v>
      </c>
      <c r="X606" t="s">
        <v>12159</v>
      </c>
      <c r="Y606" t="s">
        <v>12160</v>
      </c>
      <c r="Z606" t="s">
        <v>12161</v>
      </c>
      <c r="AA606" t="s">
        <v>12162</v>
      </c>
      <c r="AB606" t="s">
        <v>12163</v>
      </c>
      <c r="AC606" t="s">
        <v>12164</v>
      </c>
      <c r="AD606" t="s">
        <v>12165</v>
      </c>
      <c r="AE606" t="s">
        <v>12166</v>
      </c>
      <c r="AF606" t="s">
        <v>74</v>
      </c>
      <c r="AG606">
        <v>48</v>
      </c>
      <c r="AH606">
        <v>1</v>
      </c>
      <c r="AI606">
        <v>1</v>
      </c>
      <c r="AJ606">
        <v>0</v>
      </c>
      <c r="AK606">
        <v>3</v>
      </c>
      <c r="AL606" t="s">
        <v>1372</v>
      </c>
      <c r="AM606" t="s">
        <v>531</v>
      </c>
      <c r="AN606" t="s">
        <v>1373</v>
      </c>
      <c r="AO606" t="s">
        <v>12167</v>
      </c>
      <c r="AP606" t="s">
        <v>12168</v>
      </c>
      <c r="AQ606" t="s">
        <v>74</v>
      </c>
      <c r="AR606" t="s">
        <v>12169</v>
      </c>
      <c r="AS606" t="s">
        <v>12170</v>
      </c>
      <c r="AT606" t="s">
        <v>8316</v>
      </c>
      <c r="AU606">
        <v>2022</v>
      </c>
      <c r="AV606">
        <v>55</v>
      </c>
      <c r="AW606">
        <v>4</v>
      </c>
      <c r="AX606" t="s">
        <v>74</v>
      </c>
      <c r="AY606" t="s">
        <v>74</v>
      </c>
      <c r="AZ606" t="s">
        <v>74</v>
      </c>
      <c r="BA606" t="s">
        <v>74</v>
      </c>
      <c r="BB606">
        <v>413</v>
      </c>
      <c r="BC606">
        <v>424</v>
      </c>
      <c r="BD606" t="s">
        <v>74</v>
      </c>
      <c r="BE606" t="s">
        <v>12171</v>
      </c>
      <c r="BF606" t="str">
        <f>HYPERLINK("http://dx.doi.org/10.1134/S1064229322040123","http://dx.doi.org/10.1134/S1064229322040123")</f>
        <v>http://dx.doi.org/10.1134/S1064229322040123</v>
      </c>
      <c r="BG606" t="s">
        <v>74</v>
      </c>
      <c r="BH606" t="s">
        <v>74</v>
      </c>
      <c r="BI606">
        <v>12</v>
      </c>
      <c r="BJ606" t="s">
        <v>12172</v>
      </c>
      <c r="BK606" t="s">
        <v>101</v>
      </c>
      <c r="BL606" t="s">
        <v>12173</v>
      </c>
      <c r="BM606" t="s">
        <v>12174</v>
      </c>
      <c r="BN606" t="s">
        <v>74</v>
      </c>
      <c r="BO606" t="s">
        <v>74</v>
      </c>
      <c r="BP606" t="s">
        <v>74</v>
      </c>
      <c r="BQ606" t="s">
        <v>74</v>
      </c>
      <c r="BR606" t="s">
        <v>103</v>
      </c>
      <c r="BS606" t="s">
        <v>12175</v>
      </c>
      <c r="BT606" t="str">
        <f>HYPERLINK("https%3A%2F%2Fwww.webofscience.com%2Fwos%2Fwoscc%2Ffull-record%2FWOS:000786818400003","View Full Record in Web of Science")</f>
        <v>View Full Record in Web of Science</v>
      </c>
    </row>
    <row r="607" spans="1:72" x14ac:dyDescent="0.15">
      <c r="A607" t="s">
        <v>72</v>
      </c>
      <c r="B607" t="s">
        <v>12176</v>
      </c>
      <c r="C607" t="s">
        <v>74</v>
      </c>
      <c r="D607" t="s">
        <v>74</v>
      </c>
      <c r="E607" t="s">
        <v>74</v>
      </c>
      <c r="F607" t="s">
        <v>12177</v>
      </c>
      <c r="G607" t="s">
        <v>74</v>
      </c>
      <c r="H607" t="s">
        <v>74</v>
      </c>
      <c r="I607" t="s">
        <v>12178</v>
      </c>
      <c r="J607" t="s">
        <v>12179</v>
      </c>
      <c r="K607" t="s">
        <v>74</v>
      </c>
      <c r="L607" t="s">
        <v>74</v>
      </c>
      <c r="M607" t="s">
        <v>78</v>
      </c>
      <c r="N607" t="s">
        <v>79</v>
      </c>
      <c r="O607" t="s">
        <v>74</v>
      </c>
      <c r="P607" t="s">
        <v>74</v>
      </c>
      <c r="Q607" t="s">
        <v>74</v>
      </c>
      <c r="R607" t="s">
        <v>74</v>
      </c>
      <c r="S607" t="s">
        <v>74</v>
      </c>
      <c r="T607" t="s">
        <v>12180</v>
      </c>
      <c r="U607" t="s">
        <v>12181</v>
      </c>
      <c r="V607" t="s">
        <v>12182</v>
      </c>
      <c r="W607" t="s">
        <v>12183</v>
      </c>
      <c r="X607" t="s">
        <v>12184</v>
      </c>
      <c r="Y607" t="s">
        <v>12185</v>
      </c>
      <c r="Z607" t="s">
        <v>12186</v>
      </c>
      <c r="AA607" t="s">
        <v>12187</v>
      </c>
      <c r="AB607" t="s">
        <v>12188</v>
      </c>
      <c r="AC607" t="s">
        <v>12189</v>
      </c>
      <c r="AD607" t="s">
        <v>74</v>
      </c>
      <c r="AE607" t="s">
        <v>12190</v>
      </c>
      <c r="AF607" t="s">
        <v>74</v>
      </c>
      <c r="AG607">
        <v>73</v>
      </c>
      <c r="AH607">
        <v>5</v>
      </c>
      <c r="AI607">
        <v>5</v>
      </c>
      <c r="AJ607">
        <v>2</v>
      </c>
      <c r="AK607">
        <v>8</v>
      </c>
      <c r="AL607" t="s">
        <v>1766</v>
      </c>
      <c r="AM607" t="s">
        <v>1767</v>
      </c>
      <c r="AN607" t="s">
        <v>1768</v>
      </c>
      <c r="AO607" t="s">
        <v>74</v>
      </c>
      <c r="AP607" t="s">
        <v>12191</v>
      </c>
      <c r="AQ607" t="s">
        <v>74</v>
      </c>
      <c r="AR607" t="s">
        <v>12192</v>
      </c>
      <c r="AS607" t="s">
        <v>12193</v>
      </c>
      <c r="AT607" t="s">
        <v>8316</v>
      </c>
      <c r="AU607">
        <v>2022</v>
      </c>
      <c r="AV607">
        <v>11</v>
      </c>
      <c r="AW607">
        <v>4</v>
      </c>
      <c r="AX607" t="s">
        <v>74</v>
      </c>
      <c r="AY607" t="s">
        <v>74</v>
      </c>
      <c r="AZ607" t="s">
        <v>74</v>
      </c>
      <c r="BA607" t="s">
        <v>74</v>
      </c>
      <c r="BB607" t="s">
        <v>74</v>
      </c>
      <c r="BC607" t="s">
        <v>74</v>
      </c>
      <c r="BD607">
        <v>225</v>
      </c>
      <c r="BE607" t="s">
        <v>12194</v>
      </c>
      <c r="BF607" t="str">
        <f>HYPERLINK("http://dx.doi.org/10.3390/ijgi11040225","http://dx.doi.org/10.3390/ijgi11040225")</f>
        <v>http://dx.doi.org/10.3390/ijgi11040225</v>
      </c>
      <c r="BG607" t="s">
        <v>74</v>
      </c>
      <c r="BH607" t="s">
        <v>74</v>
      </c>
      <c r="BI607">
        <v>20</v>
      </c>
      <c r="BJ607" t="s">
        <v>12195</v>
      </c>
      <c r="BK607" t="s">
        <v>101</v>
      </c>
      <c r="BL607" t="s">
        <v>12196</v>
      </c>
      <c r="BM607" t="s">
        <v>12197</v>
      </c>
      <c r="BN607" t="s">
        <v>74</v>
      </c>
      <c r="BO607" t="s">
        <v>1533</v>
      </c>
      <c r="BP607" t="s">
        <v>74</v>
      </c>
      <c r="BQ607" t="s">
        <v>74</v>
      </c>
      <c r="BR607" t="s">
        <v>103</v>
      </c>
      <c r="BS607" t="s">
        <v>12198</v>
      </c>
      <c r="BT607" t="str">
        <f>HYPERLINK("https%3A%2F%2Fwww.webofscience.com%2Fwos%2Fwoscc%2Ffull-record%2FWOS:000786901600001","View Full Record in Web of Science")</f>
        <v>View Full Record in Web of Science</v>
      </c>
    </row>
    <row r="608" spans="1:72" x14ac:dyDescent="0.15">
      <c r="A608" t="s">
        <v>72</v>
      </c>
      <c r="B608" t="s">
        <v>12199</v>
      </c>
      <c r="C608" t="s">
        <v>74</v>
      </c>
      <c r="D608" t="s">
        <v>74</v>
      </c>
      <c r="E608" t="s">
        <v>74</v>
      </c>
      <c r="F608" t="s">
        <v>12200</v>
      </c>
      <c r="G608" t="s">
        <v>74</v>
      </c>
      <c r="H608" t="s">
        <v>74</v>
      </c>
      <c r="I608" t="s">
        <v>12201</v>
      </c>
      <c r="J608" t="s">
        <v>1848</v>
      </c>
      <c r="K608" t="s">
        <v>74</v>
      </c>
      <c r="L608" t="s">
        <v>74</v>
      </c>
      <c r="M608" t="s">
        <v>78</v>
      </c>
      <c r="N608" t="s">
        <v>161</v>
      </c>
      <c r="O608" t="s">
        <v>74</v>
      </c>
      <c r="P608" t="s">
        <v>74</v>
      </c>
      <c r="Q608" t="s">
        <v>74</v>
      </c>
      <c r="R608" t="s">
        <v>74</v>
      </c>
      <c r="S608" t="s">
        <v>74</v>
      </c>
      <c r="T608" t="s">
        <v>12202</v>
      </c>
      <c r="U608" t="s">
        <v>12203</v>
      </c>
      <c r="V608" t="s">
        <v>12204</v>
      </c>
      <c r="W608" t="s">
        <v>12205</v>
      </c>
      <c r="X608" t="s">
        <v>12206</v>
      </c>
      <c r="Y608" t="s">
        <v>12207</v>
      </c>
      <c r="Z608" t="s">
        <v>12208</v>
      </c>
      <c r="AA608" t="s">
        <v>12209</v>
      </c>
      <c r="AB608" t="s">
        <v>12210</v>
      </c>
      <c r="AC608" t="s">
        <v>12211</v>
      </c>
      <c r="AD608" t="s">
        <v>12212</v>
      </c>
      <c r="AE608" t="s">
        <v>12213</v>
      </c>
      <c r="AF608" t="s">
        <v>74</v>
      </c>
      <c r="AG608">
        <v>126</v>
      </c>
      <c r="AH608">
        <v>2</v>
      </c>
      <c r="AI608">
        <v>2</v>
      </c>
      <c r="AJ608">
        <v>10</v>
      </c>
      <c r="AK608">
        <v>30</v>
      </c>
      <c r="AL608" t="s">
        <v>1766</v>
      </c>
      <c r="AM608" t="s">
        <v>1767</v>
      </c>
      <c r="AN608" t="s">
        <v>1768</v>
      </c>
      <c r="AO608" t="s">
        <v>74</v>
      </c>
      <c r="AP608" t="s">
        <v>1859</v>
      </c>
      <c r="AQ608" t="s">
        <v>74</v>
      </c>
      <c r="AR608" t="s">
        <v>1848</v>
      </c>
      <c r="AS608" t="s">
        <v>1860</v>
      </c>
      <c r="AT608" t="s">
        <v>8316</v>
      </c>
      <c r="AU608">
        <v>2022</v>
      </c>
      <c r="AV608">
        <v>14</v>
      </c>
      <c r="AW608">
        <v>4</v>
      </c>
      <c r="AX608" t="s">
        <v>74</v>
      </c>
      <c r="AY608" t="s">
        <v>74</v>
      </c>
      <c r="AZ608" t="s">
        <v>74</v>
      </c>
      <c r="BA608" t="s">
        <v>74</v>
      </c>
      <c r="BB608" t="s">
        <v>74</v>
      </c>
      <c r="BC608" t="s">
        <v>74</v>
      </c>
      <c r="BD608">
        <v>255</v>
      </c>
      <c r="BE608" t="s">
        <v>12214</v>
      </c>
      <c r="BF608" t="str">
        <f>HYPERLINK("http://dx.doi.org/10.3390/d14040255","http://dx.doi.org/10.3390/d14040255")</f>
        <v>http://dx.doi.org/10.3390/d14040255</v>
      </c>
      <c r="BG608" t="s">
        <v>74</v>
      </c>
      <c r="BH608" t="s">
        <v>74</v>
      </c>
      <c r="BI608">
        <v>20</v>
      </c>
      <c r="BJ608" t="s">
        <v>539</v>
      </c>
      <c r="BK608" t="s">
        <v>101</v>
      </c>
      <c r="BL608" t="s">
        <v>540</v>
      </c>
      <c r="BM608" t="s">
        <v>12215</v>
      </c>
      <c r="BN608" t="s">
        <v>74</v>
      </c>
      <c r="BO608" t="s">
        <v>438</v>
      </c>
      <c r="BP608" t="s">
        <v>74</v>
      </c>
      <c r="BQ608" t="s">
        <v>74</v>
      </c>
      <c r="BR608" t="s">
        <v>103</v>
      </c>
      <c r="BS608" t="s">
        <v>12216</v>
      </c>
      <c r="BT608" t="str">
        <f>HYPERLINK("https%3A%2F%2Fwww.webofscience.com%2Fwos%2Fwoscc%2Ffull-record%2FWOS:000785147700001","View Full Record in Web of Science")</f>
        <v>View Full Record in Web of Science</v>
      </c>
    </row>
    <row r="609" spans="1:72" x14ac:dyDescent="0.15">
      <c r="A609" t="s">
        <v>72</v>
      </c>
      <c r="B609" t="s">
        <v>12217</v>
      </c>
      <c r="C609" t="s">
        <v>74</v>
      </c>
      <c r="D609" t="s">
        <v>74</v>
      </c>
      <c r="E609" t="s">
        <v>74</v>
      </c>
      <c r="F609" t="s">
        <v>12218</v>
      </c>
      <c r="G609" t="s">
        <v>74</v>
      </c>
      <c r="H609" t="s">
        <v>74</v>
      </c>
      <c r="I609" t="s">
        <v>12219</v>
      </c>
      <c r="J609" t="s">
        <v>12220</v>
      </c>
      <c r="K609" t="s">
        <v>74</v>
      </c>
      <c r="L609" t="s">
        <v>74</v>
      </c>
      <c r="M609" t="s">
        <v>78</v>
      </c>
      <c r="N609" t="s">
        <v>79</v>
      </c>
      <c r="O609" t="s">
        <v>74</v>
      </c>
      <c r="P609" t="s">
        <v>74</v>
      </c>
      <c r="Q609" t="s">
        <v>74</v>
      </c>
      <c r="R609" t="s">
        <v>74</v>
      </c>
      <c r="S609" t="s">
        <v>74</v>
      </c>
      <c r="T609" t="s">
        <v>12221</v>
      </c>
      <c r="U609" t="s">
        <v>12222</v>
      </c>
      <c r="V609" t="s">
        <v>12223</v>
      </c>
      <c r="W609" t="s">
        <v>12224</v>
      </c>
      <c r="X609" t="s">
        <v>12225</v>
      </c>
      <c r="Y609" t="s">
        <v>12226</v>
      </c>
      <c r="Z609" t="s">
        <v>12227</v>
      </c>
      <c r="AA609" t="s">
        <v>12228</v>
      </c>
      <c r="AB609" t="s">
        <v>12229</v>
      </c>
      <c r="AC609" t="s">
        <v>12230</v>
      </c>
      <c r="AD609" t="s">
        <v>12231</v>
      </c>
      <c r="AE609" t="s">
        <v>12232</v>
      </c>
      <c r="AF609" t="s">
        <v>74</v>
      </c>
      <c r="AG609">
        <v>29</v>
      </c>
      <c r="AH609">
        <v>3</v>
      </c>
      <c r="AI609">
        <v>3</v>
      </c>
      <c r="AJ609">
        <v>10</v>
      </c>
      <c r="AK609">
        <v>44</v>
      </c>
      <c r="AL609" t="s">
        <v>12233</v>
      </c>
      <c r="AM609" t="s">
        <v>401</v>
      </c>
      <c r="AN609" t="s">
        <v>12234</v>
      </c>
      <c r="AO609" t="s">
        <v>12235</v>
      </c>
      <c r="AP609" t="s">
        <v>12236</v>
      </c>
      <c r="AQ609" t="s">
        <v>74</v>
      </c>
      <c r="AR609" t="s">
        <v>12237</v>
      </c>
      <c r="AS609" t="s">
        <v>12238</v>
      </c>
      <c r="AT609" t="s">
        <v>8316</v>
      </c>
      <c r="AU609">
        <v>2022</v>
      </c>
      <c r="AV609">
        <v>50</v>
      </c>
      <c r="AW609">
        <v>4</v>
      </c>
      <c r="AX609" t="s">
        <v>74</v>
      </c>
      <c r="AY609" t="s">
        <v>74</v>
      </c>
      <c r="AZ609" t="s">
        <v>74</v>
      </c>
      <c r="BA609" t="s">
        <v>74</v>
      </c>
      <c r="BB609" t="s">
        <v>74</v>
      </c>
      <c r="BC609" t="s">
        <v>74</v>
      </c>
      <c r="BD609">
        <v>3000605221089883</v>
      </c>
      <c r="BE609" t="s">
        <v>12239</v>
      </c>
      <c r="BF609" t="str">
        <f>HYPERLINK("http://dx.doi.org/10.1177/03000605221089883","http://dx.doi.org/10.1177/03000605221089883")</f>
        <v>http://dx.doi.org/10.1177/03000605221089883</v>
      </c>
      <c r="BG609" t="s">
        <v>74</v>
      </c>
      <c r="BH609" t="s">
        <v>74</v>
      </c>
      <c r="BI609">
        <v>8</v>
      </c>
      <c r="BJ609" t="s">
        <v>12240</v>
      </c>
      <c r="BK609" t="s">
        <v>956</v>
      </c>
      <c r="BL609" t="s">
        <v>12241</v>
      </c>
      <c r="BM609" t="s">
        <v>12242</v>
      </c>
      <c r="BN609">
        <v>35437052</v>
      </c>
      <c r="BO609" t="s">
        <v>295</v>
      </c>
      <c r="BP609" t="s">
        <v>74</v>
      </c>
      <c r="BQ609" t="s">
        <v>74</v>
      </c>
      <c r="BR609" t="s">
        <v>103</v>
      </c>
      <c r="BS609" t="s">
        <v>12243</v>
      </c>
      <c r="BT609" t="str">
        <f>HYPERLINK("https%3A%2F%2Fwww.webofscience.com%2Fwos%2Fwoscc%2Ffull-record%2FWOS:000786431300001","View Full Record in Web of Science")</f>
        <v>View Full Record in Web of Science</v>
      </c>
    </row>
    <row r="610" spans="1:72" x14ac:dyDescent="0.15">
      <c r="A610" t="s">
        <v>72</v>
      </c>
      <c r="B610" t="s">
        <v>12244</v>
      </c>
      <c r="C610" t="s">
        <v>74</v>
      </c>
      <c r="D610" t="s">
        <v>74</v>
      </c>
      <c r="E610" t="s">
        <v>74</v>
      </c>
      <c r="F610" t="s">
        <v>12245</v>
      </c>
      <c r="G610" t="s">
        <v>74</v>
      </c>
      <c r="H610" t="s">
        <v>74</v>
      </c>
      <c r="I610" t="s">
        <v>12246</v>
      </c>
      <c r="J610" t="s">
        <v>12247</v>
      </c>
      <c r="K610" t="s">
        <v>74</v>
      </c>
      <c r="L610" t="s">
        <v>74</v>
      </c>
      <c r="M610" t="s">
        <v>78</v>
      </c>
      <c r="N610" t="s">
        <v>190</v>
      </c>
      <c r="O610" t="s">
        <v>74</v>
      </c>
      <c r="P610" t="s">
        <v>74</v>
      </c>
      <c r="Q610" t="s">
        <v>74</v>
      </c>
      <c r="R610" t="s">
        <v>74</v>
      </c>
      <c r="S610" t="s">
        <v>74</v>
      </c>
      <c r="T610" t="s">
        <v>74</v>
      </c>
      <c r="U610" t="s">
        <v>74</v>
      </c>
      <c r="V610" t="s">
        <v>74</v>
      </c>
      <c r="W610" t="s">
        <v>74</v>
      </c>
      <c r="X610" t="s">
        <v>74</v>
      </c>
      <c r="Y610" t="s">
        <v>74</v>
      </c>
      <c r="Z610" t="s">
        <v>74</v>
      </c>
      <c r="AA610" t="s">
        <v>74</v>
      </c>
      <c r="AB610" t="s">
        <v>74</v>
      </c>
      <c r="AC610" t="s">
        <v>74</v>
      </c>
      <c r="AD610" t="s">
        <v>74</v>
      </c>
      <c r="AE610" t="s">
        <v>74</v>
      </c>
      <c r="AF610" t="s">
        <v>74</v>
      </c>
      <c r="AG610">
        <v>0</v>
      </c>
      <c r="AH610">
        <v>0</v>
      </c>
      <c r="AI610">
        <v>0</v>
      </c>
      <c r="AJ610">
        <v>1</v>
      </c>
      <c r="AK610">
        <v>1</v>
      </c>
      <c r="AL610" t="s">
        <v>12248</v>
      </c>
      <c r="AM610" t="s">
        <v>531</v>
      </c>
      <c r="AN610" t="s">
        <v>12249</v>
      </c>
      <c r="AO610" t="s">
        <v>12250</v>
      </c>
      <c r="AP610" t="s">
        <v>74</v>
      </c>
      <c r="AQ610" t="s">
        <v>74</v>
      </c>
      <c r="AR610" t="s">
        <v>12251</v>
      </c>
      <c r="AS610" t="s">
        <v>12252</v>
      </c>
      <c r="AT610" t="s">
        <v>8316</v>
      </c>
      <c r="AU610">
        <v>2022</v>
      </c>
      <c r="AV610">
        <v>130</v>
      </c>
      <c r="AW610">
        <v>4</v>
      </c>
      <c r="AX610" t="s">
        <v>74</v>
      </c>
      <c r="AY610" t="s">
        <v>74</v>
      </c>
      <c r="AZ610" t="s">
        <v>74</v>
      </c>
      <c r="BA610" t="s">
        <v>74</v>
      </c>
      <c r="BB610">
        <v>7</v>
      </c>
      <c r="BC610">
        <v>7</v>
      </c>
      <c r="BD610" t="s">
        <v>74</v>
      </c>
      <c r="BE610" t="s">
        <v>74</v>
      </c>
      <c r="BF610" t="s">
        <v>74</v>
      </c>
      <c r="BG610" t="s">
        <v>74</v>
      </c>
      <c r="BH610" t="s">
        <v>74</v>
      </c>
      <c r="BI610">
        <v>1</v>
      </c>
      <c r="BJ610" t="s">
        <v>539</v>
      </c>
      <c r="BK610" t="s">
        <v>101</v>
      </c>
      <c r="BL610" t="s">
        <v>540</v>
      </c>
      <c r="BM610" t="s">
        <v>12253</v>
      </c>
      <c r="BN610" t="s">
        <v>74</v>
      </c>
      <c r="BO610" t="s">
        <v>74</v>
      </c>
      <c r="BP610" t="s">
        <v>74</v>
      </c>
      <c r="BQ610" t="s">
        <v>74</v>
      </c>
      <c r="BR610" t="s">
        <v>103</v>
      </c>
      <c r="BS610" t="s">
        <v>12254</v>
      </c>
      <c r="BT610" t="str">
        <f>HYPERLINK("https%3A%2F%2Fwww.webofscience.com%2Fwos%2Fwoscc%2Ffull-record%2FWOS:000778622800006","View Full Record in Web of Science")</f>
        <v>View Full Record in Web of Science</v>
      </c>
    </row>
    <row r="611" spans="1:72" x14ac:dyDescent="0.15">
      <c r="A611" t="s">
        <v>72</v>
      </c>
      <c r="B611" t="s">
        <v>12255</v>
      </c>
      <c r="C611" t="s">
        <v>74</v>
      </c>
      <c r="D611" t="s">
        <v>74</v>
      </c>
      <c r="E611" t="s">
        <v>74</v>
      </c>
      <c r="F611" t="s">
        <v>12256</v>
      </c>
      <c r="G611" t="s">
        <v>74</v>
      </c>
      <c r="H611" t="s">
        <v>74</v>
      </c>
      <c r="I611" t="s">
        <v>12257</v>
      </c>
      <c r="J611" t="s">
        <v>1923</v>
      </c>
      <c r="K611" t="s">
        <v>74</v>
      </c>
      <c r="L611" t="s">
        <v>74</v>
      </c>
      <c r="M611" t="s">
        <v>78</v>
      </c>
      <c r="N611" t="s">
        <v>79</v>
      </c>
      <c r="O611" t="s">
        <v>74</v>
      </c>
      <c r="P611" t="s">
        <v>74</v>
      </c>
      <c r="Q611" t="s">
        <v>74</v>
      </c>
      <c r="R611" t="s">
        <v>74</v>
      </c>
      <c r="S611" t="s">
        <v>74</v>
      </c>
      <c r="T611" t="s">
        <v>12258</v>
      </c>
      <c r="U611" t="s">
        <v>12259</v>
      </c>
      <c r="V611" t="s">
        <v>12260</v>
      </c>
      <c r="W611" t="s">
        <v>12261</v>
      </c>
      <c r="X611" t="s">
        <v>12262</v>
      </c>
      <c r="Y611" t="s">
        <v>12263</v>
      </c>
      <c r="Z611" t="s">
        <v>12264</v>
      </c>
      <c r="AA611" t="s">
        <v>12265</v>
      </c>
      <c r="AB611" t="s">
        <v>12266</v>
      </c>
      <c r="AC611" t="s">
        <v>12267</v>
      </c>
      <c r="AD611" t="s">
        <v>12268</v>
      </c>
      <c r="AE611" t="s">
        <v>12269</v>
      </c>
      <c r="AF611" t="s">
        <v>74</v>
      </c>
      <c r="AG611">
        <v>64</v>
      </c>
      <c r="AH611">
        <v>3</v>
      </c>
      <c r="AI611">
        <v>3</v>
      </c>
      <c r="AJ611">
        <v>2</v>
      </c>
      <c r="AK611">
        <v>14</v>
      </c>
      <c r="AL611" t="s">
        <v>1766</v>
      </c>
      <c r="AM611" t="s">
        <v>1767</v>
      </c>
      <c r="AN611" t="s">
        <v>1768</v>
      </c>
      <c r="AO611" t="s">
        <v>74</v>
      </c>
      <c r="AP611" t="s">
        <v>1935</v>
      </c>
      <c r="AQ611" t="s">
        <v>74</v>
      </c>
      <c r="AR611" t="s">
        <v>1936</v>
      </c>
      <c r="AS611" t="s">
        <v>1937</v>
      </c>
      <c r="AT611" t="s">
        <v>8316</v>
      </c>
      <c r="AU611">
        <v>2022</v>
      </c>
      <c r="AV611">
        <v>14</v>
      </c>
      <c r="AW611">
        <v>8</v>
      </c>
      <c r="AX611" t="s">
        <v>74</v>
      </c>
      <c r="AY611" t="s">
        <v>74</v>
      </c>
      <c r="AZ611" t="s">
        <v>74</v>
      </c>
      <c r="BA611" t="s">
        <v>74</v>
      </c>
      <c r="BB611" t="s">
        <v>74</v>
      </c>
      <c r="BC611" t="s">
        <v>74</v>
      </c>
      <c r="BD611">
        <v>1788</v>
      </c>
      <c r="BE611" t="s">
        <v>12270</v>
      </c>
      <c r="BF611" t="str">
        <f>HYPERLINK("http://dx.doi.org/10.3390/rs14081788","http://dx.doi.org/10.3390/rs14081788")</f>
        <v>http://dx.doi.org/10.3390/rs14081788</v>
      </c>
      <c r="BG611" t="s">
        <v>74</v>
      </c>
      <c r="BH611" t="s">
        <v>74</v>
      </c>
      <c r="BI611">
        <v>17</v>
      </c>
      <c r="BJ611" t="s">
        <v>1939</v>
      </c>
      <c r="BK611" t="s">
        <v>101</v>
      </c>
      <c r="BL611" t="s">
        <v>1940</v>
      </c>
      <c r="BM611" t="s">
        <v>12271</v>
      </c>
      <c r="BN611" t="s">
        <v>74</v>
      </c>
      <c r="BO611" t="s">
        <v>128</v>
      </c>
      <c r="BP611" t="s">
        <v>74</v>
      </c>
      <c r="BQ611" t="s">
        <v>74</v>
      </c>
      <c r="BR611" t="s">
        <v>103</v>
      </c>
      <c r="BS611" t="s">
        <v>12272</v>
      </c>
      <c r="BT611" t="str">
        <f>HYPERLINK("https%3A%2F%2Fwww.webofscience.com%2Fwos%2Fwoscc%2Ffull-record%2FWOS:000787400700001","View Full Record in Web of Science")</f>
        <v>View Full Record in Web of Science</v>
      </c>
    </row>
    <row r="612" spans="1:72" x14ac:dyDescent="0.15">
      <c r="A612" t="s">
        <v>72</v>
      </c>
      <c r="B612" t="s">
        <v>12273</v>
      </c>
      <c r="C612" t="s">
        <v>74</v>
      </c>
      <c r="D612" t="s">
        <v>74</v>
      </c>
      <c r="E612" t="s">
        <v>74</v>
      </c>
      <c r="F612" t="s">
        <v>12274</v>
      </c>
      <c r="G612" t="s">
        <v>74</v>
      </c>
      <c r="H612" t="s">
        <v>74</v>
      </c>
      <c r="I612" t="s">
        <v>12275</v>
      </c>
      <c r="J612" t="s">
        <v>12276</v>
      </c>
      <c r="K612" t="s">
        <v>74</v>
      </c>
      <c r="L612" t="s">
        <v>74</v>
      </c>
      <c r="M612" t="s">
        <v>78</v>
      </c>
      <c r="N612" t="s">
        <v>79</v>
      </c>
      <c r="O612" t="s">
        <v>74</v>
      </c>
      <c r="P612" t="s">
        <v>74</v>
      </c>
      <c r="Q612" t="s">
        <v>74</v>
      </c>
      <c r="R612" t="s">
        <v>74</v>
      </c>
      <c r="S612" t="s">
        <v>74</v>
      </c>
      <c r="T612" t="s">
        <v>12277</v>
      </c>
      <c r="U612" t="s">
        <v>12278</v>
      </c>
      <c r="V612" t="s">
        <v>12279</v>
      </c>
      <c r="W612" t="s">
        <v>12280</v>
      </c>
      <c r="X612" t="s">
        <v>12281</v>
      </c>
      <c r="Y612" t="s">
        <v>12282</v>
      </c>
      <c r="Z612" t="s">
        <v>12283</v>
      </c>
      <c r="AA612" t="s">
        <v>74</v>
      </c>
      <c r="AB612" t="s">
        <v>12284</v>
      </c>
      <c r="AC612" t="s">
        <v>12285</v>
      </c>
      <c r="AD612" t="s">
        <v>12286</v>
      </c>
      <c r="AE612" t="s">
        <v>12287</v>
      </c>
      <c r="AF612" t="s">
        <v>74</v>
      </c>
      <c r="AG612">
        <v>37</v>
      </c>
      <c r="AH612">
        <v>1</v>
      </c>
      <c r="AI612">
        <v>1</v>
      </c>
      <c r="AJ612">
        <v>0</v>
      </c>
      <c r="AK612">
        <v>0</v>
      </c>
      <c r="AL612" t="s">
        <v>1766</v>
      </c>
      <c r="AM612" t="s">
        <v>1767</v>
      </c>
      <c r="AN612" t="s">
        <v>1768</v>
      </c>
      <c r="AO612" t="s">
        <v>74</v>
      </c>
      <c r="AP612" t="s">
        <v>12288</v>
      </c>
      <c r="AQ612" t="s">
        <v>74</v>
      </c>
      <c r="AR612" t="s">
        <v>12276</v>
      </c>
      <c r="AS612" t="s">
        <v>12289</v>
      </c>
      <c r="AT612" t="s">
        <v>8316</v>
      </c>
      <c r="AU612">
        <v>2022</v>
      </c>
      <c r="AV612">
        <v>12</v>
      </c>
      <c r="AW612">
        <v>4</v>
      </c>
      <c r="AX612" t="s">
        <v>74</v>
      </c>
      <c r="AY612" t="s">
        <v>74</v>
      </c>
      <c r="AZ612" t="s">
        <v>74</v>
      </c>
      <c r="BA612" t="s">
        <v>74</v>
      </c>
      <c r="BB612" t="s">
        <v>74</v>
      </c>
      <c r="BC612" t="s">
        <v>74</v>
      </c>
      <c r="BD612">
        <v>538</v>
      </c>
      <c r="BE612" t="s">
        <v>12290</v>
      </c>
      <c r="BF612" t="str">
        <f>HYPERLINK("http://dx.doi.org/10.3390/cryst12040538","http://dx.doi.org/10.3390/cryst12040538")</f>
        <v>http://dx.doi.org/10.3390/cryst12040538</v>
      </c>
      <c r="BG612" t="s">
        <v>74</v>
      </c>
      <c r="BH612" t="s">
        <v>74</v>
      </c>
      <c r="BI612">
        <v>9</v>
      </c>
      <c r="BJ612" t="s">
        <v>12291</v>
      </c>
      <c r="BK612" t="s">
        <v>101</v>
      </c>
      <c r="BL612" t="s">
        <v>12292</v>
      </c>
      <c r="BM612" t="s">
        <v>12293</v>
      </c>
      <c r="BN612" t="s">
        <v>74</v>
      </c>
      <c r="BO612" t="s">
        <v>438</v>
      </c>
      <c r="BP612" t="s">
        <v>74</v>
      </c>
      <c r="BQ612" t="s">
        <v>74</v>
      </c>
      <c r="BR612" t="s">
        <v>103</v>
      </c>
      <c r="BS612" t="s">
        <v>12294</v>
      </c>
      <c r="BT612" t="str">
        <f>HYPERLINK("https%3A%2F%2Fwww.webofscience.com%2Fwos%2Fwoscc%2Ffull-record%2FWOS:000786312400001","View Full Record in Web of Science")</f>
        <v>View Full Record in Web of Science</v>
      </c>
    </row>
    <row r="613" spans="1:72" x14ac:dyDescent="0.15">
      <c r="A613" t="s">
        <v>72</v>
      </c>
      <c r="B613" t="s">
        <v>12295</v>
      </c>
      <c r="C613" t="s">
        <v>74</v>
      </c>
      <c r="D613" t="s">
        <v>74</v>
      </c>
      <c r="E613" t="s">
        <v>74</v>
      </c>
      <c r="F613" t="s">
        <v>12296</v>
      </c>
      <c r="G613" t="s">
        <v>74</v>
      </c>
      <c r="H613" t="s">
        <v>74</v>
      </c>
      <c r="I613" t="s">
        <v>12297</v>
      </c>
      <c r="J613" t="s">
        <v>12298</v>
      </c>
      <c r="K613" t="s">
        <v>74</v>
      </c>
      <c r="L613" t="s">
        <v>74</v>
      </c>
      <c r="M613" t="s">
        <v>78</v>
      </c>
      <c r="N613" t="s">
        <v>79</v>
      </c>
      <c r="O613" t="s">
        <v>74</v>
      </c>
      <c r="P613" t="s">
        <v>74</v>
      </c>
      <c r="Q613" t="s">
        <v>74</v>
      </c>
      <c r="R613" t="s">
        <v>74</v>
      </c>
      <c r="S613" t="s">
        <v>74</v>
      </c>
      <c r="T613" t="s">
        <v>74</v>
      </c>
      <c r="U613" t="s">
        <v>12299</v>
      </c>
      <c r="V613" t="s">
        <v>12300</v>
      </c>
      <c r="W613" t="s">
        <v>12301</v>
      </c>
      <c r="X613" t="s">
        <v>12302</v>
      </c>
      <c r="Y613" t="s">
        <v>12303</v>
      </c>
      <c r="Z613" t="s">
        <v>12304</v>
      </c>
      <c r="AA613" t="s">
        <v>12305</v>
      </c>
      <c r="AB613" t="s">
        <v>12306</v>
      </c>
      <c r="AC613" t="s">
        <v>12307</v>
      </c>
      <c r="AD613" t="s">
        <v>12308</v>
      </c>
      <c r="AE613" t="s">
        <v>12309</v>
      </c>
      <c r="AF613" t="s">
        <v>74</v>
      </c>
      <c r="AG613">
        <v>104</v>
      </c>
      <c r="AH613">
        <v>20</v>
      </c>
      <c r="AI613">
        <v>20</v>
      </c>
      <c r="AJ613">
        <v>0</v>
      </c>
      <c r="AK613">
        <v>9</v>
      </c>
      <c r="AL613" t="s">
        <v>5815</v>
      </c>
      <c r="AM613" t="s">
        <v>2043</v>
      </c>
      <c r="AN613" t="s">
        <v>5816</v>
      </c>
      <c r="AO613" t="s">
        <v>12310</v>
      </c>
      <c r="AP613" t="s">
        <v>74</v>
      </c>
      <c r="AQ613" t="s">
        <v>74</v>
      </c>
      <c r="AR613" t="s">
        <v>12311</v>
      </c>
      <c r="AS613" t="s">
        <v>12312</v>
      </c>
      <c r="AT613" t="s">
        <v>8316</v>
      </c>
      <c r="AU613">
        <v>2022</v>
      </c>
      <c r="AV613">
        <v>8</v>
      </c>
      <c r="AW613">
        <v>13</v>
      </c>
      <c r="AX613" t="s">
        <v>74</v>
      </c>
      <c r="AY613" t="s">
        <v>74</v>
      </c>
      <c r="AZ613" t="s">
        <v>74</v>
      </c>
      <c r="BA613" t="s">
        <v>74</v>
      </c>
      <c r="BB613" t="s">
        <v>74</v>
      </c>
      <c r="BC613" t="s">
        <v>74</v>
      </c>
      <c r="BD613" t="s">
        <v>12313</v>
      </c>
      <c r="BE613" t="s">
        <v>12314</v>
      </c>
      <c r="BF613" t="str">
        <f>HYPERLINK("http://dx.doi.org/10.1126/sciadv.abm7452","http://dx.doi.org/10.1126/sciadv.abm7452")</f>
        <v>http://dx.doi.org/10.1126/sciadv.abm7452</v>
      </c>
      <c r="BG613" t="s">
        <v>74</v>
      </c>
      <c r="BH613" t="s">
        <v>74</v>
      </c>
      <c r="BI613">
        <v>11</v>
      </c>
      <c r="BJ613" t="s">
        <v>657</v>
      </c>
      <c r="BK613" t="s">
        <v>101</v>
      </c>
      <c r="BL613" t="s">
        <v>658</v>
      </c>
      <c r="BM613" t="s">
        <v>12315</v>
      </c>
      <c r="BN613">
        <v>35353568</v>
      </c>
      <c r="BO613" t="s">
        <v>5588</v>
      </c>
      <c r="BP613" t="s">
        <v>74</v>
      </c>
      <c r="BQ613" t="s">
        <v>74</v>
      </c>
      <c r="BR613" t="s">
        <v>103</v>
      </c>
      <c r="BS613" t="s">
        <v>12316</v>
      </c>
      <c r="BT613" t="str">
        <f>HYPERLINK("https%3A%2F%2Fwww.webofscience.com%2Fwos%2Fwoscc%2Ffull-record%2FWOS:000778886800013","View Full Record in Web of Science")</f>
        <v>View Full Record in Web of Science</v>
      </c>
    </row>
    <row r="614" spans="1:72" x14ac:dyDescent="0.15">
      <c r="A614" t="s">
        <v>72</v>
      </c>
      <c r="B614" t="s">
        <v>12317</v>
      </c>
      <c r="C614" t="s">
        <v>74</v>
      </c>
      <c r="D614" t="s">
        <v>74</v>
      </c>
      <c r="E614" t="s">
        <v>74</v>
      </c>
      <c r="F614" t="s">
        <v>12318</v>
      </c>
      <c r="G614" t="s">
        <v>74</v>
      </c>
      <c r="H614" t="s">
        <v>74</v>
      </c>
      <c r="I614" t="s">
        <v>12319</v>
      </c>
      <c r="J614" t="s">
        <v>12320</v>
      </c>
      <c r="K614" t="s">
        <v>74</v>
      </c>
      <c r="L614" t="s">
        <v>74</v>
      </c>
      <c r="M614" t="s">
        <v>78</v>
      </c>
      <c r="N614" t="s">
        <v>79</v>
      </c>
      <c r="O614" t="s">
        <v>74</v>
      </c>
      <c r="P614" t="s">
        <v>74</v>
      </c>
      <c r="Q614" t="s">
        <v>74</v>
      </c>
      <c r="R614" t="s">
        <v>74</v>
      </c>
      <c r="S614" t="s">
        <v>74</v>
      </c>
      <c r="T614" t="s">
        <v>12321</v>
      </c>
      <c r="U614" t="s">
        <v>12322</v>
      </c>
      <c r="V614" t="s">
        <v>12323</v>
      </c>
      <c r="W614" t="s">
        <v>12324</v>
      </c>
      <c r="X614" t="s">
        <v>12325</v>
      </c>
      <c r="Y614" t="s">
        <v>12326</v>
      </c>
      <c r="Z614" t="s">
        <v>12327</v>
      </c>
      <c r="AA614" t="s">
        <v>12328</v>
      </c>
      <c r="AB614" t="s">
        <v>12329</v>
      </c>
      <c r="AC614" t="s">
        <v>12330</v>
      </c>
      <c r="AD614" t="s">
        <v>12331</v>
      </c>
      <c r="AE614" t="s">
        <v>12332</v>
      </c>
      <c r="AF614" t="s">
        <v>74</v>
      </c>
      <c r="AG614">
        <v>129</v>
      </c>
      <c r="AH614">
        <v>16</v>
      </c>
      <c r="AI614">
        <v>16</v>
      </c>
      <c r="AJ614">
        <v>7</v>
      </c>
      <c r="AK614">
        <v>23</v>
      </c>
      <c r="AL614" t="s">
        <v>2042</v>
      </c>
      <c r="AM614" t="s">
        <v>2043</v>
      </c>
      <c r="AN614" t="s">
        <v>2044</v>
      </c>
      <c r="AO614" t="s">
        <v>74</v>
      </c>
      <c r="AP614" t="s">
        <v>12333</v>
      </c>
      <c r="AQ614" t="s">
        <v>74</v>
      </c>
      <c r="AR614" t="s">
        <v>12320</v>
      </c>
      <c r="AS614" t="s">
        <v>12334</v>
      </c>
      <c r="AT614" t="s">
        <v>8316</v>
      </c>
      <c r="AU614">
        <v>2022</v>
      </c>
      <c r="AV614">
        <v>10</v>
      </c>
      <c r="AW614">
        <v>4</v>
      </c>
      <c r="AX614" t="s">
        <v>74</v>
      </c>
      <c r="AY614" t="s">
        <v>74</v>
      </c>
      <c r="AZ614" t="s">
        <v>74</v>
      </c>
      <c r="BA614" t="s">
        <v>74</v>
      </c>
      <c r="BB614" t="s">
        <v>74</v>
      </c>
      <c r="BC614" t="s">
        <v>74</v>
      </c>
      <c r="BD614" t="s">
        <v>12335</v>
      </c>
      <c r="BE614" t="s">
        <v>12336</v>
      </c>
      <c r="BF614" t="str">
        <f>HYPERLINK("http://dx.doi.org/10.1029/2021EF002619","http://dx.doi.org/10.1029/2021EF002619")</f>
        <v>http://dx.doi.org/10.1029/2021EF002619</v>
      </c>
      <c r="BG614" t="s">
        <v>74</v>
      </c>
      <c r="BH614" t="s">
        <v>74</v>
      </c>
      <c r="BI614">
        <v>22</v>
      </c>
      <c r="BJ614" t="s">
        <v>407</v>
      </c>
      <c r="BK614" t="s">
        <v>956</v>
      </c>
      <c r="BL614" t="s">
        <v>408</v>
      </c>
      <c r="BM614" t="s">
        <v>12337</v>
      </c>
      <c r="BN614" t="s">
        <v>74</v>
      </c>
      <c r="BO614" t="s">
        <v>2438</v>
      </c>
      <c r="BP614" t="s">
        <v>74</v>
      </c>
      <c r="BQ614" t="s">
        <v>74</v>
      </c>
      <c r="BR614" t="s">
        <v>103</v>
      </c>
      <c r="BS614" t="s">
        <v>12338</v>
      </c>
      <c r="BT614" t="str">
        <f>HYPERLINK("https%3A%2F%2Fwww.webofscience.com%2Fwos%2Fwoscc%2Ffull-record%2FWOS:000783750700001","View Full Record in Web of Science")</f>
        <v>View Full Record in Web of Science</v>
      </c>
    </row>
    <row r="615" spans="1:72" x14ac:dyDescent="0.15">
      <c r="A615" t="s">
        <v>72</v>
      </c>
      <c r="B615" t="s">
        <v>12339</v>
      </c>
      <c r="C615" t="s">
        <v>74</v>
      </c>
      <c r="D615" t="s">
        <v>74</v>
      </c>
      <c r="E615" t="s">
        <v>74</v>
      </c>
      <c r="F615" t="s">
        <v>12340</v>
      </c>
      <c r="G615" t="s">
        <v>74</v>
      </c>
      <c r="H615" t="s">
        <v>74</v>
      </c>
      <c r="I615" t="s">
        <v>12341</v>
      </c>
      <c r="J615" t="s">
        <v>2565</v>
      </c>
      <c r="K615" t="s">
        <v>74</v>
      </c>
      <c r="L615" t="s">
        <v>74</v>
      </c>
      <c r="M615" t="s">
        <v>78</v>
      </c>
      <c r="N615" t="s">
        <v>79</v>
      </c>
      <c r="O615" t="s">
        <v>74</v>
      </c>
      <c r="P615" t="s">
        <v>74</v>
      </c>
      <c r="Q615" t="s">
        <v>74</v>
      </c>
      <c r="R615" t="s">
        <v>74</v>
      </c>
      <c r="S615" t="s">
        <v>74</v>
      </c>
      <c r="T615" t="s">
        <v>74</v>
      </c>
      <c r="U615" t="s">
        <v>12342</v>
      </c>
      <c r="V615" t="s">
        <v>12343</v>
      </c>
      <c r="W615" t="s">
        <v>12344</v>
      </c>
      <c r="X615" t="s">
        <v>12345</v>
      </c>
      <c r="Y615" t="s">
        <v>12346</v>
      </c>
      <c r="Z615" t="s">
        <v>12347</v>
      </c>
      <c r="AA615" t="s">
        <v>12348</v>
      </c>
      <c r="AB615" t="s">
        <v>12349</v>
      </c>
      <c r="AC615" t="s">
        <v>12350</v>
      </c>
      <c r="AD615" t="s">
        <v>12351</v>
      </c>
      <c r="AE615" t="s">
        <v>12352</v>
      </c>
      <c r="AF615" t="s">
        <v>74</v>
      </c>
      <c r="AG615">
        <v>73</v>
      </c>
      <c r="AH615">
        <v>6</v>
      </c>
      <c r="AI615">
        <v>6</v>
      </c>
      <c r="AJ615">
        <v>0</v>
      </c>
      <c r="AK615">
        <v>6</v>
      </c>
      <c r="AL615" t="s">
        <v>2572</v>
      </c>
      <c r="AM615" t="s">
        <v>2573</v>
      </c>
      <c r="AN615" t="s">
        <v>2574</v>
      </c>
      <c r="AO615" t="s">
        <v>2575</v>
      </c>
      <c r="AP615" t="s">
        <v>2576</v>
      </c>
      <c r="AQ615" t="s">
        <v>74</v>
      </c>
      <c r="AR615" t="s">
        <v>2577</v>
      </c>
      <c r="AS615" t="s">
        <v>2578</v>
      </c>
      <c r="AT615" t="s">
        <v>11776</v>
      </c>
      <c r="AU615">
        <v>2022</v>
      </c>
      <c r="AV615">
        <v>929</v>
      </c>
      <c r="AW615">
        <v>1</v>
      </c>
      <c r="AX615" t="s">
        <v>74</v>
      </c>
      <c r="AY615" t="s">
        <v>74</v>
      </c>
      <c r="AZ615" t="s">
        <v>74</v>
      </c>
      <c r="BA615" t="s">
        <v>74</v>
      </c>
      <c r="BB615" t="s">
        <v>74</v>
      </c>
      <c r="BC615" t="s">
        <v>74</v>
      </c>
      <c r="BD615">
        <v>107</v>
      </c>
      <c r="BE615" t="s">
        <v>12353</v>
      </c>
      <c r="BF615" t="str">
        <f>HYPERLINK("http://dx.doi.org/10.3847/1538-4357/ac5910","http://dx.doi.org/10.3847/1538-4357/ac5910")</f>
        <v>http://dx.doi.org/10.3847/1538-4357/ac5910</v>
      </c>
      <c r="BG615" t="s">
        <v>74</v>
      </c>
      <c r="BH615" t="s">
        <v>74</v>
      </c>
      <c r="BI615">
        <v>19</v>
      </c>
      <c r="BJ615" t="s">
        <v>2275</v>
      </c>
      <c r="BK615" t="s">
        <v>101</v>
      </c>
      <c r="BL615" t="s">
        <v>2275</v>
      </c>
      <c r="BM615" t="s">
        <v>12354</v>
      </c>
      <c r="BN615" t="s">
        <v>74</v>
      </c>
      <c r="BO615" t="s">
        <v>438</v>
      </c>
      <c r="BP615" t="s">
        <v>74</v>
      </c>
      <c r="BQ615" t="s">
        <v>74</v>
      </c>
      <c r="BR615" t="s">
        <v>103</v>
      </c>
      <c r="BS615" t="s">
        <v>12355</v>
      </c>
      <c r="BT615" t="str">
        <f>HYPERLINK("https%3A%2F%2Fwww.webofscience.com%2Fwos%2Fwoscc%2Ffull-record%2FWOS:000783321100001","View Full Record in Web of Science")</f>
        <v>View Full Record in Web of Science</v>
      </c>
    </row>
    <row r="616" spans="1:72" x14ac:dyDescent="0.15">
      <c r="A616" t="s">
        <v>72</v>
      </c>
      <c r="B616" t="s">
        <v>12356</v>
      </c>
      <c r="C616" t="s">
        <v>74</v>
      </c>
      <c r="D616" t="s">
        <v>74</v>
      </c>
      <c r="E616" t="s">
        <v>74</v>
      </c>
      <c r="F616" t="s">
        <v>12357</v>
      </c>
      <c r="G616" t="s">
        <v>74</v>
      </c>
      <c r="H616" t="s">
        <v>74</v>
      </c>
      <c r="I616" t="s">
        <v>12358</v>
      </c>
      <c r="J616" t="s">
        <v>12359</v>
      </c>
      <c r="K616" t="s">
        <v>74</v>
      </c>
      <c r="L616" t="s">
        <v>74</v>
      </c>
      <c r="M616" t="s">
        <v>78</v>
      </c>
      <c r="N616" t="s">
        <v>79</v>
      </c>
      <c r="O616" t="s">
        <v>74</v>
      </c>
      <c r="P616" t="s">
        <v>74</v>
      </c>
      <c r="Q616" t="s">
        <v>74</v>
      </c>
      <c r="R616" t="s">
        <v>74</v>
      </c>
      <c r="S616" t="s">
        <v>74</v>
      </c>
      <c r="T616" t="s">
        <v>12360</v>
      </c>
      <c r="U616" t="s">
        <v>12361</v>
      </c>
      <c r="V616" t="s">
        <v>12362</v>
      </c>
      <c r="W616" t="s">
        <v>12363</v>
      </c>
      <c r="X616" t="s">
        <v>12364</v>
      </c>
      <c r="Y616" t="s">
        <v>12365</v>
      </c>
      <c r="Z616" t="s">
        <v>12366</v>
      </c>
      <c r="AA616" t="s">
        <v>74</v>
      </c>
      <c r="AB616" t="s">
        <v>74</v>
      </c>
      <c r="AC616" t="s">
        <v>12367</v>
      </c>
      <c r="AD616" t="s">
        <v>12368</v>
      </c>
      <c r="AE616" t="s">
        <v>12369</v>
      </c>
      <c r="AF616" t="s">
        <v>74</v>
      </c>
      <c r="AG616">
        <v>154</v>
      </c>
      <c r="AH616">
        <v>6</v>
      </c>
      <c r="AI616">
        <v>6</v>
      </c>
      <c r="AJ616">
        <v>3</v>
      </c>
      <c r="AK616">
        <v>10</v>
      </c>
      <c r="AL616" t="s">
        <v>530</v>
      </c>
      <c r="AM616" t="s">
        <v>531</v>
      </c>
      <c r="AN616" t="s">
        <v>532</v>
      </c>
      <c r="AO616" t="s">
        <v>12370</v>
      </c>
      <c r="AP616" t="s">
        <v>12371</v>
      </c>
      <c r="AQ616" t="s">
        <v>74</v>
      </c>
      <c r="AR616" t="s">
        <v>12372</v>
      </c>
      <c r="AS616" t="s">
        <v>12373</v>
      </c>
      <c r="AT616" t="s">
        <v>8316</v>
      </c>
      <c r="AU616">
        <v>2022</v>
      </c>
      <c r="AV616">
        <v>177</v>
      </c>
      <c r="AW616">
        <v>4</v>
      </c>
      <c r="AX616" t="s">
        <v>74</v>
      </c>
      <c r="AY616" t="s">
        <v>74</v>
      </c>
      <c r="AZ616" t="s">
        <v>74</v>
      </c>
      <c r="BA616" t="s">
        <v>74</v>
      </c>
      <c r="BB616" t="s">
        <v>74</v>
      </c>
      <c r="BC616" t="s">
        <v>74</v>
      </c>
      <c r="BD616">
        <v>51</v>
      </c>
      <c r="BE616" t="s">
        <v>12374</v>
      </c>
      <c r="BF616" t="str">
        <f>HYPERLINK("http://dx.doi.org/10.1007/s00410-022-01914-9","http://dx.doi.org/10.1007/s00410-022-01914-9")</f>
        <v>http://dx.doi.org/10.1007/s00410-022-01914-9</v>
      </c>
      <c r="BG616" t="s">
        <v>74</v>
      </c>
      <c r="BH616" t="s">
        <v>74</v>
      </c>
      <c r="BI616">
        <v>26</v>
      </c>
      <c r="BJ616" t="s">
        <v>12375</v>
      </c>
      <c r="BK616" t="s">
        <v>101</v>
      </c>
      <c r="BL616" t="s">
        <v>12375</v>
      </c>
      <c r="BM616" t="s">
        <v>12376</v>
      </c>
      <c r="BN616" t="s">
        <v>74</v>
      </c>
      <c r="BO616" t="s">
        <v>74</v>
      </c>
      <c r="BP616" t="s">
        <v>74</v>
      </c>
      <c r="BQ616" t="s">
        <v>74</v>
      </c>
      <c r="BR616" t="s">
        <v>103</v>
      </c>
      <c r="BS616" t="s">
        <v>12377</v>
      </c>
      <c r="BT616" t="str">
        <f>HYPERLINK("https%3A%2F%2Fwww.webofscience.com%2Fwos%2Fwoscc%2Ffull-record%2FWOS:000782987100001","View Full Record in Web of Science")</f>
        <v>View Full Record in Web of Science</v>
      </c>
    </row>
    <row r="617" spans="1:72" x14ac:dyDescent="0.15">
      <c r="A617" t="s">
        <v>72</v>
      </c>
      <c r="B617" t="s">
        <v>12378</v>
      </c>
      <c r="C617" t="s">
        <v>74</v>
      </c>
      <c r="D617" t="s">
        <v>74</v>
      </c>
      <c r="E617" t="s">
        <v>74</v>
      </c>
      <c r="F617" t="s">
        <v>12379</v>
      </c>
      <c r="G617" t="s">
        <v>74</v>
      </c>
      <c r="H617" t="s">
        <v>74</v>
      </c>
      <c r="I617" t="s">
        <v>12380</v>
      </c>
      <c r="J617" t="s">
        <v>2359</v>
      </c>
      <c r="K617" t="s">
        <v>74</v>
      </c>
      <c r="L617" t="s">
        <v>74</v>
      </c>
      <c r="M617" t="s">
        <v>78</v>
      </c>
      <c r="N617" t="s">
        <v>79</v>
      </c>
      <c r="O617" t="s">
        <v>74</v>
      </c>
      <c r="P617" t="s">
        <v>74</v>
      </c>
      <c r="Q617" t="s">
        <v>74</v>
      </c>
      <c r="R617" t="s">
        <v>74</v>
      </c>
      <c r="S617" t="s">
        <v>74</v>
      </c>
      <c r="T617" t="s">
        <v>12381</v>
      </c>
      <c r="U617" t="s">
        <v>12382</v>
      </c>
      <c r="V617" t="s">
        <v>12383</v>
      </c>
      <c r="W617" t="s">
        <v>12384</v>
      </c>
      <c r="X617" t="s">
        <v>12385</v>
      </c>
      <c r="Y617" t="s">
        <v>12386</v>
      </c>
      <c r="Z617" t="s">
        <v>12387</v>
      </c>
      <c r="AA617" t="s">
        <v>12388</v>
      </c>
      <c r="AB617" t="s">
        <v>12389</v>
      </c>
      <c r="AC617" t="s">
        <v>12390</v>
      </c>
      <c r="AD617" t="s">
        <v>12391</v>
      </c>
      <c r="AE617" t="s">
        <v>12392</v>
      </c>
      <c r="AF617" t="s">
        <v>74</v>
      </c>
      <c r="AG617">
        <v>53</v>
      </c>
      <c r="AH617">
        <v>4</v>
      </c>
      <c r="AI617">
        <v>4</v>
      </c>
      <c r="AJ617">
        <v>3</v>
      </c>
      <c r="AK617">
        <v>6</v>
      </c>
      <c r="AL617" t="s">
        <v>2042</v>
      </c>
      <c r="AM617" t="s">
        <v>2043</v>
      </c>
      <c r="AN617" t="s">
        <v>2044</v>
      </c>
      <c r="AO617" t="s">
        <v>74</v>
      </c>
      <c r="AP617" t="s">
        <v>2371</v>
      </c>
      <c r="AQ617" t="s">
        <v>74</v>
      </c>
      <c r="AR617" t="s">
        <v>2372</v>
      </c>
      <c r="AS617" t="s">
        <v>2373</v>
      </c>
      <c r="AT617" t="s">
        <v>8316</v>
      </c>
      <c r="AU617">
        <v>2022</v>
      </c>
      <c r="AV617">
        <v>14</v>
      </c>
      <c r="AW617">
        <v>4</v>
      </c>
      <c r="AX617" t="s">
        <v>74</v>
      </c>
      <c r="AY617" t="s">
        <v>74</v>
      </c>
      <c r="AZ617" t="s">
        <v>74</v>
      </c>
      <c r="BA617" t="s">
        <v>74</v>
      </c>
      <c r="BB617" t="s">
        <v>74</v>
      </c>
      <c r="BC617" t="s">
        <v>74</v>
      </c>
      <c r="BD617" t="s">
        <v>12393</v>
      </c>
      <c r="BE617" t="s">
        <v>12394</v>
      </c>
      <c r="BF617" t="str">
        <f>HYPERLINK("http://dx.doi.org/10.1029/2021MS002863","http://dx.doi.org/10.1029/2021MS002863")</f>
        <v>http://dx.doi.org/10.1029/2021MS002863</v>
      </c>
      <c r="BG617" t="s">
        <v>74</v>
      </c>
      <c r="BH617" t="s">
        <v>74</v>
      </c>
      <c r="BI617">
        <v>19</v>
      </c>
      <c r="BJ617" t="s">
        <v>510</v>
      </c>
      <c r="BK617" t="s">
        <v>101</v>
      </c>
      <c r="BL617" t="s">
        <v>510</v>
      </c>
      <c r="BM617" t="s">
        <v>12395</v>
      </c>
      <c r="BN617" t="s">
        <v>74</v>
      </c>
      <c r="BO617" t="s">
        <v>438</v>
      </c>
      <c r="BP617" t="s">
        <v>74</v>
      </c>
      <c r="BQ617" t="s">
        <v>74</v>
      </c>
      <c r="BR617" t="s">
        <v>103</v>
      </c>
      <c r="BS617" t="s">
        <v>12396</v>
      </c>
      <c r="BT617" t="str">
        <f>HYPERLINK("https%3A%2F%2Fwww.webofscience.com%2Fwos%2Fwoscc%2Ffull-record%2FWOS:000783135000001","View Full Record in Web of Science")</f>
        <v>View Full Record in Web of Science</v>
      </c>
    </row>
    <row r="618" spans="1:72" x14ac:dyDescent="0.15">
      <c r="A618" t="s">
        <v>72</v>
      </c>
      <c r="B618" t="s">
        <v>12397</v>
      </c>
      <c r="C618" t="s">
        <v>74</v>
      </c>
      <c r="D618" t="s">
        <v>74</v>
      </c>
      <c r="E618" t="s">
        <v>74</v>
      </c>
      <c r="F618" t="s">
        <v>12398</v>
      </c>
      <c r="G618" t="s">
        <v>74</v>
      </c>
      <c r="H618" t="s">
        <v>74</v>
      </c>
      <c r="I618" t="s">
        <v>12399</v>
      </c>
      <c r="J618" t="s">
        <v>2381</v>
      </c>
      <c r="K618" t="s">
        <v>74</v>
      </c>
      <c r="L618" t="s">
        <v>74</v>
      </c>
      <c r="M618" t="s">
        <v>78</v>
      </c>
      <c r="N618" t="s">
        <v>79</v>
      </c>
      <c r="O618" t="s">
        <v>74</v>
      </c>
      <c r="P618" t="s">
        <v>74</v>
      </c>
      <c r="Q618" t="s">
        <v>74</v>
      </c>
      <c r="R618" t="s">
        <v>74</v>
      </c>
      <c r="S618" t="s">
        <v>74</v>
      </c>
      <c r="T618" t="s">
        <v>12400</v>
      </c>
      <c r="U618" t="s">
        <v>12401</v>
      </c>
      <c r="V618" t="s">
        <v>12402</v>
      </c>
      <c r="W618" t="s">
        <v>12403</v>
      </c>
      <c r="X618" t="s">
        <v>3179</v>
      </c>
      <c r="Y618" t="s">
        <v>12404</v>
      </c>
      <c r="Z618" t="s">
        <v>12405</v>
      </c>
      <c r="AA618" t="s">
        <v>12406</v>
      </c>
      <c r="AB618" t="s">
        <v>12407</v>
      </c>
      <c r="AC618" t="s">
        <v>12408</v>
      </c>
      <c r="AD618" t="s">
        <v>12409</v>
      </c>
      <c r="AE618" t="s">
        <v>12410</v>
      </c>
      <c r="AF618" t="s">
        <v>74</v>
      </c>
      <c r="AG618">
        <v>65</v>
      </c>
      <c r="AH618">
        <v>3</v>
      </c>
      <c r="AI618">
        <v>3</v>
      </c>
      <c r="AJ618">
        <v>0</v>
      </c>
      <c r="AK618">
        <v>5</v>
      </c>
      <c r="AL618" t="s">
        <v>2042</v>
      </c>
      <c r="AM618" t="s">
        <v>2043</v>
      </c>
      <c r="AN618" t="s">
        <v>2044</v>
      </c>
      <c r="AO618" t="s">
        <v>2394</v>
      </c>
      <c r="AP618" t="s">
        <v>2395</v>
      </c>
      <c r="AQ618" t="s">
        <v>74</v>
      </c>
      <c r="AR618" t="s">
        <v>2396</v>
      </c>
      <c r="AS618" t="s">
        <v>2397</v>
      </c>
      <c r="AT618" t="s">
        <v>8316</v>
      </c>
      <c r="AU618">
        <v>2022</v>
      </c>
      <c r="AV618">
        <v>127</v>
      </c>
      <c r="AW618">
        <v>4</v>
      </c>
      <c r="AX618" t="s">
        <v>74</v>
      </c>
      <c r="AY618" t="s">
        <v>74</v>
      </c>
      <c r="AZ618" t="s">
        <v>74</v>
      </c>
      <c r="BA618" t="s">
        <v>74</v>
      </c>
      <c r="BB618" t="s">
        <v>74</v>
      </c>
      <c r="BC618" t="s">
        <v>74</v>
      </c>
      <c r="BD618" t="s">
        <v>12411</v>
      </c>
      <c r="BE618" t="s">
        <v>12412</v>
      </c>
      <c r="BF618" t="str">
        <f>HYPERLINK("http://dx.doi.org/10.1029/2021JA030196","http://dx.doi.org/10.1029/2021JA030196")</f>
        <v>http://dx.doi.org/10.1029/2021JA030196</v>
      </c>
      <c r="BG618" t="s">
        <v>74</v>
      </c>
      <c r="BH618" t="s">
        <v>74</v>
      </c>
      <c r="BI618">
        <v>18</v>
      </c>
      <c r="BJ618" t="s">
        <v>2275</v>
      </c>
      <c r="BK618" t="s">
        <v>101</v>
      </c>
      <c r="BL618" t="s">
        <v>2275</v>
      </c>
      <c r="BM618" t="s">
        <v>12413</v>
      </c>
      <c r="BN618" t="s">
        <v>74</v>
      </c>
      <c r="BO618" t="s">
        <v>883</v>
      </c>
      <c r="BP618" t="s">
        <v>74</v>
      </c>
      <c r="BQ618" t="s">
        <v>74</v>
      </c>
      <c r="BR618" t="s">
        <v>103</v>
      </c>
      <c r="BS618" t="s">
        <v>12414</v>
      </c>
      <c r="BT618" t="str">
        <f>HYPERLINK("https%3A%2F%2Fwww.webofscience.com%2Fwos%2Fwoscc%2Ffull-record%2FWOS:000783201200001","View Full Record in Web of Science")</f>
        <v>View Full Record in Web of Science</v>
      </c>
    </row>
    <row r="619" spans="1:72" x14ac:dyDescent="0.15">
      <c r="A619" t="s">
        <v>72</v>
      </c>
      <c r="B619" t="s">
        <v>12415</v>
      </c>
      <c r="C619" t="s">
        <v>74</v>
      </c>
      <c r="D619" t="s">
        <v>74</v>
      </c>
      <c r="E619" t="s">
        <v>74</v>
      </c>
      <c r="F619" t="s">
        <v>12416</v>
      </c>
      <c r="G619" t="s">
        <v>74</v>
      </c>
      <c r="H619" t="s">
        <v>74</v>
      </c>
      <c r="I619" t="s">
        <v>12417</v>
      </c>
      <c r="J619" t="s">
        <v>6748</v>
      </c>
      <c r="K619" t="s">
        <v>74</v>
      </c>
      <c r="L619" t="s">
        <v>74</v>
      </c>
      <c r="M619" t="s">
        <v>78</v>
      </c>
      <c r="N619" t="s">
        <v>79</v>
      </c>
      <c r="O619" t="s">
        <v>74</v>
      </c>
      <c r="P619" t="s">
        <v>74</v>
      </c>
      <c r="Q619" t="s">
        <v>74</v>
      </c>
      <c r="R619" t="s">
        <v>74</v>
      </c>
      <c r="S619" t="s">
        <v>74</v>
      </c>
      <c r="T619" t="s">
        <v>74</v>
      </c>
      <c r="U619" t="s">
        <v>12418</v>
      </c>
      <c r="V619" t="s">
        <v>12419</v>
      </c>
      <c r="W619" t="s">
        <v>12420</v>
      </c>
      <c r="X619" t="s">
        <v>12421</v>
      </c>
      <c r="Y619" t="s">
        <v>12422</v>
      </c>
      <c r="Z619" t="s">
        <v>12423</v>
      </c>
      <c r="AA619" t="s">
        <v>12424</v>
      </c>
      <c r="AB619" t="s">
        <v>12425</v>
      </c>
      <c r="AC619" t="s">
        <v>12426</v>
      </c>
      <c r="AD619" t="s">
        <v>12427</v>
      </c>
      <c r="AE619" t="s">
        <v>12428</v>
      </c>
      <c r="AF619" t="s">
        <v>74</v>
      </c>
      <c r="AG619">
        <v>87</v>
      </c>
      <c r="AH619">
        <v>7</v>
      </c>
      <c r="AI619">
        <v>7</v>
      </c>
      <c r="AJ619">
        <v>1</v>
      </c>
      <c r="AK619">
        <v>2</v>
      </c>
      <c r="AL619" t="s">
        <v>2042</v>
      </c>
      <c r="AM619" t="s">
        <v>2043</v>
      </c>
      <c r="AN619" t="s">
        <v>2044</v>
      </c>
      <c r="AO619" t="s">
        <v>6761</v>
      </c>
      <c r="AP619" t="s">
        <v>6762</v>
      </c>
      <c r="AQ619" t="s">
        <v>74</v>
      </c>
      <c r="AR619" t="s">
        <v>6763</v>
      </c>
      <c r="AS619" t="s">
        <v>6764</v>
      </c>
      <c r="AT619" t="s">
        <v>8316</v>
      </c>
      <c r="AU619">
        <v>2022</v>
      </c>
      <c r="AV619">
        <v>37</v>
      </c>
      <c r="AW619">
        <v>4</v>
      </c>
      <c r="AX619" t="s">
        <v>74</v>
      </c>
      <c r="AY619" t="s">
        <v>74</v>
      </c>
      <c r="AZ619" t="s">
        <v>74</v>
      </c>
      <c r="BA619" t="s">
        <v>74</v>
      </c>
      <c r="BB619" t="s">
        <v>74</v>
      </c>
      <c r="BC619" t="s">
        <v>74</v>
      </c>
      <c r="BD619" t="s">
        <v>12429</v>
      </c>
      <c r="BE619" t="s">
        <v>12430</v>
      </c>
      <c r="BF619" t="str">
        <f>HYPERLINK("http://dx.doi.org/10.1029/2021PA004404","http://dx.doi.org/10.1029/2021PA004404")</f>
        <v>http://dx.doi.org/10.1029/2021PA004404</v>
      </c>
      <c r="BG619" t="s">
        <v>74</v>
      </c>
      <c r="BH619" t="s">
        <v>74</v>
      </c>
      <c r="BI619">
        <v>28</v>
      </c>
      <c r="BJ619" t="s">
        <v>6767</v>
      </c>
      <c r="BK619" t="s">
        <v>101</v>
      </c>
      <c r="BL619" t="s">
        <v>6768</v>
      </c>
      <c r="BM619" t="s">
        <v>12431</v>
      </c>
      <c r="BN619" t="s">
        <v>74</v>
      </c>
      <c r="BO619" t="s">
        <v>267</v>
      </c>
      <c r="BP619" t="s">
        <v>74</v>
      </c>
      <c r="BQ619" t="s">
        <v>74</v>
      </c>
      <c r="BR619" t="s">
        <v>103</v>
      </c>
      <c r="BS619" t="s">
        <v>12432</v>
      </c>
      <c r="BT619" t="str">
        <f>HYPERLINK("https%3A%2F%2Fwww.webofscience.com%2Fwos%2Fwoscc%2Ffull-record%2FWOS:000783434200001","View Full Record in Web of Science")</f>
        <v>View Full Record in Web of Science</v>
      </c>
    </row>
    <row r="620" spans="1:72" x14ac:dyDescent="0.15">
      <c r="A620" t="s">
        <v>72</v>
      </c>
      <c r="B620" t="s">
        <v>12433</v>
      </c>
      <c r="C620" t="s">
        <v>74</v>
      </c>
      <c r="D620" t="s">
        <v>74</v>
      </c>
      <c r="E620" t="s">
        <v>74</v>
      </c>
      <c r="F620" t="s">
        <v>12434</v>
      </c>
      <c r="G620" t="s">
        <v>74</v>
      </c>
      <c r="H620" t="s">
        <v>74</v>
      </c>
      <c r="I620" t="s">
        <v>12435</v>
      </c>
      <c r="J620" t="s">
        <v>12436</v>
      </c>
      <c r="K620" t="s">
        <v>74</v>
      </c>
      <c r="L620" t="s">
        <v>74</v>
      </c>
      <c r="M620" t="s">
        <v>78</v>
      </c>
      <c r="N620" t="s">
        <v>79</v>
      </c>
      <c r="O620" t="s">
        <v>74</v>
      </c>
      <c r="P620" t="s">
        <v>74</v>
      </c>
      <c r="Q620" t="s">
        <v>74</v>
      </c>
      <c r="R620" t="s">
        <v>74</v>
      </c>
      <c r="S620" t="s">
        <v>74</v>
      </c>
      <c r="T620" t="s">
        <v>12437</v>
      </c>
      <c r="U620" t="s">
        <v>12438</v>
      </c>
      <c r="V620" t="s">
        <v>12439</v>
      </c>
      <c r="W620" t="s">
        <v>12440</v>
      </c>
      <c r="X620" t="s">
        <v>12441</v>
      </c>
      <c r="Y620" t="s">
        <v>12442</v>
      </c>
      <c r="Z620" t="s">
        <v>12443</v>
      </c>
      <c r="AA620" t="s">
        <v>12444</v>
      </c>
      <c r="AB620" t="s">
        <v>12445</v>
      </c>
      <c r="AC620" t="s">
        <v>12446</v>
      </c>
      <c r="AD620" t="s">
        <v>12447</v>
      </c>
      <c r="AE620" t="s">
        <v>12448</v>
      </c>
      <c r="AF620" t="s">
        <v>74</v>
      </c>
      <c r="AG620">
        <v>47</v>
      </c>
      <c r="AH620">
        <v>1</v>
      </c>
      <c r="AI620">
        <v>2</v>
      </c>
      <c r="AJ620">
        <v>11</v>
      </c>
      <c r="AK620">
        <v>34</v>
      </c>
      <c r="AL620" t="s">
        <v>2042</v>
      </c>
      <c r="AM620" t="s">
        <v>2043</v>
      </c>
      <c r="AN620" t="s">
        <v>2044</v>
      </c>
      <c r="AO620" t="s">
        <v>74</v>
      </c>
      <c r="AP620" t="s">
        <v>12449</v>
      </c>
      <c r="AQ620" t="s">
        <v>74</v>
      </c>
      <c r="AR620" t="s">
        <v>12450</v>
      </c>
      <c r="AS620" t="s">
        <v>12451</v>
      </c>
      <c r="AT620" t="s">
        <v>8316</v>
      </c>
      <c r="AU620">
        <v>2022</v>
      </c>
      <c r="AV620">
        <v>20</v>
      </c>
      <c r="AW620">
        <v>4</v>
      </c>
      <c r="AX620" t="s">
        <v>74</v>
      </c>
      <c r="AY620" t="s">
        <v>74</v>
      </c>
      <c r="AZ620" t="s">
        <v>74</v>
      </c>
      <c r="BA620" t="s">
        <v>74</v>
      </c>
      <c r="BB620" t="s">
        <v>74</v>
      </c>
      <c r="BC620" t="s">
        <v>74</v>
      </c>
      <c r="BD620" t="s">
        <v>12452</v>
      </c>
      <c r="BE620" t="s">
        <v>12453</v>
      </c>
      <c r="BF620" t="str">
        <f>HYPERLINK("http://dx.doi.org/10.1029/2021SW002862","http://dx.doi.org/10.1029/2021SW002862")</f>
        <v>http://dx.doi.org/10.1029/2021SW002862</v>
      </c>
      <c r="BG620" t="s">
        <v>74</v>
      </c>
      <c r="BH620" t="s">
        <v>74</v>
      </c>
      <c r="BI620">
        <v>19</v>
      </c>
      <c r="BJ620" t="s">
        <v>932</v>
      </c>
      <c r="BK620" t="s">
        <v>101</v>
      </c>
      <c r="BL620" t="s">
        <v>932</v>
      </c>
      <c r="BM620" t="s">
        <v>12454</v>
      </c>
      <c r="BN620" t="s">
        <v>74</v>
      </c>
      <c r="BO620" t="s">
        <v>267</v>
      </c>
      <c r="BP620" t="s">
        <v>74</v>
      </c>
      <c r="BQ620" t="s">
        <v>74</v>
      </c>
      <c r="BR620" t="s">
        <v>103</v>
      </c>
      <c r="BS620" t="s">
        <v>12455</v>
      </c>
      <c r="BT620" t="str">
        <f>HYPERLINK("https%3A%2F%2Fwww.webofscience.com%2Fwos%2Fwoscc%2Ffull-record%2FWOS:000783133800001","View Full Record in Web of Science")</f>
        <v>View Full Record in Web of Science</v>
      </c>
    </row>
    <row r="621" spans="1:72" x14ac:dyDescent="0.15">
      <c r="A621" t="s">
        <v>72</v>
      </c>
      <c r="B621" t="s">
        <v>12456</v>
      </c>
      <c r="C621" t="s">
        <v>74</v>
      </c>
      <c r="D621" t="s">
        <v>74</v>
      </c>
      <c r="E621" t="s">
        <v>74</v>
      </c>
      <c r="F621" t="s">
        <v>12457</v>
      </c>
      <c r="G621" t="s">
        <v>74</v>
      </c>
      <c r="H621" t="s">
        <v>74</v>
      </c>
      <c r="I621" t="s">
        <v>12458</v>
      </c>
      <c r="J621" t="s">
        <v>12459</v>
      </c>
      <c r="K621" t="s">
        <v>74</v>
      </c>
      <c r="L621" t="s">
        <v>74</v>
      </c>
      <c r="M621" t="s">
        <v>78</v>
      </c>
      <c r="N621" t="s">
        <v>79</v>
      </c>
      <c r="O621" t="s">
        <v>74</v>
      </c>
      <c r="P621" t="s">
        <v>74</v>
      </c>
      <c r="Q621" t="s">
        <v>74</v>
      </c>
      <c r="R621" t="s">
        <v>74</v>
      </c>
      <c r="S621" t="s">
        <v>74</v>
      </c>
      <c r="T621" t="s">
        <v>12460</v>
      </c>
      <c r="U621" t="s">
        <v>12461</v>
      </c>
      <c r="V621" t="s">
        <v>12462</v>
      </c>
      <c r="W621" t="s">
        <v>12463</v>
      </c>
      <c r="X621" t="s">
        <v>12464</v>
      </c>
      <c r="Y621" t="s">
        <v>12465</v>
      </c>
      <c r="Z621" t="s">
        <v>12466</v>
      </c>
      <c r="AA621" t="s">
        <v>74</v>
      </c>
      <c r="AB621" t="s">
        <v>12467</v>
      </c>
      <c r="AC621" t="s">
        <v>12468</v>
      </c>
      <c r="AD621" t="s">
        <v>4081</v>
      </c>
      <c r="AE621" t="s">
        <v>12469</v>
      </c>
      <c r="AF621" t="s">
        <v>74</v>
      </c>
      <c r="AG621">
        <v>87</v>
      </c>
      <c r="AH621">
        <v>2</v>
      </c>
      <c r="AI621">
        <v>2</v>
      </c>
      <c r="AJ621">
        <v>0</v>
      </c>
      <c r="AK621">
        <v>2</v>
      </c>
      <c r="AL621" t="s">
        <v>2042</v>
      </c>
      <c r="AM621" t="s">
        <v>2043</v>
      </c>
      <c r="AN621" t="s">
        <v>2044</v>
      </c>
      <c r="AO621" t="s">
        <v>74</v>
      </c>
      <c r="AP621" t="s">
        <v>12470</v>
      </c>
      <c r="AQ621" t="s">
        <v>74</v>
      </c>
      <c r="AR621" t="s">
        <v>12471</v>
      </c>
      <c r="AS621" t="s">
        <v>12472</v>
      </c>
      <c r="AT621" t="s">
        <v>8316</v>
      </c>
      <c r="AU621">
        <v>2022</v>
      </c>
      <c r="AV621">
        <v>23</v>
      </c>
      <c r="AW621">
        <v>4</v>
      </c>
      <c r="AX621" t="s">
        <v>74</v>
      </c>
      <c r="AY621" t="s">
        <v>74</v>
      </c>
      <c r="AZ621" t="s">
        <v>74</v>
      </c>
      <c r="BA621" t="s">
        <v>74</v>
      </c>
      <c r="BB621" t="s">
        <v>74</v>
      </c>
      <c r="BC621" t="s">
        <v>74</v>
      </c>
      <c r="BD621" t="s">
        <v>12473</v>
      </c>
      <c r="BE621" t="s">
        <v>12474</v>
      </c>
      <c r="BF621" t="str">
        <f>HYPERLINK("http://dx.doi.org/10.1029/2021GC010181","http://dx.doi.org/10.1029/2021GC010181")</f>
        <v>http://dx.doi.org/10.1029/2021GC010181</v>
      </c>
      <c r="BG621" t="s">
        <v>74</v>
      </c>
      <c r="BH621" t="s">
        <v>74</v>
      </c>
      <c r="BI621">
        <v>15</v>
      </c>
      <c r="BJ621" t="s">
        <v>2144</v>
      </c>
      <c r="BK621" t="s">
        <v>101</v>
      </c>
      <c r="BL621" t="s">
        <v>2144</v>
      </c>
      <c r="BM621" t="s">
        <v>12475</v>
      </c>
      <c r="BN621" t="s">
        <v>74</v>
      </c>
      <c r="BO621" t="s">
        <v>438</v>
      </c>
      <c r="BP621" t="s">
        <v>74</v>
      </c>
      <c r="BQ621" t="s">
        <v>74</v>
      </c>
      <c r="BR621" t="s">
        <v>103</v>
      </c>
      <c r="BS621" t="s">
        <v>12476</v>
      </c>
      <c r="BT621" t="str">
        <f>HYPERLINK("https%3A%2F%2Fwww.webofscience.com%2Fwos%2Fwoscc%2Ffull-record%2FWOS:000783759400001","View Full Record in Web of Science")</f>
        <v>View Full Record in Web of Science</v>
      </c>
    </row>
    <row r="622" spans="1:72" x14ac:dyDescent="0.15">
      <c r="A622" t="s">
        <v>72</v>
      </c>
      <c r="B622" t="s">
        <v>12477</v>
      </c>
      <c r="C622" t="s">
        <v>74</v>
      </c>
      <c r="D622" t="s">
        <v>74</v>
      </c>
      <c r="E622" t="s">
        <v>74</v>
      </c>
      <c r="F622" t="s">
        <v>12478</v>
      </c>
      <c r="G622" t="s">
        <v>74</v>
      </c>
      <c r="H622" t="s">
        <v>74</v>
      </c>
      <c r="I622" t="s">
        <v>12479</v>
      </c>
      <c r="J622" t="s">
        <v>2443</v>
      </c>
      <c r="K622" t="s">
        <v>74</v>
      </c>
      <c r="L622" t="s">
        <v>74</v>
      </c>
      <c r="M622" t="s">
        <v>78</v>
      </c>
      <c r="N622" t="s">
        <v>79</v>
      </c>
      <c r="O622" t="s">
        <v>74</v>
      </c>
      <c r="P622" t="s">
        <v>74</v>
      </c>
      <c r="Q622" t="s">
        <v>74</v>
      </c>
      <c r="R622" t="s">
        <v>74</v>
      </c>
      <c r="S622" t="s">
        <v>74</v>
      </c>
      <c r="T622" t="s">
        <v>12480</v>
      </c>
      <c r="U622" t="s">
        <v>12481</v>
      </c>
      <c r="V622" t="s">
        <v>12482</v>
      </c>
      <c r="W622" t="s">
        <v>12483</v>
      </c>
      <c r="X622" t="s">
        <v>12484</v>
      </c>
      <c r="Y622" t="s">
        <v>12485</v>
      </c>
      <c r="Z622" t="s">
        <v>12486</v>
      </c>
      <c r="AA622" t="s">
        <v>12487</v>
      </c>
      <c r="AB622" t="s">
        <v>12488</v>
      </c>
      <c r="AC622" t="s">
        <v>12489</v>
      </c>
      <c r="AD622" t="s">
        <v>12490</v>
      </c>
      <c r="AE622" t="s">
        <v>12491</v>
      </c>
      <c r="AF622" t="s">
        <v>74</v>
      </c>
      <c r="AG622">
        <v>45</v>
      </c>
      <c r="AH622">
        <v>1</v>
      </c>
      <c r="AI622">
        <v>1</v>
      </c>
      <c r="AJ622">
        <v>1</v>
      </c>
      <c r="AK622">
        <v>9</v>
      </c>
      <c r="AL622" t="s">
        <v>2042</v>
      </c>
      <c r="AM622" t="s">
        <v>2043</v>
      </c>
      <c r="AN622" t="s">
        <v>2044</v>
      </c>
      <c r="AO622" t="s">
        <v>2456</v>
      </c>
      <c r="AP622" t="s">
        <v>2457</v>
      </c>
      <c r="AQ622" t="s">
        <v>74</v>
      </c>
      <c r="AR622" t="s">
        <v>2458</v>
      </c>
      <c r="AS622" t="s">
        <v>2459</v>
      </c>
      <c r="AT622" t="s">
        <v>8316</v>
      </c>
      <c r="AU622">
        <v>2022</v>
      </c>
      <c r="AV622">
        <v>127</v>
      </c>
      <c r="AW622">
        <v>4</v>
      </c>
      <c r="AX622" t="s">
        <v>74</v>
      </c>
      <c r="AY622" t="s">
        <v>74</v>
      </c>
      <c r="AZ622" t="s">
        <v>74</v>
      </c>
      <c r="BA622" t="s">
        <v>74</v>
      </c>
      <c r="BB622" t="s">
        <v>74</v>
      </c>
      <c r="BC622" t="s">
        <v>74</v>
      </c>
      <c r="BD622" t="s">
        <v>12492</v>
      </c>
      <c r="BE622" t="s">
        <v>12493</v>
      </c>
      <c r="BF622" t="str">
        <f>HYPERLINK("http://dx.doi.org/10.1029/2021JC018139","http://dx.doi.org/10.1029/2021JC018139")</f>
        <v>http://dx.doi.org/10.1029/2021JC018139</v>
      </c>
      <c r="BG622" t="s">
        <v>74</v>
      </c>
      <c r="BH622" t="s">
        <v>74</v>
      </c>
      <c r="BI622">
        <v>23</v>
      </c>
      <c r="BJ622" t="s">
        <v>208</v>
      </c>
      <c r="BK622" t="s">
        <v>101</v>
      </c>
      <c r="BL622" t="s">
        <v>208</v>
      </c>
      <c r="BM622" t="s">
        <v>12494</v>
      </c>
      <c r="BN622" t="s">
        <v>74</v>
      </c>
      <c r="BO622" t="s">
        <v>883</v>
      </c>
      <c r="BP622" t="s">
        <v>74</v>
      </c>
      <c r="BQ622" t="s">
        <v>74</v>
      </c>
      <c r="BR622" t="s">
        <v>103</v>
      </c>
      <c r="BS622" t="s">
        <v>12495</v>
      </c>
      <c r="BT622" t="str">
        <f>HYPERLINK("https%3A%2F%2Fwww.webofscience.com%2Fwos%2Fwoscc%2Ffull-record%2FWOS:000781716300001","View Full Record in Web of Science")</f>
        <v>View Full Record in Web of Science</v>
      </c>
    </row>
    <row r="623" spans="1:72" x14ac:dyDescent="0.15">
      <c r="A623" t="s">
        <v>72</v>
      </c>
      <c r="B623" t="s">
        <v>12496</v>
      </c>
      <c r="C623" t="s">
        <v>74</v>
      </c>
      <c r="D623" t="s">
        <v>74</v>
      </c>
      <c r="E623" t="s">
        <v>74</v>
      </c>
      <c r="F623" t="s">
        <v>12497</v>
      </c>
      <c r="G623" t="s">
        <v>74</v>
      </c>
      <c r="H623" t="s">
        <v>74</v>
      </c>
      <c r="I623" t="s">
        <v>12498</v>
      </c>
      <c r="J623" t="s">
        <v>2443</v>
      </c>
      <c r="K623" t="s">
        <v>74</v>
      </c>
      <c r="L623" t="s">
        <v>74</v>
      </c>
      <c r="M623" t="s">
        <v>78</v>
      </c>
      <c r="N623" t="s">
        <v>79</v>
      </c>
      <c r="O623" t="s">
        <v>74</v>
      </c>
      <c r="P623" t="s">
        <v>74</v>
      </c>
      <c r="Q623" t="s">
        <v>74</v>
      </c>
      <c r="R623" t="s">
        <v>74</v>
      </c>
      <c r="S623" t="s">
        <v>74</v>
      </c>
      <c r="T623" t="s">
        <v>74</v>
      </c>
      <c r="U623" t="s">
        <v>12499</v>
      </c>
      <c r="V623" t="s">
        <v>12500</v>
      </c>
      <c r="W623" t="s">
        <v>12501</v>
      </c>
      <c r="X623" t="s">
        <v>12502</v>
      </c>
      <c r="Y623" t="s">
        <v>12503</v>
      </c>
      <c r="Z623" t="s">
        <v>12504</v>
      </c>
      <c r="AA623" t="s">
        <v>12505</v>
      </c>
      <c r="AB623" t="s">
        <v>12506</v>
      </c>
      <c r="AC623" t="s">
        <v>12507</v>
      </c>
      <c r="AD623" t="s">
        <v>12508</v>
      </c>
      <c r="AE623" t="s">
        <v>12509</v>
      </c>
      <c r="AF623" t="s">
        <v>74</v>
      </c>
      <c r="AG623">
        <v>43</v>
      </c>
      <c r="AH623">
        <v>5</v>
      </c>
      <c r="AI623">
        <v>5</v>
      </c>
      <c r="AJ623">
        <v>2</v>
      </c>
      <c r="AK623">
        <v>6</v>
      </c>
      <c r="AL623" t="s">
        <v>2042</v>
      </c>
      <c r="AM623" t="s">
        <v>2043</v>
      </c>
      <c r="AN623" t="s">
        <v>2044</v>
      </c>
      <c r="AO623" t="s">
        <v>2456</v>
      </c>
      <c r="AP623" t="s">
        <v>2457</v>
      </c>
      <c r="AQ623" t="s">
        <v>74</v>
      </c>
      <c r="AR623" t="s">
        <v>2458</v>
      </c>
      <c r="AS623" t="s">
        <v>2459</v>
      </c>
      <c r="AT623" t="s">
        <v>8316</v>
      </c>
      <c r="AU623">
        <v>2022</v>
      </c>
      <c r="AV623">
        <v>127</v>
      </c>
      <c r="AW623">
        <v>4</v>
      </c>
      <c r="AX623" t="s">
        <v>74</v>
      </c>
      <c r="AY623" t="s">
        <v>74</v>
      </c>
      <c r="AZ623" t="s">
        <v>74</v>
      </c>
      <c r="BA623" t="s">
        <v>74</v>
      </c>
      <c r="BB623" t="s">
        <v>74</v>
      </c>
      <c r="BC623" t="s">
        <v>74</v>
      </c>
      <c r="BD623" t="s">
        <v>12510</v>
      </c>
      <c r="BE623" t="s">
        <v>12511</v>
      </c>
      <c r="BF623" t="str">
        <f>HYPERLINK("http://dx.doi.org/10.1029/2021JC018133","http://dx.doi.org/10.1029/2021JC018133")</f>
        <v>http://dx.doi.org/10.1029/2021JC018133</v>
      </c>
      <c r="BG623" t="s">
        <v>74</v>
      </c>
      <c r="BH623" t="s">
        <v>74</v>
      </c>
      <c r="BI623">
        <v>21</v>
      </c>
      <c r="BJ623" t="s">
        <v>208</v>
      </c>
      <c r="BK623" t="s">
        <v>101</v>
      </c>
      <c r="BL623" t="s">
        <v>208</v>
      </c>
      <c r="BM623" t="s">
        <v>12512</v>
      </c>
      <c r="BN623" t="s">
        <v>74</v>
      </c>
      <c r="BO623" t="s">
        <v>590</v>
      </c>
      <c r="BP623" t="s">
        <v>74</v>
      </c>
      <c r="BQ623" t="s">
        <v>74</v>
      </c>
      <c r="BR623" t="s">
        <v>103</v>
      </c>
      <c r="BS623" t="s">
        <v>12513</v>
      </c>
      <c r="BT623" t="str">
        <f>HYPERLINK("https%3A%2F%2Fwww.webofscience.com%2Fwos%2Fwoscc%2Ffull-record%2FWOS:000781725100001","View Full Record in Web of Science")</f>
        <v>View Full Record in Web of Science</v>
      </c>
    </row>
    <row r="624" spans="1:72" x14ac:dyDescent="0.15">
      <c r="A624" t="s">
        <v>72</v>
      </c>
      <c r="B624" t="s">
        <v>12514</v>
      </c>
      <c r="C624" t="s">
        <v>74</v>
      </c>
      <c r="D624" t="s">
        <v>74</v>
      </c>
      <c r="E624" t="s">
        <v>74</v>
      </c>
      <c r="F624" t="s">
        <v>12515</v>
      </c>
      <c r="G624" t="s">
        <v>74</v>
      </c>
      <c r="H624" t="s">
        <v>74</v>
      </c>
      <c r="I624" t="s">
        <v>12516</v>
      </c>
      <c r="J624" t="s">
        <v>7018</v>
      </c>
      <c r="K624" t="s">
        <v>74</v>
      </c>
      <c r="L624" t="s">
        <v>74</v>
      </c>
      <c r="M624" t="s">
        <v>78</v>
      </c>
      <c r="N624" t="s">
        <v>79</v>
      </c>
      <c r="O624" t="s">
        <v>74</v>
      </c>
      <c r="P624" t="s">
        <v>74</v>
      </c>
      <c r="Q624" t="s">
        <v>74</v>
      </c>
      <c r="R624" t="s">
        <v>74</v>
      </c>
      <c r="S624" t="s">
        <v>74</v>
      </c>
      <c r="T624" t="s">
        <v>12517</v>
      </c>
      <c r="U624" t="s">
        <v>12518</v>
      </c>
      <c r="V624" t="s">
        <v>12519</v>
      </c>
      <c r="W624" t="s">
        <v>12520</v>
      </c>
      <c r="X624" t="s">
        <v>12521</v>
      </c>
      <c r="Y624" t="s">
        <v>12522</v>
      </c>
      <c r="Z624" t="s">
        <v>12523</v>
      </c>
      <c r="AA624" t="s">
        <v>12524</v>
      </c>
      <c r="AB624" t="s">
        <v>12525</v>
      </c>
      <c r="AC624" t="s">
        <v>12526</v>
      </c>
      <c r="AD624" t="s">
        <v>12527</v>
      </c>
      <c r="AE624" t="s">
        <v>12528</v>
      </c>
      <c r="AF624" t="s">
        <v>74</v>
      </c>
      <c r="AG624">
        <v>63</v>
      </c>
      <c r="AH624">
        <v>2</v>
      </c>
      <c r="AI624">
        <v>2</v>
      </c>
      <c r="AJ624">
        <v>2</v>
      </c>
      <c r="AK624">
        <v>20</v>
      </c>
      <c r="AL624" t="s">
        <v>1766</v>
      </c>
      <c r="AM624" t="s">
        <v>1767</v>
      </c>
      <c r="AN624" t="s">
        <v>1768</v>
      </c>
      <c r="AO624" t="s">
        <v>74</v>
      </c>
      <c r="AP624" t="s">
        <v>7028</v>
      </c>
      <c r="AQ624" t="s">
        <v>74</v>
      </c>
      <c r="AR624" t="s">
        <v>7029</v>
      </c>
      <c r="AS624" t="s">
        <v>7030</v>
      </c>
      <c r="AT624" t="s">
        <v>8316</v>
      </c>
      <c r="AU624">
        <v>2022</v>
      </c>
      <c r="AV624">
        <v>14</v>
      </c>
      <c r="AW624">
        <v>7</v>
      </c>
      <c r="AX624" t="s">
        <v>74</v>
      </c>
      <c r="AY624" t="s">
        <v>74</v>
      </c>
      <c r="AZ624" t="s">
        <v>74</v>
      </c>
      <c r="BA624" t="s">
        <v>74</v>
      </c>
      <c r="BB624" t="s">
        <v>74</v>
      </c>
      <c r="BC624" t="s">
        <v>74</v>
      </c>
      <c r="BD624">
        <v>3994</v>
      </c>
      <c r="BE624" t="s">
        <v>12529</v>
      </c>
      <c r="BF624" t="str">
        <f>HYPERLINK("http://dx.doi.org/10.3390/su14073994","http://dx.doi.org/10.3390/su14073994")</f>
        <v>http://dx.doi.org/10.3390/su14073994</v>
      </c>
      <c r="BG624" t="s">
        <v>74</v>
      </c>
      <c r="BH624" t="s">
        <v>74</v>
      </c>
      <c r="BI624">
        <v>16</v>
      </c>
      <c r="BJ624" t="s">
        <v>7032</v>
      </c>
      <c r="BK624" t="s">
        <v>956</v>
      </c>
      <c r="BL624" t="s">
        <v>7033</v>
      </c>
      <c r="BM624" t="s">
        <v>12530</v>
      </c>
      <c r="BN624" t="s">
        <v>74</v>
      </c>
      <c r="BO624" t="s">
        <v>438</v>
      </c>
      <c r="BP624" t="s">
        <v>74</v>
      </c>
      <c r="BQ624" t="s">
        <v>74</v>
      </c>
      <c r="BR624" t="s">
        <v>103</v>
      </c>
      <c r="BS624" t="s">
        <v>12531</v>
      </c>
      <c r="BT624" t="str">
        <f>HYPERLINK("https%3A%2F%2Fwww.webofscience.com%2Fwos%2Fwoscc%2Ffull-record%2FWOS:000781080000001","View Full Record in Web of Science")</f>
        <v>View Full Record in Web of Science</v>
      </c>
    </row>
    <row r="625" spans="1:72" x14ac:dyDescent="0.15">
      <c r="A625" t="s">
        <v>72</v>
      </c>
      <c r="B625" t="s">
        <v>12532</v>
      </c>
      <c r="C625" t="s">
        <v>74</v>
      </c>
      <c r="D625" t="s">
        <v>74</v>
      </c>
      <c r="E625" t="s">
        <v>74</v>
      </c>
      <c r="F625" t="s">
        <v>12533</v>
      </c>
      <c r="G625" t="s">
        <v>74</v>
      </c>
      <c r="H625" t="s">
        <v>74</v>
      </c>
      <c r="I625" t="s">
        <v>12534</v>
      </c>
      <c r="J625" t="s">
        <v>7528</v>
      </c>
      <c r="K625" t="s">
        <v>74</v>
      </c>
      <c r="L625" t="s">
        <v>74</v>
      </c>
      <c r="M625" t="s">
        <v>78</v>
      </c>
      <c r="N625" t="s">
        <v>79</v>
      </c>
      <c r="O625" t="s">
        <v>74</v>
      </c>
      <c r="P625" t="s">
        <v>74</v>
      </c>
      <c r="Q625" t="s">
        <v>74</v>
      </c>
      <c r="R625" t="s">
        <v>74</v>
      </c>
      <c r="S625" t="s">
        <v>74</v>
      </c>
      <c r="T625" t="s">
        <v>12535</v>
      </c>
      <c r="U625" t="s">
        <v>12536</v>
      </c>
      <c r="V625" t="s">
        <v>12537</v>
      </c>
      <c r="W625" t="s">
        <v>12538</v>
      </c>
      <c r="X625" t="s">
        <v>12539</v>
      </c>
      <c r="Y625" t="s">
        <v>12540</v>
      </c>
      <c r="Z625" t="s">
        <v>12541</v>
      </c>
      <c r="AA625" t="s">
        <v>12542</v>
      </c>
      <c r="AB625" t="s">
        <v>12543</v>
      </c>
      <c r="AC625" t="s">
        <v>12544</v>
      </c>
      <c r="AD625" t="s">
        <v>12545</v>
      </c>
      <c r="AE625" t="s">
        <v>12546</v>
      </c>
      <c r="AF625" t="s">
        <v>74</v>
      </c>
      <c r="AG625">
        <v>26</v>
      </c>
      <c r="AH625">
        <v>3</v>
      </c>
      <c r="AI625">
        <v>3</v>
      </c>
      <c r="AJ625">
        <v>2</v>
      </c>
      <c r="AK625">
        <v>7</v>
      </c>
      <c r="AL625" t="s">
        <v>1766</v>
      </c>
      <c r="AM625" t="s">
        <v>1767</v>
      </c>
      <c r="AN625" t="s">
        <v>1768</v>
      </c>
      <c r="AO625" t="s">
        <v>74</v>
      </c>
      <c r="AP625" t="s">
        <v>7541</v>
      </c>
      <c r="AQ625" t="s">
        <v>74</v>
      </c>
      <c r="AR625" t="s">
        <v>7528</v>
      </c>
      <c r="AS625" t="s">
        <v>7542</v>
      </c>
      <c r="AT625" t="s">
        <v>8316</v>
      </c>
      <c r="AU625">
        <v>2022</v>
      </c>
      <c r="AV625">
        <v>27</v>
      </c>
      <c r="AW625">
        <v>7</v>
      </c>
      <c r="AX625" t="s">
        <v>74</v>
      </c>
      <c r="AY625" t="s">
        <v>74</v>
      </c>
      <c r="AZ625" t="s">
        <v>74</v>
      </c>
      <c r="BA625" t="s">
        <v>74</v>
      </c>
      <c r="BB625" t="s">
        <v>74</v>
      </c>
      <c r="BC625" t="s">
        <v>74</v>
      </c>
      <c r="BD625">
        <v>2363</v>
      </c>
      <c r="BE625" t="s">
        <v>12547</v>
      </c>
      <c r="BF625" t="str">
        <f>HYPERLINK("http://dx.doi.org/10.3390/molecules27072363","http://dx.doi.org/10.3390/molecules27072363")</f>
        <v>http://dx.doi.org/10.3390/molecules27072363</v>
      </c>
      <c r="BG625" t="s">
        <v>74</v>
      </c>
      <c r="BH625" t="s">
        <v>74</v>
      </c>
      <c r="BI625">
        <v>8</v>
      </c>
      <c r="BJ625" t="s">
        <v>7165</v>
      </c>
      <c r="BK625" t="s">
        <v>101</v>
      </c>
      <c r="BL625" t="s">
        <v>7166</v>
      </c>
      <c r="BM625" t="s">
        <v>12548</v>
      </c>
      <c r="BN625">
        <v>35408757</v>
      </c>
      <c r="BO625" t="s">
        <v>1533</v>
      </c>
      <c r="BP625" t="s">
        <v>74</v>
      </c>
      <c r="BQ625" t="s">
        <v>74</v>
      </c>
      <c r="BR625" t="s">
        <v>103</v>
      </c>
      <c r="BS625" t="s">
        <v>12549</v>
      </c>
      <c r="BT625" t="str">
        <f>HYPERLINK("https%3A%2F%2Fwww.webofscience.com%2Fwos%2Fwoscc%2Ffull-record%2FWOS:000780568900001","View Full Record in Web of Science")</f>
        <v>View Full Record in Web of Science</v>
      </c>
    </row>
    <row r="626" spans="1:72" x14ac:dyDescent="0.15">
      <c r="A626" t="s">
        <v>72</v>
      </c>
      <c r="B626" t="s">
        <v>12550</v>
      </c>
      <c r="C626" t="s">
        <v>74</v>
      </c>
      <c r="D626" t="s">
        <v>74</v>
      </c>
      <c r="E626" t="s">
        <v>74</v>
      </c>
      <c r="F626" t="s">
        <v>12551</v>
      </c>
      <c r="G626" t="s">
        <v>74</v>
      </c>
      <c r="H626" t="s">
        <v>74</v>
      </c>
      <c r="I626" t="s">
        <v>12552</v>
      </c>
      <c r="J626" t="s">
        <v>415</v>
      </c>
      <c r="K626" t="s">
        <v>74</v>
      </c>
      <c r="L626" t="s">
        <v>74</v>
      </c>
      <c r="M626" t="s">
        <v>78</v>
      </c>
      <c r="N626" t="s">
        <v>649</v>
      </c>
      <c r="O626" t="s">
        <v>74</v>
      </c>
      <c r="P626" t="s">
        <v>74</v>
      </c>
      <c r="Q626" t="s">
        <v>74</v>
      </c>
      <c r="R626" t="s">
        <v>74</v>
      </c>
      <c r="S626" t="s">
        <v>74</v>
      </c>
      <c r="T626" t="s">
        <v>74</v>
      </c>
      <c r="U626" t="s">
        <v>74</v>
      </c>
      <c r="V626" t="s">
        <v>74</v>
      </c>
      <c r="W626" t="s">
        <v>74</v>
      </c>
      <c r="X626" t="s">
        <v>74</v>
      </c>
      <c r="Y626" t="s">
        <v>74</v>
      </c>
      <c r="Z626" t="s">
        <v>74</v>
      </c>
      <c r="AA626" t="s">
        <v>12553</v>
      </c>
      <c r="AB626" t="s">
        <v>12554</v>
      </c>
      <c r="AC626" t="s">
        <v>74</v>
      </c>
      <c r="AD626" t="s">
        <v>74</v>
      </c>
      <c r="AE626" t="s">
        <v>74</v>
      </c>
      <c r="AF626" t="s">
        <v>74</v>
      </c>
      <c r="AG626">
        <v>2</v>
      </c>
      <c r="AH626">
        <v>1</v>
      </c>
      <c r="AI626">
        <v>1</v>
      </c>
      <c r="AJ626">
        <v>3</v>
      </c>
      <c r="AK626">
        <v>4</v>
      </c>
      <c r="AL626" t="s">
        <v>428</v>
      </c>
      <c r="AM626" t="s">
        <v>174</v>
      </c>
      <c r="AN626" t="s">
        <v>429</v>
      </c>
      <c r="AO626" t="s">
        <v>430</v>
      </c>
      <c r="AP626" t="s">
        <v>431</v>
      </c>
      <c r="AQ626" t="s">
        <v>74</v>
      </c>
      <c r="AR626" t="s">
        <v>432</v>
      </c>
      <c r="AS626" t="s">
        <v>433</v>
      </c>
      <c r="AT626" t="s">
        <v>8316</v>
      </c>
      <c r="AU626">
        <v>2022</v>
      </c>
      <c r="AV626">
        <v>68</v>
      </c>
      <c r="AW626">
        <v>268</v>
      </c>
      <c r="AX626" t="s">
        <v>74</v>
      </c>
      <c r="AY626" t="s">
        <v>74</v>
      </c>
      <c r="AZ626" t="s">
        <v>74</v>
      </c>
      <c r="BA626" t="s">
        <v>74</v>
      </c>
      <c r="BB626">
        <v>415</v>
      </c>
      <c r="BC626">
        <v>416</v>
      </c>
      <c r="BD626" t="s">
        <v>74</v>
      </c>
      <c r="BE626" t="s">
        <v>12555</v>
      </c>
      <c r="BF626" t="str">
        <f>HYPERLINK("http://dx.doi.org/10.1017/jog.2022.15","http://dx.doi.org/10.1017/jog.2022.15")</f>
        <v>http://dx.doi.org/10.1017/jog.2022.15</v>
      </c>
      <c r="BG626" t="s">
        <v>74</v>
      </c>
      <c r="BH626" t="s">
        <v>74</v>
      </c>
      <c r="BI626">
        <v>2</v>
      </c>
      <c r="BJ626" t="s">
        <v>125</v>
      </c>
      <c r="BK626" t="s">
        <v>101</v>
      </c>
      <c r="BL626" t="s">
        <v>126</v>
      </c>
      <c r="BM626" t="s">
        <v>12556</v>
      </c>
      <c r="BN626" t="s">
        <v>74</v>
      </c>
      <c r="BO626" t="s">
        <v>1533</v>
      </c>
      <c r="BP626" t="s">
        <v>74</v>
      </c>
      <c r="BQ626" t="s">
        <v>74</v>
      </c>
      <c r="BR626" t="s">
        <v>103</v>
      </c>
      <c r="BS626" t="s">
        <v>12557</v>
      </c>
      <c r="BT626" t="str">
        <f>HYPERLINK("https%3A%2F%2Fwww.webofscience.com%2Fwos%2Fwoscc%2Ffull-record%2FWOS:000778642200016","View Full Record in Web of Science")</f>
        <v>View Full Record in Web of Science</v>
      </c>
    </row>
    <row r="627" spans="1:72" x14ac:dyDescent="0.15">
      <c r="A627" t="s">
        <v>72</v>
      </c>
      <c r="B627" t="s">
        <v>12558</v>
      </c>
      <c r="C627" t="s">
        <v>74</v>
      </c>
      <c r="D627" t="s">
        <v>74</v>
      </c>
      <c r="E627" t="s">
        <v>74</v>
      </c>
      <c r="F627" t="s">
        <v>12559</v>
      </c>
      <c r="G627" t="s">
        <v>74</v>
      </c>
      <c r="H627" t="s">
        <v>74</v>
      </c>
      <c r="I627" t="s">
        <v>12560</v>
      </c>
      <c r="J627" t="s">
        <v>12561</v>
      </c>
      <c r="K627" t="s">
        <v>74</v>
      </c>
      <c r="L627" t="s">
        <v>74</v>
      </c>
      <c r="M627" t="s">
        <v>78</v>
      </c>
      <c r="N627" t="s">
        <v>79</v>
      </c>
      <c r="O627" t="s">
        <v>74</v>
      </c>
      <c r="P627" t="s">
        <v>74</v>
      </c>
      <c r="Q627" t="s">
        <v>74</v>
      </c>
      <c r="R627" t="s">
        <v>74</v>
      </c>
      <c r="S627" t="s">
        <v>74</v>
      </c>
      <c r="T627" t="s">
        <v>12562</v>
      </c>
      <c r="U627" t="s">
        <v>12563</v>
      </c>
      <c r="V627" t="s">
        <v>12564</v>
      </c>
      <c r="W627" t="s">
        <v>12565</v>
      </c>
      <c r="X627" t="s">
        <v>12566</v>
      </c>
      <c r="Y627" t="s">
        <v>12567</v>
      </c>
      <c r="Z627" t="s">
        <v>3717</v>
      </c>
      <c r="AA627" t="s">
        <v>12568</v>
      </c>
      <c r="AB627" t="s">
        <v>74</v>
      </c>
      <c r="AC627" t="s">
        <v>12569</v>
      </c>
      <c r="AD627" t="s">
        <v>12570</v>
      </c>
      <c r="AE627" t="s">
        <v>12571</v>
      </c>
      <c r="AF627" t="s">
        <v>74</v>
      </c>
      <c r="AG627">
        <v>41</v>
      </c>
      <c r="AH627">
        <v>1</v>
      </c>
      <c r="AI627">
        <v>1</v>
      </c>
      <c r="AJ627">
        <v>0</v>
      </c>
      <c r="AK627">
        <v>3</v>
      </c>
      <c r="AL627" t="s">
        <v>530</v>
      </c>
      <c r="AM627" t="s">
        <v>531</v>
      </c>
      <c r="AN627" t="s">
        <v>532</v>
      </c>
      <c r="AO627" t="s">
        <v>12572</v>
      </c>
      <c r="AP627" t="s">
        <v>12573</v>
      </c>
      <c r="AQ627" t="s">
        <v>74</v>
      </c>
      <c r="AR627" t="s">
        <v>12574</v>
      </c>
      <c r="AS627" t="s">
        <v>12575</v>
      </c>
      <c r="AT627" t="s">
        <v>8316</v>
      </c>
      <c r="AU627">
        <v>2022</v>
      </c>
      <c r="AV627">
        <v>41</v>
      </c>
      <c r="AW627">
        <v>4</v>
      </c>
      <c r="AX627" t="s">
        <v>74</v>
      </c>
      <c r="AY627" t="s">
        <v>74</v>
      </c>
      <c r="AZ627" t="s">
        <v>74</v>
      </c>
      <c r="BA627" t="s">
        <v>74</v>
      </c>
      <c r="BB627">
        <v>68</v>
      </c>
      <c r="BC627">
        <v>79</v>
      </c>
      <c r="BD627" t="s">
        <v>74</v>
      </c>
      <c r="BE627" t="s">
        <v>12576</v>
      </c>
      <c r="BF627" t="str">
        <f>HYPERLINK("http://dx.doi.org/10.1007/s13131-021-1829-8","http://dx.doi.org/10.1007/s13131-021-1829-8")</f>
        <v>http://dx.doi.org/10.1007/s13131-021-1829-8</v>
      </c>
      <c r="BG627" t="s">
        <v>74</v>
      </c>
      <c r="BH627" t="s">
        <v>74</v>
      </c>
      <c r="BI627">
        <v>12</v>
      </c>
      <c r="BJ627" t="s">
        <v>208</v>
      </c>
      <c r="BK627" t="s">
        <v>101</v>
      </c>
      <c r="BL627" t="s">
        <v>208</v>
      </c>
      <c r="BM627" t="s">
        <v>12577</v>
      </c>
      <c r="BN627" t="s">
        <v>74</v>
      </c>
      <c r="BO627" t="s">
        <v>74</v>
      </c>
      <c r="BP627" t="s">
        <v>74</v>
      </c>
      <c r="BQ627" t="s">
        <v>74</v>
      </c>
      <c r="BR627" t="s">
        <v>103</v>
      </c>
      <c r="BS627" t="s">
        <v>12578</v>
      </c>
      <c r="BT627" t="str">
        <f>HYPERLINK("https%3A%2F%2Fwww.webofscience.com%2Fwos%2Fwoscc%2Ffull-record%2FWOS:000779605500006","View Full Record in Web of Science")</f>
        <v>View Full Record in Web of Science</v>
      </c>
    </row>
    <row r="628" spans="1:72" x14ac:dyDescent="0.15">
      <c r="A628" t="s">
        <v>72</v>
      </c>
      <c r="B628" t="s">
        <v>12579</v>
      </c>
      <c r="C628" t="s">
        <v>74</v>
      </c>
      <c r="D628" t="s">
        <v>74</v>
      </c>
      <c r="E628" t="s">
        <v>74</v>
      </c>
      <c r="F628" t="s">
        <v>12580</v>
      </c>
      <c r="G628" t="s">
        <v>74</v>
      </c>
      <c r="H628" t="s">
        <v>74</v>
      </c>
      <c r="I628" t="s">
        <v>12581</v>
      </c>
      <c r="J628" t="s">
        <v>2443</v>
      </c>
      <c r="K628" t="s">
        <v>74</v>
      </c>
      <c r="L628" t="s">
        <v>74</v>
      </c>
      <c r="M628" t="s">
        <v>78</v>
      </c>
      <c r="N628" t="s">
        <v>79</v>
      </c>
      <c r="O628" t="s">
        <v>74</v>
      </c>
      <c r="P628" t="s">
        <v>74</v>
      </c>
      <c r="Q628" t="s">
        <v>74</v>
      </c>
      <c r="R628" t="s">
        <v>74</v>
      </c>
      <c r="S628" t="s">
        <v>74</v>
      </c>
      <c r="T628" t="s">
        <v>12582</v>
      </c>
      <c r="U628" t="s">
        <v>12583</v>
      </c>
      <c r="V628" t="s">
        <v>12584</v>
      </c>
      <c r="W628" t="s">
        <v>12585</v>
      </c>
      <c r="X628" t="s">
        <v>12586</v>
      </c>
      <c r="Y628" t="s">
        <v>12587</v>
      </c>
      <c r="Z628" t="s">
        <v>12588</v>
      </c>
      <c r="AA628" t="s">
        <v>12589</v>
      </c>
      <c r="AB628" t="s">
        <v>12590</v>
      </c>
      <c r="AC628" t="s">
        <v>12591</v>
      </c>
      <c r="AD628" t="s">
        <v>12592</v>
      </c>
      <c r="AE628" t="s">
        <v>12593</v>
      </c>
      <c r="AF628" t="s">
        <v>74</v>
      </c>
      <c r="AG628">
        <v>88</v>
      </c>
      <c r="AH628">
        <v>9</v>
      </c>
      <c r="AI628">
        <v>9</v>
      </c>
      <c r="AJ628">
        <v>0</v>
      </c>
      <c r="AK628">
        <v>13</v>
      </c>
      <c r="AL628" t="s">
        <v>2042</v>
      </c>
      <c r="AM628" t="s">
        <v>2043</v>
      </c>
      <c r="AN628" t="s">
        <v>2044</v>
      </c>
      <c r="AO628" t="s">
        <v>2456</v>
      </c>
      <c r="AP628" t="s">
        <v>2457</v>
      </c>
      <c r="AQ628" t="s">
        <v>74</v>
      </c>
      <c r="AR628" t="s">
        <v>2458</v>
      </c>
      <c r="AS628" t="s">
        <v>2459</v>
      </c>
      <c r="AT628" t="s">
        <v>8316</v>
      </c>
      <c r="AU628">
        <v>2022</v>
      </c>
      <c r="AV628">
        <v>127</v>
      </c>
      <c r="AW628">
        <v>4</v>
      </c>
      <c r="AX628" t="s">
        <v>74</v>
      </c>
      <c r="AY628" t="s">
        <v>74</v>
      </c>
      <c r="AZ628" t="s">
        <v>74</v>
      </c>
      <c r="BA628" t="s">
        <v>74</v>
      </c>
      <c r="BB628" t="s">
        <v>74</v>
      </c>
      <c r="BC628" t="s">
        <v>74</v>
      </c>
      <c r="BD628" t="s">
        <v>12594</v>
      </c>
      <c r="BE628" t="s">
        <v>12595</v>
      </c>
      <c r="BF628" t="str">
        <f>HYPERLINK("http://dx.doi.org/10.1029/2021JC017760","http://dx.doi.org/10.1029/2021JC017760")</f>
        <v>http://dx.doi.org/10.1029/2021JC017760</v>
      </c>
      <c r="BG628" t="s">
        <v>74</v>
      </c>
      <c r="BH628" t="s">
        <v>74</v>
      </c>
      <c r="BI628">
        <v>21</v>
      </c>
      <c r="BJ628" t="s">
        <v>208</v>
      </c>
      <c r="BK628" t="s">
        <v>101</v>
      </c>
      <c r="BL628" t="s">
        <v>208</v>
      </c>
      <c r="BM628" t="s">
        <v>12596</v>
      </c>
      <c r="BN628" t="s">
        <v>74</v>
      </c>
      <c r="BO628" t="s">
        <v>1149</v>
      </c>
      <c r="BP628" t="s">
        <v>74</v>
      </c>
      <c r="BQ628" t="s">
        <v>74</v>
      </c>
      <c r="BR628" t="s">
        <v>103</v>
      </c>
      <c r="BS628" t="s">
        <v>12597</v>
      </c>
      <c r="BT628" t="str">
        <f>HYPERLINK("https%3A%2F%2Fwww.webofscience.com%2Fwos%2Fwoscc%2Ffull-record%2FWOS:000778546500001","View Full Record in Web of Science")</f>
        <v>View Full Record in Web of Science</v>
      </c>
    </row>
    <row r="629" spans="1:72" x14ac:dyDescent="0.15">
      <c r="A629" t="s">
        <v>72</v>
      </c>
      <c r="B629" t="s">
        <v>12598</v>
      </c>
      <c r="C629" t="s">
        <v>74</v>
      </c>
      <c r="D629" t="s">
        <v>74</v>
      </c>
      <c r="E629" t="s">
        <v>74</v>
      </c>
      <c r="F629" t="s">
        <v>12599</v>
      </c>
      <c r="G629" t="s">
        <v>74</v>
      </c>
      <c r="H629" t="s">
        <v>74</v>
      </c>
      <c r="I629" t="s">
        <v>12600</v>
      </c>
      <c r="J629" t="s">
        <v>1923</v>
      </c>
      <c r="K629" t="s">
        <v>74</v>
      </c>
      <c r="L629" t="s">
        <v>74</v>
      </c>
      <c r="M629" t="s">
        <v>78</v>
      </c>
      <c r="N629" t="s">
        <v>79</v>
      </c>
      <c r="O629" t="s">
        <v>74</v>
      </c>
      <c r="P629" t="s">
        <v>74</v>
      </c>
      <c r="Q629" t="s">
        <v>74</v>
      </c>
      <c r="R629" t="s">
        <v>74</v>
      </c>
      <c r="S629" t="s">
        <v>74</v>
      </c>
      <c r="T629" t="s">
        <v>12601</v>
      </c>
      <c r="U629" t="s">
        <v>12602</v>
      </c>
      <c r="V629" t="s">
        <v>12603</v>
      </c>
      <c r="W629" t="s">
        <v>12604</v>
      </c>
      <c r="X629" t="s">
        <v>12605</v>
      </c>
      <c r="Y629" t="s">
        <v>12606</v>
      </c>
      <c r="Z629" t="s">
        <v>12607</v>
      </c>
      <c r="AA629" t="s">
        <v>12608</v>
      </c>
      <c r="AB629" t="s">
        <v>12609</v>
      </c>
      <c r="AC629" t="s">
        <v>12610</v>
      </c>
      <c r="AD629" t="s">
        <v>12611</v>
      </c>
      <c r="AE629" t="s">
        <v>12612</v>
      </c>
      <c r="AF629" t="s">
        <v>74</v>
      </c>
      <c r="AG629">
        <v>48</v>
      </c>
      <c r="AH629">
        <v>2</v>
      </c>
      <c r="AI629">
        <v>2</v>
      </c>
      <c r="AJ629">
        <v>0</v>
      </c>
      <c r="AK629">
        <v>3</v>
      </c>
      <c r="AL629" t="s">
        <v>1766</v>
      </c>
      <c r="AM629" t="s">
        <v>1767</v>
      </c>
      <c r="AN629" t="s">
        <v>1768</v>
      </c>
      <c r="AO629" t="s">
        <v>74</v>
      </c>
      <c r="AP629" t="s">
        <v>1935</v>
      </c>
      <c r="AQ629" t="s">
        <v>74</v>
      </c>
      <c r="AR629" t="s">
        <v>1936</v>
      </c>
      <c r="AS629" t="s">
        <v>1937</v>
      </c>
      <c r="AT629" t="s">
        <v>8316</v>
      </c>
      <c r="AU629">
        <v>2022</v>
      </c>
      <c r="AV629">
        <v>14</v>
      </c>
      <c r="AW629">
        <v>7</v>
      </c>
      <c r="AX629" t="s">
        <v>74</v>
      </c>
      <c r="AY629" t="s">
        <v>74</v>
      </c>
      <c r="AZ629" t="s">
        <v>74</v>
      </c>
      <c r="BA629" t="s">
        <v>74</v>
      </c>
      <c r="BB629" t="s">
        <v>74</v>
      </c>
      <c r="BC629" t="s">
        <v>74</v>
      </c>
      <c r="BD629">
        <v>1642</v>
      </c>
      <c r="BE629" t="s">
        <v>12613</v>
      </c>
      <c r="BF629" t="str">
        <f>HYPERLINK("http://dx.doi.org/10.3390/rs14071642","http://dx.doi.org/10.3390/rs14071642")</f>
        <v>http://dx.doi.org/10.3390/rs14071642</v>
      </c>
      <c r="BG629" t="s">
        <v>74</v>
      </c>
      <c r="BH629" t="s">
        <v>74</v>
      </c>
      <c r="BI629">
        <v>16</v>
      </c>
      <c r="BJ629" t="s">
        <v>1939</v>
      </c>
      <c r="BK629" t="s">
        <v>101</v>
      </c>
      <c r="BL629" t="s">
        <v>1940</v>
      </c>
      <c r="BM629" t="s">
        <v>12614</v>
      </c>
      <c r="BN629" t="s">
        <v>74</v>
      </c>
      <c r="BO629" t="s">
        <v>438</v>
      </c>
      <c r="BP629" t="s">
        <v>74</v>
      </c>
      <c r="BQ629" t="s">
        <v>74</v>
      </c>
      <c r="BR629" t="s">
        <v>103</v>
      </c>
      <c r="BS629" t="s">
        <v>12615</v>
      </c>
      <c r="BT629" t="str">
        <f>HYPERLINK("https%3A%2F%2Fwww.webofscience.com%2Fwos%2Fwoscc%2Ffull-record%2FWOS:000781411300001","View Full Record in Web of Science")</f>
        <v>View Full Record in Web of Science</v>
      </c>
    </row>
    <row r="630" spans="1:72" x14ac:dyDescent="0.15">
      <c r="A630" t="s">
        <v>72</v>
      </c>
      <c r="B630" t="s">
        <v>12616</v>
      </c>
      <c r="C630" t="s">
        <v>74</v>
      </c>
      <c r="D630" t="s">
        <v>74</v>
      </c>
      <c r="E630" t="s">
        <v>74</v>
      </c>
      <c r="F630" t="s">
        <v>12617</v>
      </c>
      <c r="G630" t="s">
        <v>74</v>
      </c>
      <c r="H630" t="s">
        <v>74</v>
      </c>
      <c r="I630" t="s">
        <v>12618</v>
      </c>
      <c r="J630" t="s">
        <v>1923</v>
      </c>
      <c r="K630" t="s">
        <v>74</v>
      </c>
      <c r="L630" t="s">
        <v>74</v>
      </c>
      <c r="M630" t="s">
        <v>78</v>
      </c>
      <c r="N630" t="s">
        <v>161</v>
      </c>
      <c r="O630" t="s">
        <v>74</v>
      </c>
      <c r="P630" t="s">
        <v>74</v>
      </c>
      <c r="Q630" t="s">
        <v>74</v>
      </c>
      <c r="R630" t="s">
        <v>74</v>
      </c>
      <c r="S630" t="s">
        <v>74</v>
      </c>
      <c r="T630" t="s">
        <v>12619</v>
      </c>
      <c r="U630" t="s">
        <v>12620</v>
      </c>
      <c r="V630" t="s">
        <v>12621</v>
      </c>
      <c r="W630" t="s">
        <v>12622</v>
      </c>
      <c r="X630" t="s">
        <v>12623</v>
      </c>
      <c r="Y630" t="s">
        <v>12624</v>
      </c>
      <c r="Z630" t="s">
        <v>12625</v>
      </c>
      <c r="AA630" t="s">
        <v>12626</v>
      </c>
      <c r="AB630" t="s">
        <v>12627</v>
      </c>
      <c r="AC630" t="s">
        <v>12628</v>
      </c>
      <c r="AD630" t="s">
        <v>12628</v>
      </c>
      <c r="AE630" t="s">
        <v>12629</v>
      </c>
      <c r="AF630" t="s">
        <v>74</v>
      </c>
      <c r="AG630">
        <v>224</v>
      </c>
      <c r="AH630">
        <v>20</v>
      </c>
      <c r="AI630">
        <v>22</v>
      </c>
      <c r="AJ630">
        <v>8</v>
      </c>
      <c r="AK630">
        <v>40</v>
      </c>
      <c r="AL630" t="s">
        <v>1766</v>
      </c>
      <c r="AM630" t="s">
        <v>1767</v>
      </c>
      <c r="AN630" t="s">
        <v>1768</v>
      </c>
      <c r="AO630" t="s">
        <v>74</v>
      </c>
      <c r="AP630" t="s">
        <v>1935</v>
      </c>
      <c r="AQ630" t="s">
        <v>74</v>
      </c>
      <c r="AR630" t="s">
        <v>1936</v>
      </c>
      <c r="AS630" t="s">
        <v>1937</v>
      </c>
      <c r="AT630" t="s">
        <v>8316</v>
      </c>
      <c r="AU630">
        <v>2022</v>
      </c>
      <c r="AV630">
        <v>14</v>
      </c>
      <c r="AW630">
        <v>7</v>
      </c>
      <c r="AX630" t="s">
        <v>74</v>
      </c>
      <c r="AY630" t="s">
        <v>74</v>
      </c>
      <c r="AZ630" t="s">
        <v>74</v>
      </c>
      <c r="BA630" t="s">
        <v>74</v>
      </c>
      <c r="BB630" t="s">
        <v>74</v>
      </c>
      <c r="BC630" t="s">
        <v>74</v>
      </c>
      <c r="BD630">
        <v>1610</v>
      </c>
      <c r="BE630" t="s">
        <v>12630</v>
      </c>
      <c r="BF630" t="str">
        <f>HYPERLINK("http://dx.doi.org/10.3390/rs14071610","http://dx.doi.org/10.3390/rs14071610")</f>
        <v>http://dx.doi.org/10.3390/rs14071610</v>
      </c>
      <c r="BG630" t="s">
        <v>74</v>
      </c>
      <c r="BH630" t="s">
        <v>74</v>
      </c>
      <c r="BI630">
        <v>39</v>
      </c>
      <c r="BJ630" t="s">
        <v>1939</v>
      </c>
      <c r="BK630" t="s">
        <v>956</v>
      </c>
      <c r="BL630" t="s">
        <v>1940</v>
      </c>
      <c r="BM630" t="s">
        <v>12631</v>
      </c>
      <c r="BN630" t="s">
        <v>74</v>
      </c>
      <c r="BO630" t="s">
        <v>295</v>
      </c>
      <c r="BP630" t="s">
        <v>74</v>
      </c>
      <c r="BQ630" t="s">
        <v>74</v>
      </c>
      <c r="BR630" t="s">
        <v>103</v>
      </c>
      <c r="BS630" t="s">
        <v>12632</v>
      </c>
      <c r="BT630" t="str">
        <f>HYPERLINK("https%3A%2F%2Fwww.webofscience.com%2Fwos%2Fwoscc%2Ffull-record%2FWOS:000781892800001","View Full Record in Web of Science")</f>
        <v>View Full Record in Web of Science</v>
      </c>
    </row>
    <row r="631" spans="1:72" x14ac:dyDescent="0.15">
      <c r="A631" t="s">
        <v>72</v>
      </c>
      <c r="B631" t="s">
        <v>12633</v>
      </c>
      <c r="C631" t="s">
        <v>74</v>
      </c>
      <c r="D631" t="s">
        <v>74</v>
      </c>
      <c r="E631" t="s">
        <v>74</v>
      </c>
      <c r="F631" t="s">
        <v>12634</v>
      </c>
      <c r="G631" t="s">
        <v>74</v>
      </c>
      <c r="H631" t="s">
        <v>74</v>
      </c>
      <c r="I631" t="s">
        <v>12635</v>
      </c>
      <c r="J631" t="s">
        <v>2443</v>
      </c>
      <c r="K631" t="s">
        <v>74</v>
      </c>
      <c r="L631" t="s">
        <v>74</v>
      </c>
      <c r="M631" t="s">
        <v>78</v>
      </c>
      <c r="N631" t="s">
        <v>79</v>
      </c>
      <c r="O631" t="s">
        <v>74</v>
      </c>
      <c r="P631" t="s">
        <v>74</v>
      </c>
      <c r="Q631" t="s">
        <v>74</v>
      </c>
      <c r="R631" t="s">
        <v>74</v>
      </c>
      <c r="S631" t="s">
        <v>74</v>
      </c>
      <c r="T631" t="s">
        <v>74</v>
      </c>
      <c r="U631" t="s">
        <v>12636</v>
      </c>
      <c r="V631" t="s">
        <v>12637</v>
      </c>
      <c r="W631" t="s">
        <v>12638</v>
      </c>
      <c r="X631" t="s">
        <v>12639</v>
      </c>
      <c r="Y631" t="s">
        <v>12640</v>
      </c>
      <c r="Z631" t="s">
        <v>12641</v>
      </c>
      <c r="AA631" t="s">
        <v>12642</v>
      </c>
      <c r="AB631" t="s">
        <v>12643</v>
      </c>
      <c r="AC631" t="s">
        <v>12644</v>
      </c>
      <c r="AD631" t="s">
        <v>12645</v>
      </c>
      <c r="AE631" t="s">
        <v>12646</v>
      </c>
      <c r="AF631" t="s">
        <v>74</v>
      </c>
      <c r="AG631">
        <v>60</v>
      </c>
      <c r="AH631">
        <v>2</v>
      </c>
      <c r="AI631">
        <v>3</v>
      </c>
      <c r="AJ631">
        <v>0</v>
      </c>
      <c r="AK631">
        <v>7</v>
      </c>
      <c r="AL631" t="s">
        <v>2042</v>
      </c>
      <c r="AM631" t="s">
        <v>2043</v>
      </c>
      <c r="AN631" t="s">
        <v>2044</v>
      </c>
      <c r="AO631" t="s">
        <v>2456</v>
      </c>
      <c r="AP631" t="s">
        <v>2457</v>
      </c>
      <c r="AQ631" t="s">
        <v>74</v>
      </c>
      <c r="AR631" t="s">
        <v>2458</v>
      </c>
      <c r="AS631" t="s">
        <v>2459</v>
      </c>
      <c r="AT631" t="s">
        <v>8316</v>
      </c>
      <c r="AU631">
        <v>2022</v>
      </c>
      <c r="AV631">
        <v>127</v>
      </c>
      <c r="AW631">
        <v>4</v>
      </c>
      <c r="AX631" t="s">
        <v>74</v>
      </c>
      <c r="AY631" t="s">
        <v>74</v>
      </c>
      <c r="AZ631" t="s">
        <v>74</v>
      </c>
      <c r="BA631" t="s">
        <v>74</v>
      </c>
      <c r="BB631" t="s">
        <v>74</v>
      </c>
      <c r="BC631" t="s">
        <v>74</v>
      </c>
      <c r="BD631" t="s">
        <v>12647</v>
      </c>
      <c r="BE631" t="s">
        <v>12648</v>
      </c>
      <c r="BF631" t="str">
        <f>HYPERLINK("http://dx.doi.org/10.1029/2021JC017672","http://dx.doi.org/10.1029/2021JC017672")</f>
        <v>http://dx.doi.org/10.1029/2021JC017672</v>
      </c>
      <c r="BG631" t="s">
        <v>74</v>
      </c>
      <c r="BH631" t="s">
        <v>74</v>
      </c>
      <c r="BI631">
        <v>23</v>
      </c>
      <c r="BJ631" t="s">
        <v>208</v>
      </c>
      <c r="BK631" t="s">
        <v>101</v>
      </c>
      <c r="BL631" t="s">
        <v>208</v>
      </c>
      <c r="BM631" t="s">
        <v>12649</v>
      </c>
      <c r="BN631" t="s">
        <v>74</v>
      </c>
      <c r="BO631" t="s">
        <v>74</v>
      </c>
      <c r="BP631" t="s">
        <v>74</v>
      </c>
      <c r="BQ631" t="s">
        <v>74</v>
      </c>
      <c r="BR631" t="s">
        <v>103</v>
      </c>
      <c r="BS631" t="s">
        <v>12650</v>
      </c>
      <c r="BT631" t="str">
        <f>HYPERLINK("https%3A%2F%2Fwww.webofscience.com%2Fwos%2Fwoscc%2Ffull-record%2FWOS:000778115800001","View Full Record in Web of Science")</f>
        <v>View Full Record in Web of Science</v>
      </c>
    </row>
    <row r="632" spans="1:72" x14ac:dyDescent="0.15">
      <c r="A632" t="s">
        <v>72</v>
      </c>
      <c r="B632" t="s">
        <v>12651</v>
      </c>
      <c r="C632" t="s">
        <v>74</v>
      </c>
      <c r="D632" t="s">
        <v>74</v>
      </c>
      <c r="E632" t="s">
        <v>74</v>
      </c>
      <c r="F632" t="s">
        <v>12652</v>
      </c>
      <c r="G632" t="s">
        <v>74</v>
      </c>
      <c r="H632" t="s">
        <v>74</v>
      </c>
      <c r="I632" t="s">
        <v>12653</v>
      </c>
      <c r="J632" t="s">
        <v>2714</v>
      </c>
      <c r="K632" t="s">
        <v>74</v>
      </c>
      <c r="L632" t="s">
        <v>74</v>
      </c>
      <c r="M632" t="s">
        <v>78</v>
      </c>
      <c r="N632" t="s">
        <v>79</v>
      </c>
      <c r="O632" t="s">
        <v>74</v>
      </c>
      <c r="P632" t="s">
        <v>74</v>
      </c>
      <c r="Q632" t="s">
        <v>74</v>
      </c>
      <c r="R632" t="s">
        <v>74</v>
      </c>
      <c r="S632" t="s">
        <v>74</v>
      </c>
      <c r="T632" t="s">
        <v>12654</v>
      </c>
      <c r="U632" t="s">
        <v>12655</v>
      </c>
      <c r="V632" t="s">
        <v>12656</v>
      </c>
      <c r="W632" t="s">
        <v>12657</v>
      </c>
      <c r="X632" t="s">
        <v>12658</v>
      </c>
      <c r="Y632" t="s">
        <v>12659</v>
      </c>
      <c r="Z632" t="s">
        <v>12660</v>
      </c>
      <c r="AA632" t="s">
        <v>12661</v>
      </c>
      <c r="AB632" t="s">
        <v>12662</v>
      </c>
      <c r="AC632" t="s">
        <v>12663</v>
      </c>
      <c r="AD632" t="s">
        <v>12664</v>
      </c>
      <c r="AE632" t="s">
        <v>12665</v>
      </c>
      <c r="AF632" t="s">
        <v>74</v>
      </c>
      <c r="AG632">
        <v>74</v>
      </c>
      <c r="AH632">
        <v>5</v>
      </c>
      <c r="AI632">
        <v>6</v>
      </c>
      <c r="AJ632">
        <v>2</v>
      </c>
      <c r="AK632">
        <v>5</v>
      </c>
      <c r="AL632" t="s">
        <v>2572</v>
      </c>
      <c r="AM632" t="s">
        <v>2573</v>
      </c>
      <c r="AN632" t="s">
        <v>2574</v>
      </c>
      <c r="AO632" t="s">
        <v>2726</v>
      </c>
      <c r="AP632" t="s">
        <v>74</v>
      </c>
      <c r="AQ632" t="s">
        <v>74</v>
      </c>
      <c r="AR632" t="s">
        <v>2727</v>
      </c>
      <c r="AS632" t="s">
        <v>2728</v>
      </c>
      <c r="AT632" t="s">
        <v>11776</v>
      </c>
      <c r="AU632">
        <v>2022</v>
      </c>
      <c r="AV632">
        <v>17</v>
      </c>
      <c r="AW632">
        <v>4</v>
      </c>
      <c r="AX632" t="s">
        <v>74</v>
      </c>
      <c r="AY632" t="s">
        <v>74</v>
      </c>
      <c r="AZ632" t="s">
        <v>74</v>
      </c>
      <c r="BA632" t="s">
        <v>74</v>
      </c>
      <c r="BB632" t="s">
        <v>74</v>
      </c>
      <c r="BC632" t="s">
        <v>74</v>
      </c>
      <c r="BD632">
        <v>45026</v>
      </c>
      <c r="BE632" t="s">
        <v>12666</v>
      </c>
      <c r="BF632" t="str">
        <f>HYPERLINK("http://dx.doi.org/10.1088/1748-9326/ac5edd","http://dx.doi.org/10.1088/1748-9326/ac5edd")</f>
        <v>http://dx.doi.org/10.1088/1748-9326/ac5edd</v>
      </c>
      <c r="BG632" t="s">
        <v>74</v>
      </c>
      <c r="BH632" t="s">
        <v>74</v>
      </c>
      <c r="BI632">
        <v>11</v>
      </c>
      <c r="BJ632" t="s">
        <v>1797</v>
      </c>
      <c r="BK632" t="s">
        <v>101</v>
      </c>
      <c r="BL632" t="s">
        <v>957</v>
      </c>
      <c r="BM632" t="s">
        <v>12667</v>
      </c>
      <c r="BN632" t="s">
        <v>74</v>
      </c>
      <c r="BO632" t="s">
        <v>128</v>
      </c>
      <c r="BP632" t="s">
        <v>74</v>
      </c>
      <c r="BQ632" t="s">
        <v>74</v>
      </c>
      <c r="BR632" t="s">
        <v>103</v>
      </c>
      <c r="BS632" t="s">
        <v>12668</v>
      </c>
      <c r="BT632" t="str">
        <f>HYPERLINK("https%3A%2F%2Fwww.webofscience.com%2Fwos%2Fwoscc%2Ffull-record%2FWOS:000777829700001","View Full Record in Web of Science")</f>
        <v>View Full Record in Web of Science</v>
      </c>
    </row>
    <row r="633" spans="1:72" x14ac:dyDescent="0.15">
      <c r="A633" t="s">
        <v>72</v>
      </c>
      <c r="B633" t="s">
        <v>12669</v>
      </c>
      <c r="C633" t="s">
        <v>74</v>
      </c>
      <c r="D633" t="s">
        <v>74</v>
      </c>
      <c r="E633" t="s">
        <v>74</v>
      </c>
      <c r="F633" t="s">
        <v>12670</v>
      </c>
      <c r="G633" t="s">
        <v>74</v>
      </c>
      <c r="H633" t="s">
        <v>74</v>
      </c>
      <c r="I633" t="s">
        <v>12671</v>
      </c>
      <c r="J633" t="s">
        <v>2029</v>
      </c>
      <c r="K633" t="s">
        <v>74</v>
      </c>
      <c r="L633" t="s">
        <v>74</v>
      </c>
      <c r="M633" t="s">
        <v>78</v>
      </c>
      <c r="N633" t="s">
        <v>79</v>
      </c>
      <c r="O633" t="s">
        <v>74</v>
      </c>
      <c r="P633" t="s">
        <v>74</v>
      </c>
      <c r="Q633" t="s">
        <v>74</v>
      </c>
      <c r="R633" t="s">
        <v>74</v>
      </c>
      <c r="S633" t="s">
        <v>74</v>
      </c>
      <c r="T633" t="s">
        <v>12672</v>
      </c>
      <c r="U633" t="s">
        <v>12673</v>
      </c>
      <c r="V633" t="s">
        <v>12674</v>
      </c>
      <c r="W633" t="s">
        <v>12675</v>
      </c>
      <c r="X633" t="s">
        <v>12676</v>
      </c>
      <c r="Y633" t="s">
        <v>12677</v>
      </c>
      <c r="Z633" t="s">
        <v>12678</v>
      </c>
      <c r="AA633" t="s">
        <v>12679</v>
      </c>
      <c r="AB633" t="s">
        <v>12680</v>
      </c>
      <c r="AC633" t="s">
        <v>12681</v>
      </c>
      <c r="AD633" t="s">
        <v>12682</v>
      </c>
      <c r="AE633" t="s">
        <v>12683</v>
      </c>
      <c r="AF633" t="s">
        <v>74</v>
      </c>
      <c r="AG633">
        <v>109</v>
      </c>
      <c r="AH633">
        <v>1</v>
      </c>
      <c r="AI633">
        <v>1</v>
      </c>
      <c r="AJ633">
        <v>12</v>
      </c>
      <c r="AK633">
        <v>39</v>
      </c>
      <c r="AL633" t="s">
        <v>2042</v>
      </c>
      <c r="AM633" t="s">
        <v>2043</v>
      </c>
      <c r="AN633" t="s">
        <v>2044</v>
      </c>
      <c r="AO633" t="s">
        <v>2045</v>
      </c>
      <c r="AP633" t="s">
        <v>2046</v>
      </c>
      <c r="AQ633" t="s">
        <v>74</v>
      </c>
      <c r="AR633" t="s">
        <v>2047</v>
      </c>
      <c r="AS633" t="s">
        <v>2048</v>
      </c>
      <c r="AT633" t="s">
        <v>8316</v>
      </c>
      <c r="AU633">
        <v>2022</v>
      </c>
      <c r="AV633">
        <v>36</v>
      </c>
      <c r="AW633">
        <v>4</v>
      </c>
      <c r="AX633" t="s">
        <v>74</v>
      </c>
      <c r="AY633" t="s">
        <v>74</v>
      </c>
      <c r="AZ633" t="s">
        <v>74</v>
      </c>
      <c r="BA633" t="s">
        <v>74</v>
      </c>
      <c r="BB633" t="s">
        <v>74</v>
      </c>
      <c r="BC633" t="s">
        <v>74</v>
      </c>
      <c r="BD633" t="s">
        <v>12684</v>
      </c>
      <c r="BE633" t="s">
        <v>12685</v>
      </c>
      <c r="BF633" t="str">
        <f>HYPERLINK("http://dx.doi.org/10.1029/2021GB007121","http://dx.doi.org/10.1029/2021GB007121")</f>
        <v>http://dx.doi.org/10.1029/2021GB007121</v>
      </c>
      <c r="BG633" t="s">
        <v>74</v>
      </c>
      <c r="BH633" t="s">
        <v>74</v>
      </c>
      <c r="BI633">
        <v>19</v>
      </c>
      <c r="BJ633" t="s">
        <v>407</v>
      </c>
      <c r="BK633" t="s">
        <v>101</v>
      </c>
      <c r="BL633" t="s">
        <v>408</v>
      </c>
      <c r="BM633" t="s">
        <v>12686</v>
      </c>
      <c r="BN633" t="s">
        <v>74</v>
      </c>
      <c r="BO633" t="s">
        <v>590</v>
      </c>
      <c r="BP633" t="s">
        <v>74</v>
      </c>
      <c r="BQ633" t="s">
        <v>74</v>
      </c>
      <c r="BR633" t="s">
        <v>103</v>
      </c>
      <c r="BS633" t="s">
        <v>12687</v>
      </c>
      <c r="BT633" t="str">
        <f>HYPERLINK("https%3A%2F%2Fwww.webofscience.com%2Fwos%2Fwoscc%2Ffull-record%2FWOS:000777491400001","View Full Record in Web of Science")</f>
        <v>View Full Record in Web of Science</v>
      </c>
    </row>
    <row r="634" spans="1:72" x14ac:dyDescent="0.15">
      <c r="A634" t="s">
        <v>72</v>
      </c>
      <c r="B634" t="s">
        <v>12688</v>
      </c>
      <c r="C634" t="s">
        <v>74</v>
      </c>
      <c r="D634" t="s">
        <v>74</v>
      </c>
      <c r="E634" t="s">
        <v>74</v>
      </c>
      <c r="F634" t="s">
        <v>12689</v>
      </c>
      <c r="G634" t="s">
        <v>74</v>
      </c>
      <c r="H634" t="s">
        <v>74</v>
      </c>
      <c r="I634" t="s">
        <v>12690</v>
      </c>
      <c r="J634" t="s">
        <v>12691</v>
      </c>
      <c r="K634" t="s">
        <v>74</v>
      </c>
      <c r="L634" t="s">
        <v>74</v>
      </c>
      <c r="M634" t="s">
        <v>78</v>
      </c>
      <c r="N634" t="s">
        <v>79</v>
      </c>
      <c r="O634" t="s">
        <v>74</v>
      </c>
      <c r="P634" t="s">
        <v>74</v>
      </c>
      <c r="Q634" t="s">
        <v>74</v>
      </c>
      <c r="R634" t="s">
        <v>74</v>
      </c>
      <c r="S634" t="s">
        <v>74</v>
      </c>
      <c r="T634" t="s">
        <v>12692</v>
      </c>
      <c r="U634" t="s">
        <v>74</v>
      </c>
      <c r="V634" t="s">
        <v>12693</v>
      </c>
      <c r="W634" t="s">
        <v>12694</v>
      </c>
      <c r="X634" t="s">
        <v>74</v>
      </c>
      <c r="Y634" t="s">
        <v>12695</v>
      </c>
      <c r="Z634" t="s">
        <v>12696</v>
      </c>
      <c r="AA634" t="s">
        <v>12697</v>
      </c>
      <c r="AB634" t="s">
        <v>12698</v>
      </c>
      <c r="AC634" t="s">
        <v>74</v>
      </c>
      <c r="AD634" t="s">
        <v>74</v>
      </c>
      <c r="AE634" t="s">
        <v>74</v>
      </c>
      <c r="AF634" t="s">
        <v>74</v>
      </c>
      <c r="AG634">
        <v>21</v>
      </c>
      <c r="AH634">
        <v>0</v>
      </c>
      <c r="AI634">
        <v>0</v>
      </c>
      <c r="AJ634">
        <v>0</v>
      </c>
      <c r="AK634">
        <v>2</v>
      </c>
      <c r="AL634" t="s">
        <v>1689</v>
      </c>
      <c r="AM634" t="s">
        <v>531</v>
      </c>
      <c r="AN634" t="s">
        <v>1690</v>
      </c>
      <c r="AO634" t="s">
        <v>12699</v>
      </c>
      <c r="AP634" t="s">
        <v>12700</v>
      </c>
      <c r="AQ634" t="s">
        <v>74</v>
      </c>
      <c r="AR634" t="s">
        <v>12701</v>
      </c>
      <c r="AS634" t="s">
        <v>12702</v>
      </c>
      <c r="AT634" t="s">
        <v>8316</v>
      </c>
      <c r="AU634">
        <v>2022</v>
      </c>
      <c r="AV634">
        <v>58</v>
      </c>
      <c r="AW634">
        <v>2</v>
      </c>
      <c r="AX634" t="s">
        <v>74</v>
      </c>
      <c r="AY634" t="s">
        <v>74</v>
      </c>
      <c r="AZ634" t="s">
        <v>74</v>
      </c>
      <c r="BA634" t="s">
        <v>74</v>
      </c>
      <c r="BB634">
        <v>172</v>
      </c>
      <c r="BC634">
        <v>184</v>
      </c>
      <c r="BD634" t="s">
        <v>74</v>
      </c>
      <c r="BE634" t="s">
        <v>12703</v>
      </c>
      <c r="BF634" t="str">
        <f>HYPERLINK("http://dx.doi.org/10.1134/S1069351322020069","http://dx.doi.org/10.1134/S1069351322020069")</f>
        <v>http://dx.doi.org/10.1134/S1069351322020069</v>
      </c>
      <c r="BG634" t="s">
        <v>74</v>
      </c>
      <c r="BH634" t="s">
        <v>74</v>
      </c>
      <c r="BI634">
        <v>13</v>
      </c>
      <c r="BJ634" t="s">
        <v>2144</v>
      </c>
      <c r="BK634" t="s">
        <v>101</v>
      </c>
      <c r="BL634" t="s">
        <v>2144</v>
      </c>
      <c r="BM634" t="s">
        <v>12704</v>
      </c>
      <c r="BN634" t="s">
        <v>74</v>
      </c>
      <c r="BO634" t="s">
        <v>267</v>
      </c>
      <c r="BP634" t="s">
        <v>74</v>
      </c>
      <c r="BQ634" t="s">
        <v>74</v>
      </c>
      <c r="BR634" t="s">
        <v>103</v>
      </c>
      <c r="BS634" t="s">
        <v>12705</v>
      </c>
      <c r="BT634" t="str">
        <f>HYPERLINK("https%3A%2F%2Fwww.webofscience.com%2Fwos%2Fwoscc%2Ffull-record%2FWOS:000777408300002","View Full Record in Web of Science")</f>
        <v>View Full Record in Web of Science</v>
      </c>
    </row>
    <row r="635" spans="1:72" x14ac:dyDescent="0.15">
      <c r="A635" t="s">
        <v>72</v>
      </c>
      <c r="B635" t="s">
        <v>7405</v>
      </c>
      <c r="C635" t="s">
        <v>74</v>
      </c>
      <c r="D635" t="s">
        <v>74</v>
      </c>
      <c r="E635" t="s">
        <v>74</v>
      </c>
      <c r="F635" t="s">
        <v>7406</v>
      </c>
      <c r="G635" t="s">
        <v>74</v>
      </c>
      <c r="H635" t="s">
        <v>74</v>
      </c>
      <c r="I635" t="s">
        <v>12706</v>
      </c>
      <c r="J635" t="s">
        <v>12436</v>
      </c>
      <c r="K635" t="s">
        <v>74</v>
      </c>
      <c r="L635" t="s">
        <v>74</v>
      </c>
      <c r="M635" t="s">
        <v>78</v>
      </c>
      <c r="N635" t="s">
        <v>79</v>
      </c>
      <c r="O635" t="s">
        <v>74</v>
      </c>
      <c r="P635" t="s">
        <v>74</v>
      </c>
      <c r="Q635" t="s">
        <v>74</v>
      </c>
      <c r="R635" t="s">
        <v>74</v>
      </c>
      <c r="S635" t="s">
        <v>74</v>
      </c>
      <c r="T635" t="s">
        <v>12707</v>
      </c>
      <c r="U635" t="s">
        <v>12708</v>
      </c>
      <c r="V635" t="s">
        <v>12709</v>
      </c>
      <c r="W635" t="s">
        <v>12710</v>
      </c>
      <c r="X635" t="s">
        <v>7412</v>
      </c>
      <c r="Y635" t="s">
        <v>12711</v>
      </c>
      <c r="Z635" t="s">
        <v>7414</v>
      </c>
      <c r="AA635" t="s">
        <v>74</v>
      </c>
      <c r="AB635" t="s">
        <v>7415</v>
      </c>
      <c r="AC635" t="s">
        <v>74</v>
      </c>
      <c r="AD635" t="s">
        <v>74</v>
      </c>
      <c r="AE635" t="s">
        <v>74</v>
      </c>
      <c r="AF635" t="s">
        <v>74</v>
      </c>
      <c r="AG635">
        <v>37</v>
      </c>
      <c r="AH635">
        <v>4</v>
      </c>
      <c r="AI635">
        <v>4</v>
      </c>
      <c r="AJ635">
        <v>0</v>
      </c>
      <c r="AK635">
        <v>1</v>
      </c>
      <c r="AL635" t="s">
        <v>2042</v>
      </c>
      <c r="AM635" t="s">
        <v>2043</v>
      </c>
      <c r="AN635" t="s">
        <v>2044</v>
      </c>
      <c r="AO635" t="s">
        <v>74</v>
      </c>
      <c r="AP635" t="s">
        <v>12449</v>
      </c>
      <c r="AQ635" t="s">
        <v>74</v>
      </c>
      <c r="AR635" t="s">
        <v>12450</v>
      </c>
      <c r="AS635" t="s">
        <v>12451</v>
      </c>
      <c r="AT635" t="s">
        <v>8316</v>
      </c>
      <c r="AU635">
        <v>2022</v>
      </c>
      <c r="AV635">
        <v>20</v>
      </c>
      <c r="AW635">
        <v>4</v>
      </c>
      <c r="AX635" t="s">
        <v>74</v>
      </c>
      <c r="AY635" t="s">
        <v>74</v>
      </c>
      <c r="AZ635" t="s">
        <v>74</v>
      </c>
      <c r="BA635" t="s">
        <v>74</v>
      </c>
      <c r="BB635" t="s">
        <v>74</v>
      </c>
      <c r="BC635" t="s">
        <v>74</v>
      </c>
      <c r="BD635" t="s">
        <v>12712</v>
      </c>
      <c r="BE635" t="s">
        <v>12713</v>
      </c>
      <c r="BF635" t="str">
        <f>HYPERLINK("http://dx.doi.org/10.1029/2021SW002941","http://dx.doi.org/10.1029/2021SW002941")</f>
        <v>http://dx.doi.org/10.1029/2021SW002941</v>
      </c>
      <c r="BG635" t="s">
        <v>74</v>
      </c>
      <c r="BH635" t="s">
        <v>74</v>
      </c>
      <c r="BI635">
        <v>18</v>
      </c>
      <c r="BJ635" t="s">
        <v>932</v>
      </c>
      <c r="BK635" t="s">
        <v>101</v>
      </c>
      <c r="BL635" t="s">
        <v>932</v>
      </c>
      <c r="BM635" t="s">
        <v>12714</v>
      </c>
      <c r="BN635" t="s">
        <v>74</v>
      </c>
      <c r="BO635" t="s">
        <v>986</v>
      </c>
      <c r="BP635" t="s">
        <v>74</v>
      </c>
      <c r="BQ635" t="s">
        <v>74</v>
      </c>
      <c r="BR635" t="s">
        <v>103</v>
      </c>
      <c r="BS635" t="s">
        <v>12715</v>
      </c>
      <c r="BT635" t="str">
        <f>HYPERLINK("https%3A%2F%2Fwww.webofscience.com%2Fwos%2Fwoscc%2Ffull-record%2FWOS:000777576000001","View Full Record in Web of Science")</f>
        <v>View Full Record in Web of Science</v>
      </c>
    </row>
    <row r="636" spans="1:72" x14ac:dyDescent="0.15">
      <c r="A636" t="s">
        <v>72</v>
      </c>
      <c r="B636" t="s">
        <v>12716</v>
      </c>
      <c r="C636" t="s">
        <v>74</v>
      </c>
      <c r="D636" t="s">
        <v>74</v>
      </c>
      <c r="E636" t="s">
        <v>74</v>
      </c>
      <c r="F636" t="s">
        <v>12717</v>
      </c>
      <c r="G636" t="s">
        <v>74</v>
      </c>
      <c r="H636" t="s">
        <v>74</v>
      </c>
      <c r="I636" t="s">
        <v>12718</v>
      </c>
      <c r="J636" t="s">
        <v>12719</v>
      </c>
      <c r="K636" t="s">
        <v>74</v>
      </c>
      <c r="L636" t="s">
        <v>74</v>
      </c>
      <c r="M636" t="s">
        <v>78</v>
      </c>
      <c r="N636" t="s">
        <v>79</v>
      </c>
      <c r="O636" t="s">
        <v>74</v>
      </c>
      <c r="P636" t="s">
        <v>74</v>
      </c>
      <c r="Q636" t="s">
        <v>74</v>
      </c>
      <c r="R636" t="s">
        <v>74</v>
      </c>
      <c r="S636" t="s">
        <v>74</v>
      </c>
      <c r="T636" t="s">
        <v>12720</v>
      </c>
      <c r="U636" t="s">
        <v>12721</v>
      </c>
      <c r="V636" t="s">
        <v>12722</v>
      </c>
      <c r="W636" t="s">
        <v>12723</v>
      </c>
      <c r="X636" t="s">
        <v>12724</v>
      </c>
      <c r="Y636" t="s">
        <v>12725</v>
      </c>
      <c r="Z636" t="s">
        <v>12726</v>
      </c>
      <c r="AA636" t="s">
        <v>12727</v>
      </c>
      <c r="AB636" t="s">
        <v>12728</v>
      </c>
      <c r="AC636" t="s">
        <v>12729</v>
      </c>
      <c r="AD636" t="s">
        <v>12730</v>
      </c>
      <c r="AE636" t="s">
        <v>12731</v>
      </c>
      <c r="AF636" t="s">
        <v>74</v>
      </c>
      <c r="AG636">
        <v>90</v>
      </c>
      <c r="AH636">
        <v>2</v>
      </c>
      <c r="AI636">
        <v>2</v>
      </c>
      <c r="AJ636">
        <v>3</v>
      </c>
      <c r="AK636">
        <v>18</v>
      </c>
      <c r="AL636" t="s">
        <v>91</v>
      </c>
      <c r="AM636" t="s">
        <v>92</v>
      </c>
      <c r="AN636" t="s">
        <v>93</v>
      </c>
      <c r="AO636" t="s">
        <v>12732</v>
      </c>
      <c r="AP636" t="s">
        <v>12733</v>
      </c>
      <c r="AQ636" t="s">
        <v>74</v>
      </c>
      <c r="AR636" t="s">
        <v>12734</v>
      </c>
      <c r="AS636" t="s">
        <v>12735</v>
      </c>
      <c r="AT636" t="s">
        <v>537</v>
      </c>
      <c r="AU636">
        <v>2022</v>
      </c>
      <c r="AV636">
        <v>28</v>
      </c>
      <c r="AW636">
        <v>6</v>
      </c>
      <c r="AX636" t="s">
        <v>74</v>
      </c>
      <c r="AY636" t="s">
        <v>74</v>
      </c>
      <c r="AZ636" t="s">
        <v>74</v>
      </c>
      <c r="BA636" t="s">
        <v>74</v>
      </c>
      <c r="BB636">
        <v>1154</v>
      </c>
      <c r="BC636">
        <v>1170</v>
      </c>
      <c r="BD636" t="s">
        <v>74</v>
      </c>
      <c r="BE636" t="s">
        <v>12736</v>
      </c>
      <c r="BF636" t="str">
        <f>HYPERLINK("http://dx.doi.org/10.1111/ddi.13484","http://dx.doi.org/10.1111/ddi.13484")</f>
        <v>http://dx.doi.org/10.1111/ddi.13484</v>
      </c>
      <c r="BG636" t="s">
        <v>74</v>
      </c>
      <c r="BH636" t="s">
        <v>7987</v>
      </c>
      <c r="BI636">
        <v>17</v>
      </c>
      <c r="BJ636" t="s">
        <v>539</v>
      </c>
      <c r="BK636" t="s">
        <v>101</v>
      </c>
      <c r="BL636" t="s">
        <v>540</v>
      </c>
      <c r="BM636" t="s">
        <v>12737</v>
      </c>
      <c r="BN636" t="s">
        <v>74</v>
      </c>
      <c r="BO636" t="s">
        <v>590</v>
      </c>
      <c r="BP636" t="s">
        <v>74</v>
      </c>
      <c r="BQ636" t="s">
        <v>74</v>
      </c>
      <c r="BR636" t="s">
        <v>103</v>
      </c>
      <c r="BS636" t="s">
        <v>12738</v>
      </c>
      <c r="BT636" t="str">
        <f>HYPERLINK("https%3A%2F%2Fwww.webofscience.com%2Fwos%2Fwoscc%2Ffull-record%2FWOS:000777052900001","View Full Record in Web of Science")</f>
        <v>View Full Record in Web of Science</v>
      </c>
    </row>
    <row r="637" spans="1:72" x14ac:dyDescent="0.15">
      <c r="A637" t="s">
        <v>72</v>
      </c>
      <c r="B637" t="s">
        <v>12739</v>
      </c>
      <c r="C637" t="s">
        <v>74</v>
      </c>
      <c r="D637" t="s">
        <v>74</v>
      </c>
      <c r="E637" t="s">
        <v>74</v>
      </c>
      <c r="F637" t="s">
        <v>12740</v>
      </c>
      <c r="G637" t="s">
        <v>74</v>
      </c>
      <c r="H637" t="s">
        <v>74</v>
      </c>
      <c r="I637" t="s">
        <v>12741</v>
      </c>
      <c r="J637" t="s">
        <v>12742</v>
      </c>
      <c r="K637" t="s">
        <v>74</v>
      </c>
      <c r="L637" t="s">
        <v>74</v>
      </c>
      <c r="M637" t="s">
        <v>78</v>
      </c>
      <c r="N637" t="s">
        <v>79</v>
      </c>
      <c r="O637" t="s">
        <v>74</v>
      </c>
      <c r="P637" t="s">
        <v>74</v>
      </c>
      <c r="Q637" t="s">
        <v>74</v>
      </c>
      <c r="R637" t="s">
        <v>74</v>
      </c>
      <c r="S637" t="s">
        <v>74</v>
      </c>
      <c r="T637" t="s">
        <v>12743</v>
      </c>
      <c r="U637" t="s">
        <v>12744</v>
      </c>
      <c r="V637" t="s">
        <v>12745</v>
      </c>
      <c r="W637" t="s">
        <v>12746</v>
      </c>
      <c r="X637" t="s">
        <v>12747</v>
      </c>
      <c r="Y637" t="s">
        <v>12748</v>
      </c>
      <c r="Z637" t="s">
        <v>12749</v>
      </c>
      <c r="AA637" t="s">
        <v>12750</v>
      </c>
      <c r="AB637" t="s">
        <v>12751</v>
      </c>
      <c r="AC637" t="s">
        <v>12752</v>
      </c>
      <c r="AD637" t="s">
        <v>12753</v>
      </c>
      <c r="AE637" t="s">
        <v>12754</v>
      </c>
      <c r="AF637" t="s">
        <v>74</v>
      </c>
      <c r="AG637">
        <v>125</v>
      </c>
      <c r="AH637">
        <v>3</v>
      </c>
      <c r="AI637">
        <v>4</v>
      </c>
      <c r="AJ637">
        <v>1</v>
      </c>
      <c r="AK637">
        <v>8</v>
      </c>
      <c r="AL637" t="s">
        <v>2042</v>
      </c>
      <c r="AM637" t="s">
        <v>2043</v>
      </c>
      <c r="AN637" t="s">
        <v>2044</v>
      </c>
      <c r="AO637" t="s">
        <v>12755</v>
      </c>
      <c r="AP637" t="s">
        <v>12756</v>
      </c>
      <c r="AQ637" t="s">
        <v>74</v>
      </c>
      <c r="AR637" t="s">
        <v>12757</v>
      </c>
      <c r="AS637" t="s">
        <v>12758</v>
      </c>
      <c r="AT637" t="s">
        <v>8316</v>
      </c>
      <c r="AU637">
        <v>2022</v>
      </c>
      <c r="AV637">
        <v>127</v>
      </c>
      <c r="AW637">
        <v>4</v>
      </c>
      <c r="AX637" t="s">
        <v>74</v>
      </c>
      <c r="AY637" t="s">
        <v>74</v>
      </c>
      <c r="AZ637" t="s">
        <v>74</v>
      </c>
      <c r="BA637" t="s">
        <v>74</v>
      </c>
      <c r="BB637" t="s">
        <v>74</v>
      </c>
      <c r="BC637" t="s">
        <v>74</v>
      </c>
      <c r="BD637" t="s">
        <v>12759</v>
      </c>
      <c r="BE637" t="s">
        <v>12760</v>
      </c>
      <c r="BF637" t="str">
        <f>HYPERLINK("http://dx.doi.org/10.1029/2021JB023325","http://dx.doi.org/10.1029/2021JB023325")</f>
        <v>http://dx.doi.org/10.1029/2021JB023325</v>
      </c>
      <c r="BG637" t="s">
        <v>74</v>
      </c>
      <c r="BH637" t="s">
        <v>74</v>
      </c>
      <c r="BI637">
        <v>22</v>
      </c>
      <c r="BJ637" t="s">
        <v>2144</v>
      </c>
      <c r="BK637" t="s">
        <v>101</v>
      </c>
      <c r="BL637" t="s">
        <v>2144</v>
      </c>
      <c r="BM637" t="s">
        <v>12761</v>
      </c>
      <c r="BN637" t="s">
        <v>74</v>
      </c>
      <c r="BO637" t="s">
        <v>74</v>
      </c>
      <c r="BP637" t="s">
        <v>74</v>
      </c>
      <c r="BQ637" t="s">
        <v>74</v>
      </c>
      <c r="BR637" t="s">
        <v>103</v>
      </c>
      <c r="BS637" t="s">
        <v>12762</v>
      </c>
      <c r="BT637" t="str">
        <f>HYPERLINK("https%3A%2F%2Fwww.webofscience.com%2Fwos%2Fwoscc%2Ffull-record%2FWOS:000776573500001","View Full Record in Web of Science")</f>
        <v>View Full Record in Web of Science</v>
      </c>
    </row>
    <row r="638" spans="1:72" x14ac:dyDescent="0.15">
      <c r="A638" t="s">
        <v>72</v>
      </c>
      <c r="B638" t="s">
        <v>12763</v>
      </c>
      <c r="C638" t="s">
        <v>74</v>
      </c>
      <c r="D638" t="s">
        <v>74</v>
      </c>
      <c r="E638" t="s">
        <v>74</v>
      </c>
      <c r="F638" t="s">
        <v>12764</v>
      </c>
      <c r="G638" t="s">
        <v>74</v>
      </c>
      <c r="H638" t="s">
        <v>74</v>
      </c>
      <c r="I638" t="s">
        <v>12765</v>
      </c>
      <c r="J638" t="s">
        <v>12766</v>
      </c>
      <c r="K638" t="s">
        <v>74</v>
      </c>
      <c r="L638" t="s">
        <v>74</v>
      </c>
      <c r="M638" t="s">
        <v>78</v>
      </c>
      <c r="N638" t="s">
        <v>79</v>
      </c>
      <c r="O638" t="s">
        <v>74</v>
      </c>
      <c r="P638" t="s">
        <v>74</v>
      </c>
      <c r="Q638" t="s">
        <v>74</v>
      </c>
      <c r="R638" t="s">
        <v>74</v>
      </c>
      <c r="S638" t="s">
        <v>74</v>
      </c>
      <c r="T638" t="s">
        <v>74</v>
      </c>
      <c r="U638" t="s">
        <v>74</v>
      </c>
      <c r="V638" t="s">
        <v>12767</v>
      </c>
      <c r="W638" t="s">
        <v>12768</v>
      </c>
      <c r="X638" t="s">
        <v>12769</v>
      </c>
      <c r="Y638" t="s">
        <v>12770</v>
      </c>
      <c r="Z638" t="s">
        <v>12771</v>
      </c>
      <c r="AA638" t="s">
        <v>74</v>
      </c>
      <c r="AB638" t="s">
        <v>74</v>
      </c>
      <c r="AC638" t="s">
        <v>12772</v>
      </c>
      <c r="AD638" t="s">
        <v>12773</v>
      </c>
      <c r="AE638" t="s">
        <v>12774</v>
      </c>
      <c r="AF638" t="s">
        <v>74</v>
      </c>
      <c r="AG638">
        <v>20</v>
      </c>
      <c r="AH638">
        <v>0</v>
      </c>
      <c r="AI638">
        <v>0</v>
      </c>
      <c r="AJ638">
        <v>0</v>
      </c>
      <c r="AK638">
        <v>4</v>
      </c>
      <c r="AL638" t="s">
        <v>12775</v>
      </c>
      <c r="AM638" t="s">
        <v>174</v>
      </c>
      <c r="AN638" t="s">
        <v>12776</v>
      </c>
      <c r="AO638" t="s">
        <v>12777</v>
      </c>
      <c r="AP638" t="s">
        <v>12778</v>
      </c>
      <c r="AQ638" t="s">
        <v>74</v>
      </c>
      <c r="AR638" t="s">
        <v>12766</v>
      </c>
      <c r="AS638" t="s">
        <v>12779</v>
      </c>
      <c r="AT638" t="s">
        <v>11776</v>
      </c>
      <c r="AU638">
        <v>2022</v>
      </c>
      <c r="AV638">
        <v>55</v>
      </c>
      <c r="AW638">
        <v>2</v>
      </c>
      <c r="AX638" t="s">
        <v>74</v>
      </c>
      <c r="AY638" t="s">
        <v>74</v>
      </c>
      <c r="AZ638" t="s">
        <v>74</v>
      </c>
      <c r="BA638" t="s">
        <v>74</v>
      </c>
      <c r="BB638">
        <v>125</v>
      </c>
      <c r="BC638">
        <v>129</v>
      </c>
      <c r="BD638" t="s">
        <v>74</v>
      </c>
      <c r="BE638" t="s">
        <v>12780</v>
      </c>
      <c r="BF638" t="str">
        <f>HYPERLINK("http://dx.doi.org/10.1162/leon_a_02136","http://dx.doi.org/10.1162/leon_a_02136")</f>
        <v>http://dx.doi.org/10.1162/leon_a_02136</v>
      </c>
      <c r="BG638" t="s">
        <v>74</v>
      </c>
      <c r="BH638" t="s">
        <v>74</v>
      </c>
      <c r="BI638">
        <v>5</v>
      </c>
      <c r="BJ638" t="s">
        <v>12781</v>
      </c>
      <c r="BK638" t="s">
        <v>12782</v>
      </c>
      <c r="BL638" t="s">
        <v>12781</v>
      </c>
      <c r="BM638" t="s">
        <v>12783</v>
      </c>
      <c r="BN638" t="s">
        <v>74</v>
      </c>
      <c r="BO638" t="s">
        <v>74</v>
      </c>
      <c r="BP638" t="s">
        <v>74</v>
      </c>
      <c r="BQ638" t="s">
        <v>74</v>
      </c>
      <c r="BR638" t="s">
        <v>103</v>
      </c>
      <c r="BS638" t="s">
        <v>12784</v>
      </c>
      <c r="BT638" t="str">
        <f>HYPERLINK("https%3A%2F%2Fwww.webofscience.com%2Fwos%2Fwoscc%2Ffull-record%2FWOS:000777062600003","View Full Record in Web of Science")</f>
        <v>View Full Record in Web of Science</v>
      </c>
    </row>
    <row r="639" spans="1:72" x14ac:dyDescent="0.15">
      <c r="A639" t="s">
        <v>72</v>
      </c>
      <c r="B639" t="s">
        <v>12785</v>
      </c>
      <c r="C639" t="s">
        <v>74</v>
      </c>
      <c r="D639" t="s">
        <v>74</v>
      </c>
      <c r="E639" t="s">
        <v>74</v>
      </c>
      <c r="F639" t="s">
        <v>12786</v>
      </c>
      <c r="G639" t="s">
        <v>74</v>
      </c>
      <c r="H639" t="s">
        <v>74</v>
      </c>
      <c r="I639" t="s">
        <v>12787</v>
      </c>
      <c r="J639" t="s">
        <v>4878</v>
      </c>
      <c r="K639" t="s">
        <v>74</v>
      </c>
      <c r="L639" t="s">
        <v>74</v>
      </c>
      <c r="M639" t="s">
        <v>78</v>
      </c>
      <c r="N639" t="s">
        <v>79</v>
      </c>
      <c r="O639" t="s">
        <v>74</v>
      </c>
      <c r="P639" t="s">
        <v>74</v>
      </c>
      <c r="Q639" t="s">
        <v>74</v>
      </c>
      <c r="R639" t="s">
        <v>74</v>
      </c>
      <c r="S639" t="s">
        <v>74</v>
      </c>
      <c r="T639" t="s">
        <v>12788</v>
      </c>
      <c r="U639" t="s">
        <v>74</v>
      </c>
      <c r="V639" t="s">
        <v>12789</v>
      </c>
      <c r="W639" t="s">
        <v>12790</v>
      </c>
      <c r="X639" t="s">
        <v>12791</v>
      </c>
      <c r="Y639" t="s">
        <v>12792</v>
      </c>
      <c r="Z639" t="s">
        <v>12793</v>
      </c>
      <c r="AA639" t="s">
        <v>74</v>
      </c>
      <c r="AB639" t="s">
        <v>12794</v>
      </c>
      <c r="AC639" t="s">
        <v>74</v>
      </c>
      <c r="AD639" t="s">
        <v>74</v>
      </c>
      <c r="AE639" t="s">
        <v>74</v>
      </c>
      <c r="AF639" t="s">
        <v>74</v>
      </c>
      <c r="AG639">
        <v>33</v>
      </c>
      <c r="AH639">
        <v>1</v>
      </c>
      <c r="AI639">
        <v>1</v>
      </c>
      <c r="AJ639">
        <v>0</v>
      </c>
      <c r="AK639">
        <v>4</v>
      </c>
      <c r="AL639" t="s">
        <v>91</v>
      </c>
      <c r="AM639" t="s">
        <v>92</v>
      </c>
      <c r="AN639" t="s">
        <v>93</v>
      </c>
      <c r="AO639" t="s">
        <v>4889</v>
      </c>
      <c r="AP639" t="s">
        <v>4890</v>
      </c>
      <c r="AQ639" t="s">
        <v>74</v>
      </c>
      <c r="AR639" t="s">
        <v>4891</v>
      </c>
      <c r="AS639" t="s">
        <v>4892</v>
      </c>
      <c r="AT639" t="s">
        <v>484</v>
      </c>
      <c r="AU639">
        <v>2022</v>
      </c>
      <c r="AV639">
        <v>38</v>
      </c>
      <c r="AW639">
        <v>4</v>
      </c>
      <c r="AX639" t="s">
        <v>74</v>
      </c>
      <c r="AY639" t="s">
        <v>74</v>
      </c>
      <c r="AZ639" t="s">
        <v>74</v>
      </c>
      <c r="BA639" t="s">
        <v>74</v>
      </c>
      <c r="BB639">
        <v>1398</v>
      </c>
      <c r="BC639">
        <v>1408</v>
      </c>
      <c r="BD639" t="s">
        <v>74</v>
      </c>
      <c r="BE639" t="s">
        <v>12795</v>
      </c>
      <c r="BF639" t="str">
        <f>HYPERLINK("http://dx.doi.org/10.1111/mms.12929","http://dx.doi.org/10.1111/mms.12929")</f>
        <v>http://dx.doi.org/10.1111/mms.12929</v>
      </c>
      <c r="BG639" t="s">
        <v>74</v>
      </c>
      <c r="BH639" t="s">
        <v>7987</v>
      </c>
      <c r="BI639">
        <v>11</v>
      </c>
      <c r="BJ639" t="s">
        <v>4894</v>
      </c>
      <c r="BK639" t="s">
        <v>101</v>
      </c>
      <c r="BL639" t="s">
        <v>4894</v>
      </c>
      <c r="BM639" t="s">
        <v>4895</v>
      </c>
      <c r="BN639" t="s">
        <v>74</v>
      </c>
      <c r="BO639" t="s">
        <v>74</v>
      </c>
      <c r="BP639" t="s">
        <v>74</v>
      </c>
      <c r="BQ639" t="s">
        <v>74</v>
      </c>
      <c r="BR639" t="s">
        <v>103</v>
      </c>
      <c r="BS639" t="s">
        <v>12796</v>
      </c>
      <c r="BT639" t="str">
        <f>HYPERLINK("https%3A%2F%2Fwww.webofscience.com%2Fwos%2Fwoscc%2Ffull-record%2FWOS:000778612400001","View Full Record in Web of Science")</f>
        <v>View Full Record in Web of Science</v>
      </c>
    </row>
    <row r="640" spans="1:72" x14ac:dyDescent="0.15">
      <c r="A640" t="s">
        <v>72</v>
      </c>
      <c r="B640" t="s">
        <v>12797</v>
      </c>
      <c r="C640" t="s">
        <v>74</v>
      </c>
      <c r="D640" t="s">
        <v>74</v>
      </c>
      <c r="E640" t="s">
        <v>74</v>
      </c>
      <c r="F640" t="s">
        <v>12798</v>
      </c>
      <c r="G640" t="s">
        <v>74</v>
      </c>
      <c r="H640" t="s">
        <v>74</v>
      </c>
      <c r="I640" t="s">
        <v>12799</v>
      </c>
      <c r="J640" t="s">
        <v>2714</v>
      </c>
      <c r="K640" t="s">
        <v>74</v>
      </c>
      <c r="L640" t="s">
        <v>74</v>
      </c>
      <c r="M640" t="s">
        <v>78</v>
      </c>
      <c r="N640" t="s">
        <v>79</v>
      </c>
      <c r="O640" t="s">
        <v>74</v>
      </c>
      <c r="P640" t="s">
        <v>74</v>
      </c>
      <c r="Q640" t="s">
        <v>74</v>
      </c>
      <c r="R640" t="s">
        <v>74</v>
      </c>
      <c r="S640" t="s">
        <v>74</v>
      </c>
      <c r="T640" t="s">
        <v>12800</v>
      </c>
      <c r="U640" t="s">
        <v>12801</v>
      </c>
      <c r="V640" t="s">
        <v>12802</v>
      </c>
      <c r="W640" t="s">
        <v>12803</v>
      </c>
      <c r="X640" t="s">
        <v>12804</v>
      </c>
      <c r="Y640" t="s">
        <v>12805</v>
      </c>
      <c r="Z640" t="s">
        <v>12806</v>
      </c>
      <c r="AA640" t="s">
        <v>12807</v>
      </c>
      <c r="AB640" t="s">
        <v>12808</v>
      </c>
      <c r="AC640" t="s">
        <v>12809</v>
      </c>
      <c r="AD640" t="s">
        <v>12810</v>
      </c>
      <c r="AE640" t="s">
        <v>12811</v>
      </c>
      <c r="AF640" t="s">
        <v>74</v>
      </c>
      <c r="AG640">
        <v>63</v>
      </c>
      <c r="AH640">
        <v>3</v>
      </c>
      <c r="AI640">
        <v>3</v>
      </c>
      <c r="AJ640">
        <v>0</v>
      </c>
      <c r="AK640">
        <v>3</v>
      </c>
      <c r="AL640" t="s">
        <v>2572</v>
      </c>
      <c r="AM640" t="s">
        <v>2573</v>
      </c>
      <c r="AN640" t="s">
        <v>2574</v>
      </c>
      <c r="AO640" t="s">
        <v>2726</v>
      </c>
      <c r="AP640" t="s">
        <v>74</v>
      </c>
      <c r="AQ640" t="s">
        <v>74</v>
      </c>
      <c r="AR640" t="s">
        <v>2727</v>
      </c>
      <c r="AS640" t="s">
        <v>2728</v>
      </c>
      <c r="AT640" t="s">
        <v>11776</v>
      </c>
      <c r="AU640">
        <v>2022</v>
      </c>
      <c r="AV640">
        <v>17</v>
      </c>
      <c r="AW640">
        <v>4</v>
      </c>
      <c r="AX640" t="s">
        <v>74</v>
      </c>
      <c r="AY640" t="s">
        <v>74</v>
      </c>
      <c r="AZ640" t="s">
        <v>74</v>
      </c>
      <c r="BA640" t="s">
        <v>74</v>
      </c>
      <c r="BB640" t="s">
        <v>74</v>
      </c>
      <c r="BC640" t="s">
        <v>74</v>
      </c>
      <c r="BD640">
        <v>44053</v>
      </c>
      <c r="BE640" t="s">
        <v>12812</v>
      </c>
      <c r="BF640" t="str">
        <f>HYPERLINK("http://dx.doi.org/10.1088/1748-9326/ac5272","http://dx.doi.org/10.1088/1748-9326/ac5272")</f>
        <v>http://dx.doi.org/10.1088/1748-9326/ac5272</v>
      </c>
      <c r="BG640" t="s">
        <v>74</v>
      </c>
      <c r="BH640" t="s">
        <v>74</v>
      </c>
      <c r="BI640">
        <v>10</v>
      </c>
      <c r="BJ640" t="s">
        <v>1797</v>
      </c>
      <c r="BK640" t="s">
        <v>101</v>
      </c>
      <c r="BL640" t="s">
        <v>957</v>
      </c>
      <c r="BM640" t="s">
        <v>12813</v>
      </c>
      <c r="BN640" t="s">
        <v>74</v>
      </c>
      <c r="BO640" t="s">
        <v>295</v>
      </c>
      <c r="BP640" t="s">
        <v>74</v>
      </c>
      <c r="BQ640" t="s">
        <v>74</v>
      </c>
      <c r="BR640" t="s">
        <v>103</v>
      </c>
      <c r="BS640" t="s">
        <v>12814</v>
      </c>
      <c r="BT640" t="str">
        <f>HYPERLINK("https%3A%2F%2Fwww.webofscience.com%2Fwos%2Fwoscc%2Ffull-record%2FWOS:000776380300001","View Full Record in Web of Science")</f>
        <v>View Full Record in Web of Science</v>
      </c>
    </row>
    <row r="641" spans="1:72" x14ac:dyDescent="0.15">
      <c r="A641" t="s">
        <v>72</v>
      </c>
      <c r="B641" t="s">
        <v>12815</v>
      </c>
      <c r="C641" t="s">
        <v>74</v>
      </c>
      <c r="D641" t="s">
        <v>74</v>
      </c>
      <c r="E641" t="s">
        <v>74</v>
      </c>
      <c r="F641" t="s">
        <v>12816</v>
      </c>
      <c r="G641" t="s">
        <v>74</v>
      </c>
      <c r="H641" t="s">
        <v>74</v>
      </c>
      <c r="I641" t="s">
        <v>12817</v>
      </c>
      <c r="J641" t="s">
        <v>7212</v>
      </c>
      <c r="K641" t="s">
        <v>74</v>
      </c>
      <c r="L641" t="s">
        <v>74</v>
      </c>
      <c r="M641" t="s">
        <v>78</v>
      </c>
      <c r="N641" t="s">
        <v>79</v>
      </c>
      <c r="O641" t="s">
        <v>74</v>
      </c>
      <c r="P641" t="s">
        <v>74</v>
      </c>
      <c r="Q641" t="s">
        <v>74</v>
      </c>
      <c r="R641" t="s">
        <v>74</v>
      </c>
      <c r="S641" t="s">
        <v>74</v>
      </c>
      <c r="T641" t="s">
        <v>12818</v>
      </c>
      <c r="U641" t="s">
        <v>12819</v>
      </c>
      <c r="V641" t="s">
        <v>12820</v>
      </c>
      <c r="W641" t="s">
        <v>12821</v>
      </c>
      <c r="X641" t="s">
        <v>9219</v>
      </c>
      <c r="Y641" t="s">
        <v>12822</v>
      </c>
      <c r="Z641" t="s">
        <v>12823</v>
      </c>
      <c r="AA641" t="s">
        <v>12824</v>
      </c>
      <c r="AB641" t="s">
        <v>12825</v>
      </c>
      <c r="AC641" t="s">
        <v>12826</v>
      </c>
      <c r="AD641" t="s">
        <v>12827</v>
      </c>
      <c r="AE641" t="s">
        <v>12828</v>
      </c>
      <c r="AF641" t="s">
        <v>74</v>
      </c>
      <c r="AG641">
        <v>98</v>
      </c>
      <c r="AH641">
        <v>3</v>
      </c>
      <c r="AI641">
        <v>5</v>
      </c>
      <c r="AJ641">
        <v>1</v>
      </c>
      <c r="AK641">
        <v>12</v>
      </c>
      <c r="AL641" t="s">
        <v>91</v>
      </c>
      <c r="AM641" t="s">
        <v>92</v>
      </c>
      <c r="AN641" t="s">
        <v>93</v>
      </c>
      <c r="AO641" t="s">
        <v>7223</v>
      </c>
      <c r="AP641" t="s">
        <v>74</v>
      </c>
      <c r="AQ641" t="s">
        <v>74</v>
      </c>
      <c r="AR641" t="s">
        <v>7224</v>
      </c>
      <c r="AS641" t="s">
        <v>7225</v>
      </c>
      <c r="AT641" t="s">
        <v>8316</v>
      </c>
      <c r="AU641">
        <v>2022</v>
      </c>
      <c r="AV641">
        <v>12</v>
      </c>
      <c r="AW641">
        <v>4</v>
      </c>
      <c r="AX641" t="s">
        <v>74</v>
      </c>
      <c r="AY641" t="s">
        <v>74</v>
      </c>
      <c r="AZ641" t="s">
        <v>74</v>
      </c>
      <c r="BA641" t="s">
        <v>74</v>
      </c>
      <c r="BB641" t="s">
        <v>74</v>
      </c>
      <c r="BC641" t="s">
        <v>74</v>
      </c>
      <c r="BD641" t="s">
        <v>12829</v>
      </c>
      <c r="BE641" t="s">
        <v>12830</v>
      </c>
      <c r="BF641" t="str">
        <f>HYPERLINK("http://dx.doi.org/10.1002/ece3.8789","http://dx.doi.org/10.1002/ece3.8789")</f>
        <v>http://dx.doi.org/10.1002/ece3.8789</v>
      </c>
      <c r="BG641" t="s">
        <v>74</v>
      </c>
      <c r="BH641" t="s">
        <v>74</v>
      </c>
      <c r="BI641">
        <v>23</v>
      </c>
      <c r="BJ641" t="s">
        <v>5150</v>
      </c>
      <c r="BK641" t="s">
        <v>101</v>
      </c>
      <c r="BL641" t="s">
        <v>5151</v>
      </c>
      <c r="BM641" t="s">
        <v>12831</v>
      </c>
      <c r="BN641">
        <v>35414896</v>
      </c>
      <c r="BO641" t="s">
        <v>7272</v>
      </c>
      <c r="BP641" t="s">
        <v>74</v>
      </c>
      <c r="BQ641" t="s">
        <v>74</v>
      </c>
      <c r="BR641" t="s">
        <v>103</v>
      </c>
      <c r="BS641" t="s">
        <v>12832</v>
      </c>
      <c r="BT641" t="str">
        <f>HYPERLINK("https%3A%2F%2Fwww.webofscience.com%2Fwos%2Fwoscc%2Ffull-record%2FWOS:000778839100001","View Full Record in Web of Science")</f>
        <v>View Full Record in Web of Science</v>
      </c>
    </row>
    <row r="642" spans="1:72" x14ac:dyDescent="0.15">
      <c r="A642" t="s">
        <v>72</v>
      </c>
      <c r="B642" t="s">
        <v>12833</v>
      </c>
      <c r="C642" t="s">
        <v>74</v>
      </c>
      <c r="D642" t="s">
        <v>74</v>
      </c>
      <c r="E642" t="s">
        <v>74</v>
      </c>
      <c r="F642" t="s">
        <v>12834</v>
      </c>
      <c r="G642" t="s">
        <v>74</v>
      </c>
      <c r="H642" t="s">
        <v>74</v>
      </c>
      <c r="I642" t="s">
        <v>12835</v>
      </c>
      <c r="J642" t="s">
        <v>5640</v>
      </c>
      <c r="K642" t="s">
        <v>74</v>
      </c>
      <c r="L642" t="s">
        <v>74</v>
      </c>
      <c r="M642" t="s">
        <v>78</v>
      </c>
      <c r="N642" t="s">
        <v>79</v>
      </c>
      <c r="O642" t="s">
        <v>74</v>
      </c>
      <c r="P642" t="s">
        <v>74</v>
      </c>
      <c r="Q642" t="s">
        <v>74</v>
      </c>
      <c r="R642" t="s">
        <v>74</v>
      </c>
      <c r="S642" t="s">
        <v>74</v>
      </c>
      <c r="T642" t="s">
        <v>74</v>
      </c>
      <c r="U642" t="s">
        <v>12836</v>
      </c>
      <c r="V642" t="s">
        <v>12837</v>
      </c>
      <c r="W642" t="s">
        <v>12838</v>
      </c>
      <c r="X642" t="s">
        <v>12839</v>
      </c>
      <c r="Y642" t="s">
        <v>12840</v>
      </c>
      <c r="Z642" t="s">
        <v>12841</v>
      </c>
      <c r="AA642" t="s">
        <v>12842</v>
      </c>
      <c r="AB642" t="s">
        <v>12843</v>
      </c>
      <c r="AC642" t="s">
        <v>12844</v>
      </c>
      <c r="AD642" t="s">
        <v>12845</v>
      </c>
      <c r="AE642" t="s">
        <v>12846</v>
      </c>
      <c r="AF642" t="s">
        <v>74</v>
      </c>
      <c r="AG642">
        <v>39</v>
      </c>
      <c r="AH642">
        <v>6</v>
      </c>
      <c r="AI642">
        <v>6</v>
      </c>
      <c r="AJ642">
        <v>1</v>
      </c>
      <c r="AK642">
        <v>8</v>
      </c>
      <c r="AL642" t="s">
        <v>5652</v>
      </c>
      <c r="AM642" t="s">
        <v>5653</v>
      </c>
      <c r="AN642" t="s">
        <v>5654</v>
      </c>
      <c r="AO642" t="s">
        <v>5655</v>
      </c>
      <c r="AP642" t="s">
        <v>5656</v>
      </c>
      <c r="AQ642" t="s">
        <v>74</v>
      </c>
      <c r="AR642" t="s">
        <v>5640</v>
      </c>
      <c r="AS642" t="s">
        <v>100</v>
      </c>
      <c r="AT642" t="s">
        <v>11776</v>
      </c>
      <c r="AU642">
        <v>2022</v>
      </c>
      <c r="AV642">
        <v>50</v>
      </c>
      <c r="AW642">
        <v>4</v>
      </c>
      <c r="AX642" t="s">
        <v>74</v>
      </c>
      <c r="AY642" t="s">
        <v>74</v>
      </c>
      <c r="AZ642" t="s">
        <v>74</v>
      </c>
      <c r="BA642" t="s">
        <v>74</v>
      </c>
      <c r="BB642">
        <v>465</v>
      </c>
      <c r="BC642">
        <v>469</v>
      </c>
      <c r="BD642" t="s">
        <v>74</v>
      </c>
      <c r="BE642" t="s">
        <v>12847</v>
      </c>
      <c r="BF642" t="str">
        <f>HYPERLINK("http://dx.doi.org/10.1130/G49544.1","http://dx.doi.org/10.1130/G49544.1")</f>
        <v>http://dx.doi.org/10.1130/G49544.1</v>
      </c>
      <c r="BG642" t="s">
        <v>74</v>
      </c>
      <c r="BH642" t="s">
        <v>74</v>
      </c>
      <c r="BI642">
        <v>5</v>
      </c>
      <c r="BJ642" t="s">
        <v>100</v>
      </c>
      <c r="BK642" t="s">
        <v>101</v>
      </c>
      <c r="BL642" t="s">
        <v>100</v>
      </c>
      <c r="BM642" t="s">
        <v>12848</v>
      </c>
      <c r="BN642" t="s">
        <v>74</v>
      </c>
      <c r="BO642" t="s">
        <v>986</v>
      </c>
      <c r="BP642" t="s">
        <v>74</v>
      </c>
      <c r="BQ642" t="s">
        <v>74</v>
      </c>
      <c r="BR642" t="s">
        <v>103</v>
      </c>
      <c r="BS642" t="s">
        <v>12849</v>
      </c>
      <c r="BT642" t="str">
        <f>HYPERLINK("https%3A%2F%2Fwww.webofscience.com%2Fwos%2Fwoscc%2Ffull-record%2FWOS:000775048900016","View Full Record in Web of Science")</f>
        <v>View Full Record in Web of Science</v>
      </c>
    </row>
    <row r="643" spans="1:72" x14ac:dyDescent="0.15">
      <c r="A643" t="s">
        <v>72</v>
      </c>
      <c r="B643" t="s">
        <v>12850</v>
      </c>
      <c r="C643" t="s">
        <v>74</v>
      </c>
      <c r="D643" t="s">
        <v>74</v>
      </c>
      <c r="E643" t="s">
        <v>74</v>
      </c>
      <c r="F643" t="s">
        <v>12851</v>
      </c>
      <c r="G643" t="s">
        <v>74</v>
      </c>
      <c r="H643" t="s">
        <v>74</v>
      </c>
      <c r="I643" t="s">
        <v>12852</v>
      </c>
      <c r="J643" t="s">
        <v>2565</v>
      </c>
      <c r="K643" t="s">
        <v>74</v>
      </c>
      <c r="L643" t="s">
        <v>74</v>
      </c>
      <c r="M643" t="s">
        <v>78</v>
      </c>
      <c r="N643" t="s">
        <v>79</v>
      </c>
      <c r="O643" t="s">
        <v>74</v>
      </c>
      <c r="P643" t="s">
        <v>74</v>
      </c>
      <c r="Q643" t="s">
        <v>74</v>
      </c>
      <c r="R643" t="s">
        <v>74</v>
      </c>
      <c r="S643" t="s">
        <v>74</v>
      </c>
      <c r="T643" t="s">
        <v>74</v>
      </c>
      <c r="U643" t="s">
        <v>12853</v>
      </c>
      <c r="V643" t="s">
        <v>12854</v>
      </c>
      <c r="W643" t="s">
        <v>12855</v>
      </c>
      <c r="X643" t="s">
        <v>12856</v>
      </c>
      <c r="Y643" t="s">
        <v>12857</v>
      </c>
      <c r="Z643" t="s">
        <v>12858</v>
      </c>
      <c r="AA643" t="s">
        <v>12859</v>
      </c>
      <c r="AB643" t="s">
        <v>12860</v>
      </c>
      <c r="AC643" t="s">
        <v>12861</v>
      </c>
      <c r="AD643" t="s">
        <v>12862</v>
      </c>
      <c r="AE643" t="s">
        <v>12863</v>
      </c>
      <c r="AF643" t="s">
        <v>74</v>
      </c>
      <c r="AG643">
        <v>28</v>
      </c>
      <c r="AH643">
        <v>2</v>
      </c>
      <c r="AI643">
        <v>3</v>
      </c>
      <c r="AJ643">
        <v>0</v>
      </c>
      <c r="AK643">
        <v>1</v>
      </c>
      <c r="AL643" t="s">
        <v>2572</v>
      </c>
      <c r="AM643" t="s">
        <v>2573</v>
      </c>
      <c r="AN643" t="s">
        <v>2574</v>
      </c>
      <c r="AO643" t="s">
        <v>2575</v>
      </c>
      <c r="AP643" t="s">
        <v>2576</v>
      </c>
      <c r="AQ643" t="s">
        <v>74</v>
      </c>
      <c r="AR643" t="s">
        <v>2577</v>
      </c>
      <c r="AS643" t="s">
        <v>2578</v>
      </c>
      <c r="AT643" t="s">
        <v>11776</v>
      </c>
      <c r="AU643">
        <v>2022</v>
      </c>
      <c r="AV643">
        <v>928</v>
      </c>
      <c r="AW643">
        <v>2</v>
      </c>
      <c r="AX643" t="s">
        <v>74</v>
      </c>
      <c r="AY643" t="s">
        <v>74</v>
      </c>
      <c r="AZ643" t="s">
        <v>74</v>
      </c>
      <c r="BA643" t="s">
        <v>74</v>
      </c>
      <c r="BB643" t="s">
        <v>74</v>
      </c>
      <c r="BC643" t="s">
        <v>74</v>
      </c>
      <c r="BD643">
        <v>109</v>
      </c>
      <c r="BE643" t="s">
        <v>12864</v>
      </c>
      <c r="BF643" t="str">
        <f>HYPERLINK("http://dx.doi.org/10.3847/1538-4357/ac562f","http://dx.doi.org/10.3847/1538-4357/ac562f")</f>
        <v>http://dx.doi.org/10.3847/1538-4357/ac562f</v>
      </c>
      <c r="BG643" t="s">
        <v>74</v>
      </c>
      <c r="BH643" t="s">
        <v>74</v>
      </c>
      <c r="BI643">
        <v>11</v>
      </c>
      <c r="BJ643" t="s">
        <v>2275</v>
      </c>
      <c r="BK643" t="s">
        <v>101</v>
      </c>
      <c r="BL643" t="s">
        <v>2275</v>
      </c>
      <c r="BM643" t="s">
        <v>12865</v>
      </c>
      <c r="BN643" t="s">
        <v>74</v>
      </c>
      <c r="BO643" t="s">
        <v>12866</v>
      </c>
      <c r="BP643" t="s">
        <v>74</v>
      </c>
      <c r="BQ643" t="s">
        <v>74</v>
      </c>
      <c r="BR643" t="s">
        <v>103</v>
      </c>
      <c r="BS643" t="s">
        <v>12867</v>
      </c>
      <c r="BT643" t="str">
        <f>HYPERLINK("https%3A%2F%2Fwww.webofscience.com%2Fwos%2Fwoscc%2Ffull-record%2FWOS:000775518100001","View Full Record in Web of Science")</f>
        <v>View Full Record in Web of Science</v>
      </c>
    </row>
    <row r="644" spans="1:72" x14ac:dyDescent="0.15">
      <c r="A644" t="s">
        <v>72</v>
      </c>
      <c r="B644" t="s">
        <v>12868</v>
      </c>
      <c r="C644" t="s">
        <v>74</v>
      </c>
      <c r="D644" t="s">
        <v>74</v>
      </c>
      <c r="E644" t="s">
        <v>74</v>
      </c>
      <c r="F644" t="s">
        <v>12869</v>
      </c>
      <c r="G644" t="s">
        <v>74</v>
      </c>
      <c r="H644" t="s">
        <v>74</v>
      </c>
      <c r="I644" t="s">
        <v>12870</v>
      </c>
      <c r="J644" t="s">
        <v>2714</v>
      </c>
      <c r="K644" t="s">
        <v>74</v>
      </c>
      <c r="L644" t="s">
        <v>74</v>
      </c>
      <c r="M644" t="s">
        <v>78</v>
      </c>
      <c r="N644" t="s">
        <v>79</v>
      </c>
      <c r="O644" t="s">
        <v>74</v>
      </c>
      <c r="P644" t="s">
        <v>74</v>
      </c>
      <c r="Q644" t="s">
        <v>74</v>
      </c>
      <c r="R644" t="s">
        <v>74</v>
      </c>
      <c r="S644" t="s">
        <v>74</v>
      </c>
      <c r="T644" t="s">
        <v>12871</v>
      </c>
      <c r="U644" t="s">
        <v>12872</v>
      </c>
      <c r="V644" t="s">
        <v>12873</v>
      </c>
      <c r="W644" t="s">
        <v>12874</v>
      </c>
      <c r="X644" t="s">
        <v>12875</v>
      </c>
      <c r="Y644" t="s">
        <v>12876</v>
      </c>
      <c r="Z644" t="s">
        <v>12877</v>
      </c>
      <c r="AA644" t="s">
        <v>12878</v>
      </c>
      <c r="AB644" t="s">
        <v>12879</v>
      </c>
      <c r="AC644" t="s">
        <v>12880</v>
      </c>
      <c r="AD644" t="s">
        <v>12881</v>
      </c>
      <c r="AE644" t="s">
        <v>12882</v>
      </c>
      <c r="AF644" t="s">
        <v>74</v>
      </c>
      <c r="AG644">
        <v>67</v>
      </c>
      <c r="AH644">
        <v>3</v>
      </c>
      <c r="AI644">
        <v>4</v>
      </c>
      <c r="AJ644">
        <v>2</v>
      </c>
      <c r="AK644">
        <v>62</v>
      </c>
      <c r="AL644" t="s">
        <v>2572</v>
      </c>
      <c r="AM644" t="s">
        <v>2573</v>
      </c>
      <c r="AN644" t="s">
        <v>2574</v>
      </c>
      <c r="AO644" t="s">
        <v>2726</v>
      </c>
      <c r="AP644" t="s">
        <v>74</v>
      </c>
      <c r="AQ644" t="s">
        <v>74</v>
      </c>
      <c r="AR644" t="s">
        <v>2727</v>
      </c>
      <c r="AS644" t="s">
        <v>2728</v>
      </c>
      <c r="AT644" t="s">
        <v>11776</v>
      </c>
      <c r="AU644">
        <v>2022</v>
      </c>
      <c r="AV644">
        <v>17</v>
      </c>
      <c r="AW644">
        <v>4</v>
      </c>
      <c r="AX644" t="s">
        <v>74</v>
      </c>
      <c r="AY644" t="s">
        <v>74</v>
      </c>
      <c r="AZ644" t="s">
        <v>74</v>
      </c>
      <c r="BA644" t="s">
        <v>74</v>
      </c>
      <c r="BB644" t="s">
        <v>74</v>
      </c>
      <c r="BC644" t="s">
        <v>74</v>
      </c>
      <c r="BD644">
        <v>44042</v>
      </c>
      <c r="BE644" t="s">
        <v>12883</v>
      </c>
      <c r="BF644" t="str">
        <f>HYPERLINK("http://dx.doi.org/10.1088/1748-9326/ac5df0","http://dx.doi.org/10.1088/1748-9326/ac5df0")</f>
        <v>http://dx.doi.org/10.1088/1748-9326/ac5df0</v>
      </c>
      <c r="BG644" t="s">
        <v>74</v>
      </c>
      <c r="BH644" t="s">
        <v>74</v>
      </c>
      <c r="BI644">
        <v>10</v>
      </c>
      <c r="BJ644" t="s">
        <v>1797</v>
      </c>
      <c r="BK644" t="s">
        <v>101</v>
      </c>
      <c r="BL644" t="s">
        <v>957</v>
      </c>
      <c r="BM644" t="s">
        <v>12884</v>
      </c>
      <c r="BN644" t="s">
        <v>74</v>
      </c>
      <c r="BO644" t="s">
        <v>295</v>
      </c>
      <c r="BP644" t="s">
        <v>74</v>
      </c>
      <c r="BQ644" t="s">
        <v>74</v>
      </c>
      <c r="BR644" t="s">
        <v>103</v>
      </c>
      <c r="BS644" t="s">
        <v>12885</v>
      </c>
      <c r="BT644" t="str">
        <f>HYPERLINK("https%3A%2F%2Fwww.webofscience.com%2Fwos%2Fwoscc%2Ffull-record%2FWOS:000772645600001","View Full Record in Web of Science")</f>
        <v>View Full Record in Web of Science</v>
      </c>
    </row>
    <row r="645" spans="1:72" x14ac:dyDescent="0.15">
      <c r="A645" t="s">
        <v>72</v>
      </c>
      <c r="B645" t="s">
        <v>12886</v>
      </c>
      <c r="C645" t="s">
        <v>74</v>
      </c>
      <c r="D645" t="s">
        <v>74</v>
      </c>
      <c r="E645" t="s">
        <v>74</v>
      </c>
      <c r="F645" t="s">
        <v>12887</v>
      </c>
      <c r="G645" t="s">
        <v>74</v>
      </c>
      <c r="H645" t="s">
        <v>74</v>
      </c>
      <c r="I645" t="s">
        <v>12888</v>
      </c>
      <c r="J645" t="s">
        <v>12889</v>
      </c>
      <c r="K645" t="s">
        <v>74</v>
      </c>
      <c r="L645" t="s">
        <v>74</v>
      </c>
      <c r="M645" t="s">
        <v>12890</v>
      </c>
      <c r="N645" t="s">
        <v>79</v>
      </c>
      <c r="O645" t="s">
        <v>74</v>
      </c>
      <c r="P645" t="s">
        <v>74</v>
      </c>
      <c r="Q645" t="s">
        <v>74</v>
      </c>
      <c r="R645" t="s">
        <v>74</v>
      </c>
      <c r="S645" t="s">
        <v>74</v>
      </c>
      <c r="T645" t="s">
        <v>12891</v>
      </c>
      <c r="U645" t="s">
        <v>74</v>
      </c>
      <c r="V645" t="s">
        <v>12892</v>
      </c>
      <c r="W645" t="s">
        <v>12893</v>
      </c>
      <c r="X645" t="s">
        <v>12894</v>
      </c>
      <c r="Y645" t="s">
        <v>12895</v>
      </c>
      <c r="Z645" t="s">
        <v>12896</v>
      </c>
      <c r="AA645" t="s">
        <v>74</v>
      </c>
      <c r="AB645" t="s">
        <v>74</v>
      </c>
      <c r="AC645" t="s">
        <v>74</v>
      </c>
      <c r="AD645" t="s">
        <v>74</v>
      </c>
      <c r="AE645" t="s">
        <v>74</v>
      </c>
      <c r="AF645" t="s">
        <v>74</v>
      </c>
      <c r="AG645">
        <v>0</v>
      </c>
      <c r="AH645">
        <v>1</v>
      </c>
      <c r="AI645">
        <v>1</v>
      </c>
      <c r="AJ645">
        <v>0</v>
      </c>
      <c r="AK645">
        <v>0</v>
      </c>
      <c r="AL645" t="s">
        <v>12897</v>
      </c>
      <c r="AM645" t="s">
        <v>12898</v>
      </c>
      <c r="AN645" t="s">
        <v>12899</v>
      </c>
      <c r="AO645" t="s">
        <v>12900</v>
      </c>
      <c r="AP645" t="s">
        <v>12901</v>
      </c>
      <c r="AQ645" t="s">
        <v>74</v>
      </c>
      <c r="AR645" t="s">
        <v>12902</v>
      </c>
      <c r="AS645" t="s">
        <v>12903</v>
      </c>
      <c r="AT645" t="s">
        <v>12904</v>
      </c>
      <c r="AU645">
        <v>2022</v>
      </c>
      <c r="AV645">
        <v>133</v>
      </c>
      <c r="AW645">
        <v>2</v>
      </c>
      <c r="AX645" t="s">
        <v>74</v>
      </c>
      <c r="AY645" t="s">
        <v>74</v>
      </c>
      <c r="AZ645" t="s">
        <v>74</v>
      </c>
      <c r="BA645" t="s">
        <v>74</v>
      </c>
      <c r="BB645">
        <v>95</v>
      </c>
      <c r="BC645">
        <v>121</v>
      </c>
      <c r="BD645" t="s">
        <v>74</v>
      </c>
      <c r="BE645" t="s">
        <v>12905</v>
      </c>
      <c r="BF645" t="str">
        <f>HYPERLINK("http://dx.doi.org/10.21701/bolgeomin/133.2/004","http://dx.doi.org/10.21701/bolgeomin/133.2/004")</f>
        <v>http://dx.doi.org/10.21701/bolgeomin/133.2/004</v>
      </c>
      <c r="BG645" t="s">
        <v>74</v>
      </c>
      <c r="BH645" t="s">
        <v>74</v>
      </c>
      <c r="BI645">
        <v>27</v>
      </c>
      <c r="BJ645" t="s">
        <v>100</v>
      </c>
      <c r="BK645" t="s">
        <v>839</v>
      </c>
      <c r="BL645" t="s">
        <v>100</v>
      </c>
      <c r="BM645" t="s">
        <v>12906</v>
      </c>
      <c r="BN645" t="s">
        <v>74</v>
      </c>
      <c r="BO645" t="s">
        <v>438</v>
      </c>
      <c r="BP645" t="s">
        <v>74</v>
      </c>
      <c r="BQ645" t="s">
        <v>74</v>
      </c>
      <c r="BR645" t="s">
        <v>103</v>
      </c>
      <c r="BS645" t="s">
        <v>12907</v>
      </c>
      <c r="BT645" t="str">
        <f>HYPERLINK("https%3A%2F%2Fwww.webofscience.com%2Fwos%2Fwoscc%2Ffull-record%2FWOS:000985333600004","View Full Record in Web of Science")</f>
        <v>View Full Record in Web of Science</v>
      </c>
    </row>
    <row r="646" spans="1:72" x14ac:dyDescent="0.15">
      <c r="A646" t="s">
        <v>72</v>
      </c>
      <c r="B646" t="s">
        <v>12908</v>
      </c>
      <c r="C646" t="s">
        <v>74</v>
      </c>
      <c r="D646" t="s">
        <v>74</v>
      </c>
      <c r="E646" t="s">
        <v>74</v>
      </c>
      <c r="F646" t="s">
        <v>12909</v>
      </c>
      <c r="G646" t="s">
        <v>74</v>
      </c>
      <c r="H646" t="s">
        <v>74</v>
      </c>
      <c r="I646" t="s">
        <v>12910</v>
      </c>
      <c r="J646" t="s">
        <v>12911</v>
      </c>
      <c r="K646" t="s">
        <v>74</v>
      </c>
      <c r="L646" t="s">
        <v>74</v>
      </c>
      <c r="M646" t="s">
        <v>78</v>
      </c>
      <c r="N646" t="s">
        <v>79</v>
      </c>
      <c r="O646" t="s">
        <v>74</v>
      </c>
      <c r="P646" t="s">
        <v>74</v>
      </c>
      <c r="Q646" t="s">
        <v>74</v>
      </c>
      <c r="R646" t="s">
        <v>74</v>
      </c>
      <c r="S646" t="s">
        <v>74</v>
      </c>
      <c r="T646" t="s">
        <v>12912</v>
      </c>
      <c r="U646" t="s">
        <v>12913</v>
      </c>
      <c r="V646" t="s">
        <v>12914</v>
      </c>
      <c r="W646" t="s">
        <v>12915</v>
      </c>
      <c r="X646" t="s">
        <v>12916</v>
      </c>
      <c r="Y646" t="s">
        <v>12917</v>
      </c>
      <c r="Z646" t="s">
        <v>12918</v>
      </c>
      <c r="AA646" t="s">
        <v>12919</v>
      </c>
      <c r="AB646" t="s">
        <v>12920</v>
      </c>
      <c r="AC646" t="s">
        <v>12921</v>
      </c>
      <c r="AD646" t="s">
        <v>12922</v>
      </c>
      <c r="AE646" t="s">
        <v>12923</v>
      </c>
      <c r="AF646" t="s">
        <v>74</v>
      </c>
      <c r="AG646">
        <v>66</v>
      </c>
      <c r="AH646">
        <v>0</v>
      </c>
      <c r="AI646">
        <v>0</v>
      </c>
      <c r="AJ646">
        <v>1</v>
      </c>
      <c r="AK646">
        <v>4</v>
      </c>
      <c r="AL646" t="s">
        <v>12924</v>
      </c>
      <c r="AM646" t="s">
        <v>401</v>
      </c>
      <c r="AN646" t="s">
        <v>12925</v>
      </c>
      <c r="AO646" t="s">
        <v>12926</v>
      </c>
      <c r="AP646" t="s">
        <v>12927</v>
      </c>
      <c r="AQ646" t="s">
        <v>74</v>
      </c>
      <c r="AR646" t="s">
        <v>12928</v>
      </c>
      <c r="AS646" t="s">
        <v>12929</v>
      </c>
      <c r="AT646" t="s">
        <v>8316</v>
      </c>
      <c r="AU646">
        <v>2022</v>
      </c>
      <c r="AV646">
        <v>168</v>
      </c>
      <c r="AW646">
        <v>4</v>
      </c>
      <c r="AX646" t="s">
        <v>74</v>
      </c>
      <c r="AY646" t="s">
        <v>74</v>
      </c>
      <c r="AZ646" t="s">
        <v>74</v>
      </c>
      <c r="BA646" t="s">
        <v>74</v>
      </c>
      <c r="BB646" t="s">
        <v>74</v>
      </c>
      <c r="BC646" t="s">
        <v>74</v>
      </c>
      <c r="BD646">
        <v>1176</v>
      </c>
      <c r="BE646" t="s">
        <v>12930</v>
      </c>
      <c r="BF646" t="str">
        <f>HYPERLINK("http://dx.doi.org/10.1099/mic.0.001176","http://dx.doi.org/10.1099/mic.0.001176")</f>
        <v>http://dx.doi.org/10.1099/mic.0.001176</v>
      </c>
      <c r="BG646" t="s">
        <v>74</v>
      </c>
      <c r="BH646" t="s">
        <v>74</v>
      </c>
      <c r="BI646">
        <v>11</v>
      </c>
      <c r="BJ646" t="s">
        <v>293</v>
      </c>
      <c r="BK646" t="s">
        <v>101</v>
      </c>
      <c r="BL646" t="s">
        <v>293</v>
      </c>
      <c r="BM646" t="s">
        <v>12931</v>
      </c>
      <c r="BN646">
        <v>35416764</v>
      </c>
      <c r="BO646" t="s">
        <v>12932</v>
      </c>
      <c r="BP646" t="s">
        <v>74</v>
      </c>
      <c r="BQ646" t="s">
        <v>74</v>
      </c>
      <c r="BR646" t="s">
        <v>103</v>
      </c>
      <c r="BS646" t="s">
        <v>12933</v>
      </c>
      <c r="BT646" t="str">
        <f>HYPERLINK("https%3A%2F%2Fwww.webofscience.com%2Fwos%2Fwoscc%2Ffull-record%2FWOS:001043673100007","View Full Record in Web of Science")</f>
        <v>View Full Record in Web of Science</v>
      </c>
    </row>
    <row r="647" spans="1:72" x14ac:dyDescent="0.15">
      <c r="A647" t="s">
        <v>72</v>
      </c>
      <c r="B647" t="s">
        <v>12934</v>
      </c>
      <c r="C647" t="s">
        <v>74</v>
      </c>
      <c r="D647" t="s">
        <v>74</v>
      </c>
      <c r="E647" t="s">
        <v>74</v>
      </c>
      <c r="F647" t="s">
        <v>12935</v>
      </c>
      <c r="G647" t="s">
        <v>74</v>
      </c>
      <c r="H647" t="s">
        <v>74</v>
      </c>
      <c r="I647" t="s">
        <v>12936</v>
      </c>
      <c r="J647" t="s">
        <v>12937</v>
      </c>
      <c r="K647" t="s">
        <v>74</v>
      </c>
      <c r="L647" t="s">
        <v>74</v>
      </c>
      <c r="M647" t="s">
        <v>78</v>
      </c>
      <c r="N647" t="s">
        <v>79</v>
      </c>
      <c r="O647" t="s">
        <v>74</v>
      </c>
      <c r="P647" t="s">
        <v>74</v>
      </c>
      <c r="Q647" t="s">
        <v>74</v>
      </c>
      <c r="R647" t="s">
        <v>74</v>
      </c>
      <c r="S647" t="s">
        <v>74</v>
      </c>
      <c r="T647" t="s">
        <v>12938</v>
      </c>
      <c r="U647" t="s">
        <v>12939</v>
      </c>
      <c r="V647" t="s">
        <v>12940</v>
      </c>
      <c r="W647" t="s">
        <v>12941</v>
      </c>
      <c r="X647" t="s">
        <v>12942</v>
      </c>
      <c r="Y647" t="s">
        <v>12943</v>
      </c>
      <c r="Z647" t="s">
        <v>12944</v>
      </c>
      <c r="AA647" t="s">
        <v>74</v>
      </c>
      <c r="AB647" t="s">
        <v>12945</v>
      </c>
      <c r="AC647" t="s">
        <v>12946</v>
      </c>
      <c r="AD647" t="s">
        <v>12947</v>
      </c>
      <c r="AE647" t="s">
        <v>12948</v>
      </c>
      <c r="AF647" t="s">
        <v>74</v>
      </c>
      <c r="AG647">
        <v>117</v>
      </c>
      <c r="AH647">
        <v>9</v>
      </c>
      <c r="AI647">
        <v>9</v>
      </c>
      <c r="AJ647">
        <v>3</v>
      </c>
      <c r="AK647">
        <v>17</v>
      </c>
      <c r="AL647" t="s">
        <v>12949</v>
      </c>
      <c r="AM647" t="s">
        <v>12950</v>
      </c>
      <c r="AN647" t="s">
        <v>12951</v>
      </c>
      <c r="AO647" t="s">
        <v>12952</v>
      </c>
      <c r="AP647" t="s">
        <v>12953</v>
      </c>
      <c r="AQ647" t="s">
        <v>74</v>
      </c>
      <c r="AR647" t="s">
        <v>12937</v>
      </c>
      <c r="AS647" t="s">
        <v>12954</v>
      </c>
      <c r="AT647" t="s">
        <v>8316</v>
      </c>
      <c r="AU647">
        <v>2022</v>
      </c>
      <c r="AV647">
        <v>26</v>
      </c>
      <c r="AW647">
        <v>1</v>
      </c>
      <c r="AX647" t="s">
        <v>74</v>
      </c>
      <c r="AY647" t="s">
        <v>74</v>
      </c>
      <c r="AZ647" t="s">
        <v>74</v>
      </c>
      <c r="BA647" t="s">
        <v>74</v>
      </c>
      <c r="BB647" t="s">
        <v>74</v>
      </c>
      <c r="BC647" t="s">
        <v>74</v>
      </c>
      <c r="BD647">
        <v>15</v>
      </c>
      <c r="BE647" t="s">
        <v>12955</v>
      </c>
      <c r="BF647" t="str">
        <f>HYPERLINK("http://dx.doi.org/10.1007/s00792-022-01262-3","http://dx.doi.org/10.1007/s00792-022-01262-3")</f>
        <v>http://dx.doi.org/10.1007/s00792-022-01262-3</v>
      </c>
      <c r="BG647" t="s">
        <v>74</v>
      </c>
      <c r="BH647" t="s">
        <v>74</v>
      </c>
      <c r="BI647">
        <v>14</v>
      </c>
      <c r="BJ647" t="s">
        <v>12956</v>
      </c>
      <c r="BK647" t="s">
        <v>101</v>
      </c>
      <c r="BL647" t="s">
        <v>12956</v>
      </c>
      <c r="BM647" t="s">
        <v>12957</v>
      </c>
      <c r="BN647">
        <v>35296937</v>
      </c>
      <c r="BO647" t="s">
        <v>74</v>
      </c>
      <c r="BP647" t="s">
        <v>74</v>
      </c>
      <c r="BQ647" t="s">
        <v>74</v>
      </c>
      <c r="BR647" t="s">
        <v>103</v>
      </c>
      <c r="BS647" t="s">
        <v>12958</v>
      </c>
      <c r="BT647" t="str">
        <f>HYPERLINK("https%3A%2F%2Fwww.webofscience.com%2Fwos%2Fwoscc%2Ffull-record%2FWOS:000769941000001","View Full Record in Web of Science")</f>
        <v>View Full Record in Web of Science</v>
      </c>
    </row>
    <row r="648" spans="1:72" x14ac:dyDescent="0.15">
      <c r="A648" t="s">
        <v>72</v>
      </c>
      <c r="B648" t="s">
        <v>12959</v>
      </c>
      <c r="C648" t="s">
        <v>74</v>
      </c>
      <c r="D648" t="s">
        <v>74</v>
      </c>
      <c r="E648" t="s">
        <v>74</v>
      </c>
      <c r="F648" t="s">
        <v>12960</v>
      </c>
      <c r="G648" t="s">
        <v>74</v>
      </c>
      <c r="H648" t="s">
        <v>74</v>
      </c>
      <c r="I648" t="s">
        <v>12961</v>
      </c>
      <c r="J648" t="s">
        <v>2714</v>
      </c>
      <c r="K648" t="s">
        <v>74</v>
      </c>
      <c r="L648" t="s">
        <v>74</v>
      </c>
      <c r="M648" t="s">
        <v>78</v>
      </c>
      <c r="N648" t="s">
        <v>79</v>
      </c>
      <c r="O648" t="s">
        <v>74</v>
      </c>
      <c r="P648" t="s">
        <v>74</v>
      </c>
      <c r="Q648" t="s">
        <v>74</v>
      </c>
      <c r="R648" t="s">
        <v>74</v>
      </c>
      <c r="S648" t="s">
        <v>74</v>
      </c>
      <c r="T648" t="s">
        <v>12962</v>
      </c>
      <c r="U648" t="s">
        <v>12963</v>
      </c>
      <c r="V648" t="s">
        <v>12964</v>
      </c>
      <c r="W648" t="s">
        <v>12965</v>
      </c>
      <c r="X648" t="s">
        <v>12966</v>
      </c>
      <c r="Y648" t="s">
        <v>7709</v>
      </c>
      <c r="Z648" t="s">
        <v>12967</v>
      </c>
      <c r="AA648" t="s">
        <v>12968</v>
      </c>
      <c r="AB648" t="s">
        <v>12969</v>
      </c>
      <c r="AC648" t="s">
        <v>12970</v>
      </c>
      <c r="AD648" t="s">
        <v>12971</v>
      </c>
      <c r="AE648" t="s">
        <v>12972</v>
      </c>
      <c r="AF648" t="s">
        <v>74</v>
      </c>
      <c r="AG648">
        <v>50</v>
      </c>
      <c r="AH648">
        <v>3</v>
      </c>
      <c r="AI648">
        <v>3</v>
      </c>
      <c r="AJ648">
        <v>5</v>
      </c>
      <c r="AK648">
        <v>15</v>
      </c>
      <c r="AL648" t="s">
        <v>2572</v>
      </c>
      <c r="AM648" t="s">
        <v>2573</v>
      </c>
      <c r="AN648" t="s">
        <v>2574</v>
      </c>
      <c r="AO648" t="s">
        <v>2726</v>
      </c>
      <c r="AP648" t="s">
        <v>74</v>
      </c>
      <c r="AQ648" t="s">
        <v>74</v>
      </c>
      <c r="AR648" t="s">
        <v>2727</v>
      </c>
      <c r="AS648" t="s">
        <v>2728</v>
      </c>
      <c r="AT648" t="s">
        <v>11776</v>
      </c>
      <c r="AU648">
        <v>2022</v>
      </c>
      <c r="AV648">
        <v>17</v>
      </c>
      <c r="AW648">
        <v>4</v>
      </c>
      <c r="AX648" t="s">
        <v>74</v>
      </c>
      <c r="AY648" t="s">
        <v>74</v>
      </c>
      <c r="AZ648" t="s">
        <v>74</v>
      </c>
      <c r="BA648" t="s">
        <v>74</v>
      </c>
      <c r="BB648" t="s">
        <v>74</v>
      </c>
      <c r="BC648" t="s">
        <v>74</v>
      </c>
      <c r="BD648">
        <v>44003</v>
      </c>
      <c r="BE648" t="s">
        <v>12973</v>
      </c>
      <c r="BF648" t="str">
        <f>HYPERLINK("http://dx.doi.org/10.1088/1748-9326/ac583c","http://dx.doi.org/10.1088/1748-9326/ac583c")</f>
        <v>http://dx.doi.org/10.1088/1748-9326/ac583c</v>
      </c>
      <c r="BG648" t="s">
        <v>74</v>
      </c>
      <c r="BH648" t="s">
        <v>74</v>
      </c>
      <c r="BI648">
        <v>11</v>
      </c>
      <c r="BJ648" t="s">
        <v>1797</v>
      </c>
      <c r="BK648" t="s">
        <v>101</v>
      </c>
      <c r="BL648" t="s">
        <v>957</v>
      </c>
      <c r="BM648" t="s">
        <v>12974</v>
      </c>
      <c r="BN648" t="s">
        <v>74</v>
      </c>
      <c r="BO648" t="s">
        <v>438</v>
      </c>
      <c r="BP648" t="s">
        <v>74</v>
      </c>
      <c r="BQ648" t="s">
        <v>74</v>
      </c>
      <c r="BR648" t="s">
        <v>103</v>
      </c>
      <c r="BS648" t="s">
        <v>12975</v>
      </c>
      <c r="BT648" t="str">
        <f>HYPERLINK("https%3A%2F%2Fwww.webofscience.com%2Fwos%2Fwoscc%2Ffull-record%2FWOS:000766862900001","View Full Record in Web of Science")</f>
        <v>View Full Record in Web of Science</v>
      </c>
    </row>
    <row r="649" spans="1:72" x14ac:dyDescent="0.15">
      <c r="A649" t="s">
        <v>72</v>
      </c>
      <c r="B649" t="s">
        <v>12976</v>
      </c>
      <c r="C649" t="s">
        <v>74</v>
      </c>
      <c r="D649" t="s">
        <v>74</v>
      </c>
      <c r="E649" t="s">
        <v>74</v>
      </c>
      <c r="F649" t="s">
        <v>12977</v>
      </c>
      <c r="G649" t="s">
        <v>74</v>
      </c>
      <c r="H649" t="s">
        <v>74</v>
      </c>
      <c r="I649" t="s">
        <v>12978</v>
      </c>
      <c r="J649" t="s">
        <v>3217</v>
      </c>
      <c r="K649" t="s">
        <v>74</v>
      </c>
      <c r="L649" t="s">
        <v>74</v>
      </c>
      <c r="M649" t="s">
        <v>78</v>
      </c>
      <c r="N649" t="s">
        <v>79</v>
      </c>
      <c r="O649" t="s">
        <v>74</v>
      </c>
      <c r="P649" t="s">
        <v>74</v>
      </c>
      <c r="Q649" t="s">
        <v>74</v>
      </c>
      <c r="R649" t="s">
        <v>74</v>
      </c>
      <c r="S649" t="s">
        <v>74</v>
      </c>
      <c r="T649" t="s">
        <v>12979</v>
      </c>
      <c r="U649" t="s">
        <v>12980</v>
      </c>
      <c r="V649" t="s">
        <v>12981</v>
      </c>
      <c r="W649" t="s">
        <v>12982</v>
      </c>
      <c r="X649" t="s">
        <v>12983</v>
      </c>
      <c r="Y649" t="s">
        <v>12984</v>
      </c>
      <c r="Z649" t="s">
        <v>12985</v>
      </c>
      <c r="AA649" t="s">
        <v>12986</v>
      </c>
      <c r="AB649" t="s">
        <v>12987</v>
      </c>
      <c r="AC649" t="s">
        <v>12988</v>
      </c>
      <c r="AD649" t="s">
        <v>12989</v>
      </c>
      <c r="AE649" t="s">
        <v>12990</v>
      </c>
      <c r="AF649" t="s">
        <v>74</v>
      </c>
      <c r="AG649">
        <v>24</v>
      </c>
      <c r="AH649">
        <v>2</v>
      </c>
      <c r="AI649">
        <v>2</v>
      </c>
      <c r="AJ649">
        <v>0</v>
      </c>
      <c r="AK649">
        <v>2</v>
      </c>
      <c r="AL649" t="s">
        <v>3228</v>
      </c>
      <c r="AM649" t="s">
        <v>200</v>
      </c>
      <c r="AN649" t="s">
        <v>3229</v>
      </c>
      <c r="AO649" t="s">
        <v>3230</v>
      </c>
      <c r="AP649" t="s">
        <v>3231</v>
      </c>
      <c r="AQ649" t="s">
        <v>74</v>
      </c>
      <c r="AR649" t="s">
        <v>3232</v>
      </c>
      <c r="AS649" t="s">
        <v>3233</v>
      </c>
      <c r="AT649" t="s">
        <v>7628</v>
      </c>
      <c r="AU649">
        <v>2022</v>
      </c>
      <c r="AV649">
        <v>69</v>
      </c>
      <c r="AW649">
        <v>9</v>
      </c>
      <c r="AX649" t="s">
        <v>74</v>
      </c>
      <c r="AY649" t="s">
        <v>74</v>
      </c>
      <c r="AZ649" t="s">
        <v>74</v>
      </c>
      <c r="BA649" t="s">
        <v>74</v>
      </c>
      <c r="BB649">
        <v>3514</v>
      </c>
      <c r="BC649">
        <v>3524</v>
      </c>
      <c r="BD649" t="s">
        <v>74</v>
      </c>
      <c r="BE649" t="s">
        <v>12991</v>
      </c>
      <c r="BF649" t="str">
        <f>HYPERLINK("http://dx.doi.org/10.1016/j.asr.2022.02.046","http://dx.doi.org/10.1016/j.asr.2022.02.046")</f>
        <v>http://dx.doi.org/10.1016/j.asr.2022.02.046</v>
      </c>
      <c r="BG649" t="s">
        <v>74</v>
      </c>
      <c r="BH649" t="s">
        <v>12992</v>
      </c>
      <c r="BI649">
        <v>11</v>
      </c>
      <c r="BJ649" t="s">
        <v>3236</v>
      </c>
      <c r="BK649" t="s">
        <v>101</v>
      </c>
      <c r="BL649" t="s">
        <v>3237</v>
      </c>
      <c r="BM649" t="s">
        <v>12993</v>
      </c>
      <c r="BN649" t="s">
        <v>74</v>
      </c>
      <c r="BO649" t="s">
        <v>267</v>
      </c>
      <c r="BP649" t="s">
        <v>74</v>
      </c>
      <c r="BQ649" t="s">
        <v>74</v>
      </c>
      <c r="BR649" t="s">
        <v>103</v>
      </c>
      <c r="BS649" t="s">
        <v>12994</v>
      </c>
      <c r="BT649" t="str">
        <f>HYPERLINK("https%3A%2F%2Fwww.webofscience.com%2Fwos%2Fwoscc%2Ffull-record%2FWOS:000820954800011","View Full Record in Web of Science")</f>
        <v>View Full Record in Web of Science</v>
      </c>
    </row>
    <row r="650" spans="1:72" x14ac:dyDescent="0.15">
      <c r="A650" t="s">
        <v>72</v>
      </c>
      <c r="B650" t="s">
        <v>12995</v>
      </c>
      <c r="C650" t="s">
        <v>74</v>
      </c>
      <c r="D650" t="s">
        <v>74</v>
      </c>
      <c r="E650" t="s">
        <v>74</v>
      </c>
      <c r="F650" t="s">
        <v>12996</v>
      </c>
      <c r="G650" t="s">
        <v>74</v>
      </c>
      <c r="H650" t="s">
        <v>74</v>
      </c>
      <c r="I650" t="s">
        <v>12997</v>
      </c>
      <c r="J650" t="s">
        <v>1060</v>
      </c>
      <c r="K650" t="s">
        <v>74</v>
      </c>
      <c r="L650" t="s">
        <v>74</v>
      </c>
      <c r="M650" t="s">
        <v>78</v>
      </c>
      <c r="N650" t="s">
        <v>79</v>
      </c>
      <c r="O650" t="s">
        <v>74</v>
      </c>
      <c r="P650" t="s">
        <v>74</v>
      </c>
      <c r="Q650" t="s">
        <v>74</v>
      </c>
      <c r="R650" t="s">
        <v>74</v>
      </c>
      <c r="S650" t="s">
        <v>74</v>
      </c>
      <c r="T650" t="s">
        <v>12998</v>
      </c>
      <c r="U650" t="s">
        <v>12999</v>
      </c>
      <c r="V650" t="s">
        <v>13000</v>
      </c>
      <c r="W650" t="s">
        <v>13001</v>
      </c>
      <c r="X650" t="s">
        <v>13002</v>
      </c>
      <c r="Y650" t="s">
        <v>13003</v>
      </c>
      <c r="Z650" t="s">
        <v>13004</v>
      </c>
      <c r="AA650" t="s">
        <v>12424</v>
      </c>
      <c r="AB650" t="s">
        <v>13005</v>
      </c>
      <c r="AC650" t="s">
        <v>13006</v>
      </c>
      <c r="AD650" t="s">
        <v>13007</v>
      </c>
      <c r="AE650" t="s">
        <v>13008</v>
      </c>
      <c r="AF650" t="s">
        <v>74</v>
      </c>
      <c r="AG650">
        <v>65</v>
      </c>
      <c r="AH650">
        <v>2</v>
      </c>
      <c r="AI650">
        <v>2</v>
      </c>
      <c r="AJ650">
        <v>1</v>
      </c>
      <c r="AK650">
        <v>4</v>
      </c>
      <c r="AL650" t="s">
        <v>257</v>
      </c>
      <c r="AM650" t="s">
        <v>258</v>
      </c>
      <c r="AN650" t="s">
        <v>259</v>
      </c>
      <c r="AO650" t="s">
        <v>1073</v>
      </c>
      <c r="AP650" t="s">
        <v>1074</v>
      </c>
      <c r="AQ650" t="s">
        <v>74</v>
      </c>
      <c r="AR650" t="s">
        <v>1075</v>
      </c>
      <c r="AS650" t="s">
        <v>1076</v>
      </c>
      <c r="AT650" t="s">
        <v>4826</v>
      </c>
      <c r="AU650">
        <v>2022</v>
      </c>
      <c r="AV650">
        <v>594</v>
      </c>
      <c r="AW650" t="s">
        <v>74</v>
      </c>
      <c r="AX650" t="s">
        <v>74</v>
      </c>
      <c r="AY650" t="s">
        <v>74</v>
      </c>
      <c r="AZ650" t="s">
        <v>74</v>
      </c>
      <c r="BA650" t="s">
        <v>74</v>
      </c>
      <c r="BB650" t="s">
        <v>74</v>
      </c>
      <c r="BC650" t="s">
        <v>74</v>
      </c>
      <c r="BD650">
        <v>110948</v>
      </c>
      <c r="BE650" t="s">
        <v>13009</v>
      </c>
      <c r="BF650" t="str">
        <f>HYPERLINK("http://dx.doi.org/10.1016/j.palaeo.2022.110948","http://dx.doi.org/10.1016/j.palaeo.2022.110948")</f>
        <v>http://dx.doi.org/10.1016/j.palaeo.2022.110948</v>
      </c>
      <c r="BG650" t="s">
        <v>74</v>
      </c>
      <c r="BH650" t="s">
        <v>12992</v>
      </c>
      <c r="BI650">
        <v>10</v>
      </c>
      <c r="BJ650" t="s">
        <v>1079</v>
      </c>
      <c r="BK650" t="s">
        <v>101</v>
      </c>
      <c r="BL650" t="s">
        <v>1080</v>
      </c>
      <c r="BM650" t="s">
        <v>13010</v>
      </c>
      <c r="BN650" t="s">
        <v>74</v>
      </c>
      <c r="BO650" t="s">
        <v>74</v>
      </c>
      <c r="BP650" t="s">
        <v>74</v>
      </c>
      <c r="BQ650" t="s">
        <v>74</v>
      </c>
      <c r="BR650" t="s">
        <v>103</v>
      </c>
      <c r="BS650" t="s">
        <v>13011</v>
      </c>
      <c r="BT650" t="str">
        <f>HYPERLINK("https%3A%2F%2Fwww.webofscience.com%2Fwos%2Fwoscc%2Ffull-record%2FWOS:000806350900004","View Full Record in Web of Science")</f>
        <v>View Full Record in Web of Science</v>
      </c>
    </row>
    <row r="651" spans="1:72" x14ac:dyDescent="0.15">
      <c r="A651" t="s">
        <v>72</v>
      </c>
      <c r="B651" t="s">
        <v>13012</v>
      </c>
      <c r="C651" t="s">
        <v>74</v>
      </c>
      <c r="D651" t="s">
        <v>74</v>
      </c>
      <c r="E651" t="s">
        <v>74</v>
      </c>
      <c r="F651" t="s">
        <v>13013</v>
      </c>
      <c r="G651" t="s">
        <v>74</v>
      </c>
      <c r="H651" t="s">
        <v>74</v>
      </c>
      <c r="I651" t="s">
        <v>13014</v>
      </c>
      <c r="J651" t="s">
        <v>13015</v>
      </c>
      <c r="K651" t="s">
        <v>74</v>
      </c>
      <c r="L651" t="s">
        <v>74</v>
      </c>
      <c r="M651" t="s">
        <v>78</v>
      </c>
      <c r="N651" t="s">
        <v>79</v>
      </c>
      <c r="O651" t="s">
        <v>74</v>
      </c>
      <c r="P651" t="s">
        <v>74</v>
      </c>
      <c r="Q651" t="s">
        <v>74</v>
      </c>
      <c r="R651" t="s">
        <v>74</v>
      </c>
      <c r="S651" t="s">
        <v>74</v>
      </c>
      <c r="T651" t="s">
        <v>13016</v>
      </c>
      <c r="U651" t="s">
        <v>74</v>
      </c>
      <c r="V651" t="s">
        <v>13017</v>
      </c>
      <c r="W651" t="s">
        <v>13018</v>
      </c>
      <c r="X651" t="s">
        <v>3179</v>
      </c>
      <c r="Y651" t="s">
        <v>13019</v>
      </c>
      <c r="Z651" t="s">
        <v>13020</v>
      </c>
      <c r="AA651" t="s">
        <v>74</v>
      </c>
      <c r="AB651" t="s">
        <v>13021</v>
      </c>
      <c r="AC651" t="s">
        <v>13022</v>
      </c>
      <c r="AD651" t="s">
        <v>13023</v>
      </c>
      <c r="AE651" t="s">
        <v>13024</v>
      </c>
      <c r="AF651" t="s">
        <v>74</v>
      </c>
      <c r="AG651">
        <v>11</v>
      </c>
      <c r="AH651">
        <v>0</v>
      </c>
      <c r="AI651">
        <v>0</v>
      </c>
      <c r="AJ651">
        <v>0</v>
      </c>
      <c r="AK651">
        <v>1</v>
      </c>
      <c r="AL651" t="s">
        <v>1000</v>
      </c>
      <c r="AM651" t="s">
        <v>531</v>
      </c>
      <c r="AN651" t="s">
        <v>1001</v>
      </c>
      <c r="AO651" t="s">
        <v>13025</v>
      </c>
      <c r="AP651" t="s">
        <v>13026</v>
      </c>
      <c r="AQ651" t="s">
        <v>74</v>
      </c>
      <c r="AR651" t="s">
        <v>13027</v>
      </c>
      <c r="AS651" t="s">
        <v>13028</v>
      </c>
      <c r="AT651" t="s">
        <v>320</v>
      </c>
      <c r="AU651">
        <v>2022</v>
      </c>
      <c r="AV651">
        <v>646</v>
      </c>
      <c r="AW651" t="s">
        <v>74</v>
      </c>
      <c r="AX651" t="s">
        <v>74</v>
      </c>
      <c r="AY651" t="s">
        <v>74</v>
      </c>
      <c r="AZ651" t="s">
        <v>74</v>
      </c>
      <c r="BA651" t="s">
        <v>74</v>
      </c>
      <c r="BB651">
        <v>43</v>
      </c>
      <c r="BC651">
        <v>53</v>
      </c>
      <c r="BD651" t="s">
        <v>74</v>
      </c>
      <c r="BE651" t="s">
        <v>13029</v>
      </c>
      <c r="BF651" t="str">
        <f>HYPERLINK("http://dx.doi.org/10.1016/j.laa.2022.03.019","http://dx.doi.org/10.1016/j.laa.2022.03.019")</f>
        <v>http://dx.doi.org/10.1016/j.laa.2022.03.019</v>
      </c>
      <c r="BG651" t="s">
        <v>74</v>
      </c>
      <c r="BH651" t="s">
        <v>12992</v>
      </c>
      <c r="BI651">
        <v>11</v>
      </c>
      <c r="BJ651" t="s">
        <v>7967</v>
      </c>
      <c r="BK651" t="s">
        <v>101</v>
      </c>
      <c r="BL651" t="s">
        <v>7968</v>
      </c>
      <c r="BM651" t="s">
        <v>13030</v>
      </c>
      <c r="BN651" t="s">
        <v>74</v>
      </c>
      <c r="BO651" t="s">
        <v>1149</v>
      </c>
      <c r="BP651" t="s">
        <v>74</v>
      </c>
      <c r="BQ651" t="s">
        <v>74</v>
      </c>
      <c r="BR651" t="s">
        <v>103</v>
      </c>
      <c r="BS651" t="s">
        <v>13031</v>
      </c>
      <c r="BT651" t="str">
        <f>HYPERLINK("https%3A%2F%2Fwww.webofscience.com%2Fwos%2Fwoscc%2Ffull-record%2FWOS:000806382200003","View Full Record in Web of Science")</f>
        <v>View Full Record in Web of Science</v>
      </c>
    </row>
    <row r="652" spans="1:72" x14ac:dyDescent="0.15">
      <c r="A652" t="s">
        <v>72</v>
      </c>
      <c r="B652" t="s">
        <v>13032</v>
      </c>
      <c r="C652" t="s">
        <v>74</v>
      </c>
      <c r="D652" t="s">
        <v>74</v>
      </c>
      <c r="E652" t="s">
        <v>74</v>
      </c>
      <c r="F652" t="s">
        <v>13033</v>
      </c>
      <c r="G652" t="s">
        <v>74</v>
      </c>
      <c r="H652" t="s">
        <v>74</v>
      </c>
      <c r="I652" t="s">
        <v>13034</v>
      </c>
      <c r="J652" t="s">
        <v>272</v>
      </c>
      <c r="K652" t="s">
        <v>74</v>
      </c>
      <c r="L652" t="s">
        <v>74</v>
      </c>
      <c r="M652" t="s">
        <v>78</v>
      </c>
      <c r="N652" t="s">
        <v>79</v>
      </c>
      <c r="O652" t="s">
        <v>74</v>
      </c>
      <c r="P652" t="s">
        <v>74</v>
      </c>
      <c r="Q652" t="s">
        <v>74</v>
      </c>
      <c r="R652" t="s">
        <v>74</v>
      </c>
      <c r="S652" t="s">
        <v>74</v>
      </c>
      <c r="T652" t="s">
        <v>13035</v>
      </c>
      <c r="U652" t="s">
        <v>13036</v>
      </c>
      <c r="V652" t="s">
        <v>13037</v>
      </c>
      <c r="W652" t="s">
        <v>13038</v>
      </c>
      <c r="X652" t="s">
        <v>13039</v>
      </c>
      <c r="Y652" t="s">
        <v>13040</v>
      </c>
      <c r="Z652" t="s">
        <v>13041</v>
      </c>
      <c r="AA652" t="s">
        <v>13042</v>
      </c>
      <c r="AB652" t="s">
        <v>74</v>
      </c>
      <c r="AC652" t="s">
        <v>13043</v>
      </c>
      <c r="AD652" t="s">
        <v>13044</v>
      </c>
      <c r="AE652" t="s">
        <v>13045</v>
      </c>
      <c r="AF652" t="s">
        <v>74</v>
      </c>
      <c r="AG652">
        <v>37</v>
      </c>
      <c r="AH652">
        <v>6</v>
      </c>
      <c r="AI652">
        <v>6</v>
      </c>
      <c r="AJ652">
        <v>0</v>
      </c>
      <c r="AK652">
        <v>16</v>
      </c>
      <c r="AL652" t="s">
        <v>285</v>
      </c>
      <c r="AM652" t="s">
        <v>286</v>
      </c>
      <c r="AN652" t="s">
        <v>287</v>
      </c>
      <c r="AO652" t="s">
        <v>74</v>
      </c>
      <c r="AP652" t="s">
        <v>288</v>
      </c>
      <c r="AQ652" t="s">
        <v>74</v>
      </c>
      <c r="AR652" t="s">
        <v>289</v>
      </c>
      <c r="AS652" t="s">
        <v>290</v>
      </c>
      <c r="AT652" t="s">
        <v>13046</v>
      </c>
      <c r="AU652">
        <v>2022</v>
      </c>
      <c r="AV652">
        <v>13</v>
      </c>
      <c r="AW652" t="s">
        <v>74</v>
      </c>
      <c r="AX652" t="s">
        <v>74</v>
      </c>
      <c r="AY652" t="s">
        <v>74</v>
      </c>
      <c r="AZ652" t="s">
        <v>74</v>
      </c>
      <c r="BA652" t="s">
        <v>74</v>
      </c>
      <c r="BB652" t="s">
        <v>74</v>
      </c>
      <c r="BC652" t="s">
        <v>74</v>
      </c>
      <c r="BD652">
        <v>851182</v>
      </c>
      <c r="BE652" t="s">
        <v>13047</v>
      </c>
      <c r="BF652" t="str">
        <f>HYPERLINK("http://dx.doi.org/10.3389/fmicb.2022.851182","http://dx.doi.org/10.3389/fmicb.2022.851182")</f>
        <v>http://dx.doi.org/10.3389/fmicb.2022.851182</v>
      </c>
      <c r="BG652" t="s">
        <v>74</v>
      </c>
      <c r="BH652" t="s">
        <v>74</v>
      </c>
      <c r="BI652">
        <v>11</v>
      </c>
      <c r="BJ652" t="s">
        <v>293</v>
      </c>
      <c r="BK652" t="s">
        <v>101</v>
      </c>
      <c r="BL652" t="s">
        <v>293</v>
      </c>
      <c r="BM652" t="s">
        <v>13048</v>
      </c>
      <c r="BN652">
        <v>35432236</v>
      </c>
      <c r="BO652" t="s">
        <v>295</v>
      </c>
      <c r="BP652" t="s">
        <v>74</v>
      </c>
      <c r="BQ652" t="s">
        <v>74</v>
      </c>
      <c r="BR652" t="s">
        <v>103</v>
      </c>
      <c r="BS652" t="s">
        <v>13049</v>
      </c>
      <c r="BT652" t="str">
        <f>HYPERLINK("https%3A%2F%2Fwww.webofscience.com%2Fwos%2Fwoscc%2Ffull-record%2FWOS:000789133600001","View Full Record in Web of Science")</f>
        <v>View Full Record in Web of Science</v>
      </c>
    </row>
    <row r="653" spans="1:72" x14ac:dyDescent="0.15">
      <c r="A653" t="s">
        <v>72</v>
      </c>
      <c r="B653" t="s">
        <v>13050</v>
      </c>
      <c r="C653" t="s">
        <v>74</v>
      </c>
      <c r="D653" t="s">
        <v>74</v>
      </c>
      <c r="E653" t="s">
        <v>74</v>
      </c>
      <c r="F653" t="s">
        <v>13051</v>
      </c>
      <c r="G653" t="s">
        <v>74</v>
      </c>
      <c r="H653" t="s">
        <v>74</v>
      </c>
      <c r="I653" t="s">
        <v>13052</v>
      </c>
      <c r="J653" t="s">
        <v>546</v>
      </c>
      <c r="K653" t="s">
        <v>74</v>
      </c>
      <c r="L653" t="s">
        <v>74</v>
      </c>
      <c r="M653" t="s">
        <v>78</v>
      </c>
      <c r="N653" t="s">
        <v>79</v>
      </c>
      <c r="O653" t="s">
        <v>74</v>
      </c>
      <c r="P653" t="s">
        <v>74</v>
      </c>
      <c r="Q653" t="s">
        <v>74</v>
      </c>
      <c r="R653" t="s">
        <v>74</v>
      </c>
      <c r="S653" t="s">
        <v>74</v>
      </c>
      <c r="T653" t="s">
        <v>13053</v>
      </c>
      <c r="U653" t="s">
        <v>13054</v>
      </c>
      <c r="V653" t="s">
        <v>13055</v>
      </c>
      <c r="W653" t="s">
        <v>13056</v>
      </c>
      <c r="X653" t="s">
        <v>13057</v>
      </c>
      <c r="Y653" t="s">
        <v>13058</v>
      </c>
      <c r="Z653" t="s">
        <v>13059</v>
      </c>
      <c r="AA653" t="s">
        <v>13060</v>
      </c>
      <c r="AB653" t="s">
        <v>13061</v>
      </c>
      <c r="AC653" t="s">
        <v>13062</v>
      </c>
      <c r="AD653" t="s">
        <v>13063</v>
      </c>
      <c r="AE653" t="s">
        <v>13064</v>
      </c>
      <c r="AF653" t="s">
        <v>74</v>
      </c>
      <c r="AG653">
        <v>59</v>
      </c>
      <c r="AH653">
        <v>7</v>
      </c>
      <c r="AI653">
        <v>7</v>
      </c>
      <c r="AJ653">
        <v>11</v>
      </c>
      <c r="AK653">
        <v>43</v>
      </c>
      <c r="AL653" t="s">
        <v>285</v>
      </c>
      <c r="AM653" t="s">
        <v>286</v>
      </c>
      <c r="AN653" t="s">
        <v>287</v>
      </c>
      <c r="AO653" t="s">
        <v>74</v>
      </c>
      <c r="AP653" t="s">
        <v>558</v>
      </c>
      <c r="AQ653" t="s">
        <v>74</v>
      </c>
      <c r="AR653" t="s">
        <v>559</v>
      </c>
      <c r="AS653" t="s">
        <v>560</v>
      </c>
      <c r="AT653" t="s">
        <v>13046</v>
      </c>
      <c r="AU653">
        <v>2022</v>
      </c>
      <c r="AV653">
        <v>9</v>
      </c>
      <c r="AW653" t="s">
        <v>74</v>
      </c>
      <c r="AX653" t="s">
        <v>74</v>
      </c>
      <c r="AY653" t="s">
        <v>74</v>
      </c>
      <c r="AZ653" t="s">
        <v>74</v>
      </c>
      <c r="BA653" t="s">
        <v>74</v>
      </c>
      <c r="BB653" t="s">
        <v>74</v>
      </c>
      <c r="BC653" t="s">
        <v>74</v>
      </c>
      <c r="BD653">
        <v>819525</v>
      </c>
      <c r="BE653" t="s">
        <v>13065</v>
      </c>
      <c r="BF653" t="str">
        <f>HYPERLINK("http://dx.doi.org/10.3389/fmars.2022.819525","http://dx.doi.org/10.3389/fmars.2022.819525")</f>
        <v>http://dx.doi.org/10.3389/fmars.2022.819525</v>
      </c>
      <c r="BG653" t="s">
        <v>74</v>
      </c>
      <c r="BH653" t="s">
        <v>74</v>
      </c>
      <c r="BI653">
        <v>14</v>
      </c>
      <c r="BJ653" t="s">
        <v>563</v>
      </c>
      <c r="BK653" t="s">
        <v>101</v>
      </c>
      <c r="BL653" t="s">
        <v>564</v>
      </c>
      <c r="BM653" t="s">
        <v>13066</v>
      </c>
      <c r="BN653" t="s">
        <v>74</v>
      </c>
      <c r="BO653" t="s">
        <v>295</v>
      </c>
      <c r="BP653" t="s">
        <v>74</v>
      </c>
      <c r="BQ653" t="s">
        <v>74</v>
      </c>
      <c r="BR653" t="s">
        <v>103</v>
      </c>
      <c r="BS653" t="s">
        <v>13067</v>
      </c>
      <c r="BT653" t="str">
        <f>HYPERLINK("https%3A%2F%2Fwww.webofscience.com%2Fwos%2Fwoscc%2Ffull-record%2FWOS:000788654300001","View Full Record in Web of Science")</f>
        <v>View Full Record in Web of Science</v>
      </c>
    </row>
    <row r="654" spans="1:72" x14ac:dyDescent="0.15">
      <c r="A654" t="s">
        <v>72</v>
      </c>
      <c r="B654" t="s">
        <v>13068</v>
      </c>
      <c r="C654" t="s">
        <v>74</v>
      </c>
      <c r="D654" t="s">
        <v>74</v>
      </c>
      <c r="E654" t="s">
        <v>74</v>
      </c>
      <c r="F654" t="s">
        <v>13069</v>
      </c>
      <c r="G654" t="s">
        <v>74</v>
      </c>
      <c r="H654" t="s">
        <v>74</v>
      </c>
      <c r="I654" t="s">
        <v>13070</v>
      </c>
      <c r="J654" t="s">
        <v>3027</v>
      </c>
      <c r="K654" t="s">
        <v>74</v>
      </c>
      <c r="L654" t="s">
        <v>74</v>
      </c>
      <c r="M654" t="s">
        <v>78</v>
      </c>
      <c r="N654" t="s">
        <v>79</v>
      </c>
      <c r="O654" t="s">
        <v>74</v>
      </c>
      <c r="P654" t="s">
        <v>74</v>
      </c>
      <c r="Q654" t="s">
        <v>74</v>
      </c>
      <c r="R654" t="s">
        <v>74</v>
      </c>
      <c r="S654" t="s">
        <v>74</v>
      </c>
      <c r="T654" t="s">
        <v>13071</v>
      </c>
      <c r="U654" t="s">
        <v>13072</v>
      </c>
      <c r="V654" t="s">
        <v>13073</v>
      </c>
      <c r="W654" t="s">
        <v>13074</v>
      </c>
      <c r="X654" t="s">
        <v>13075</v>
      </c>
      <c r="Y654" t="s">
        <v>13076</v>
      </c>
      <c r="Z654" t="s">
        <v>13077</v>
      </c>
      <c r="AA654" t="s">
        <v>13078</v>
      </c>
      <c r="AB654" t="s">
        <v>74</v>
      </c>
      <c r="AC654" t="s">
        <v>13079</v>
      </c>
      <c r="AD654" t="s">
        <v>13080</v>
      </c>
      <c r="AE654" t="s">
        <v>13081</v>
      </c>
      <c r="AF654" t="s">
        <v>74</v>
      </c>
      <c r="AG654">
        <v>38</v>
      </c>
      <c r="AH654">
        <v>4</v>
      </c>
      <c r="AI654">
        <v>4</v>
      </c>
      <c r="AJ654">
        <v>1</v>
      </c>
      <c r="AK654">
        <v>7</v>
      </c>
      <c r="AL654" t="s">
        <v>285</v>
      </c>
      <c r="AM654" t="s">
        <v>286</v>
      </c>
      <c r="AN654" t="s">
        <v>287</v>
      </c>
      <c r="AO654" t="s">
        <v>74</v>
      </c>
      <c r="AP654" t="s">
        <v>3039</v>
      </c>
      <c r="AQ654" t="s">
        <v>74</v>
      </c>
      <c r="AR654" t="s">
        <v>3040</v>
      </c>
      <c r="AS654" t="s">
        <v>3041</v>
      </c>
      <c r="AT654" t="s">
        <v>13046</v>
      </c>
      <c r="AU654">
        <v>2022</v>
      </c>
      <c r="AV654">
        <v>10</v>
      </c>
      <c r="AW654" t="s">
        <v>74</v>
      </c>
      <c r="AX654" t="s">
        <v>74</v>
      </c>
      <c r="AY654" t="s">
        <v>74</v>
      </c>
      <c r="AZ654" t="s">
        <v>74</v>
      </c>
      <c r="BA654" t="s">
        <v>74</v>
      </c>
      <c r="BB654" t="s">
        <v>74</v>
      </c>
      <c r="BC654" t="s">
        <v>74</v>
      </c>
      <c r="BD654">
        <v>757821</v>
      </c>
      <c r="BE654" t="s">
        <v>13082</v>
      </c>
      <c r="BF654" t="str">
        <f>HYPERLINK("http://dx.doi.org/10.3389/feart.2022.757821","http://dx.doi.org/10.3389/feart.2022.757821")</f>
        <v>http://dx.doi.org/10.3389/feart.2022.757821</v>
      </c>
      <c r="BG654" t="s">
        <v>74</v>
      </c>
      <c r="BH654" t="s">
        <v>74</v>
      </c>
      <c r="BI654">
        <v>14</v>
      </c>
      <c r="BJ654" t="s">
        <v>265</v>
      </c>
      <c r="BK654" t="s">
        <v>101</v>
      </c>
      <c r="BL654" t="s">
        <v>100</v>
      </c>
      <c r="BM654" t="s">
        <v>13083</v>
      </c>
      <c r="BN654" t="s">
        <v>74</v>
      </c>
      <c r="BO654" t="s">
        <v>438</v>
      </c>
      <c r="BP654" t="s">
        <v>74</v>
      </c>
      <c r="BQ654" t="s">
        <v>74</v>
      </c>
      <c r="BR654" t="s">
        <v>103</v>
      </c>
      <c r="BS654" t="s">
        <v>13084</v>
      </c>
      <c r="BT654" t="str">
        <f>HYPERLINK("https%3A%2F%2Fwww.webofscience.com%2Fwos%2Fwoscc%2Ffull-record%2FWOS:000788663700001","View Full Record in Web of Science")</f>
        <v>View Full Record in Web of Science</v>
      </c>
    </row>
    <row r="655" spans="1:72" x14ac:dyDescent="0.15">
      <c r="A655" t="s">
        <v>72</v>
      </c>
      <c r="B655" t="s">
        <v>13085</v>
      </c>
      <c r="C655" t="s">
        <v>74</v>
      </c>
      <c r="D655" t="s">
        <v>74</v>
      </c>
      <c r="E655" t="s">
        <v>74</v>
      </c>
      <c r="F655" t="s">
        <v>13086</v>
      </c>
      <c r="G655" t="s">
        <v>74</v>
      </c>
      <c r="H655" t="s">
        <v>74</v>
      </c>
      <c r="I655" t="s">
        <v>13087</v>
      </c>
      <c r="J655" t="s">
        <v>11675</v>
      </c>
      <c r="K655" t="s">
        <v>74</v>
      </c>
      <c r="L655" t="s">
        <v>74</v>
      </c>
      <c r="M655" t="s">
        <v>78</v>
      </c>
      <c r="N655" t="s">
        <v>79</v>
      </c>
      <c r="O655" t="s">
        <v>74</v>
      </c>
      <c r="P655" t="s">
        <v>74</v>
      </c>
      <c r="Q655" t="s">
        <v>74</v>
      </c>
      <c r="R655" t="s">
        <v>74</v>
      </c>
      <c r="S655" t="s">
        <v>74</v>
      </c>
      <c r="T655" t="s">
        <v>13088</v>
      </c>
      <c r="U655" t="s">
        <v>13089</v>
      </c>
      <c r="V655" t="s">
        <v>13090</v>
      </c>
      <c r="W655" t="s">
        <v>13091</v>
      </c>
      <c r="X655" t="s">
        <v>13092</v>
      </c>
      <c r="Y655" t="s">
        <v>13093</v>
      </c>
      <c r="Z655" t="s">
        <v>13094</v>
      </c>
      <c r="AA655" t="s">
        <v>74</v>
      </c>
      <c r="AB655" t="s">
        <v>13095</v>
      </c>
      <c r="AC655" t="s">
        <v>74</v>
      </c>
      <c r="AD655" t="s">
        <v>74</v>
      </c>
      <c r="AE655" t="s">
        <v>74</v>
      </c>
      <c r="AF655" t="s">
        <v>74</v>
      </c>
      <c r="AG655">
        <v>41</v>
      </c>
      <c r="AH655">
        <v>4</v>
      </c>
      <c r="AI655">
        <v>4</v>
      </c>
      <c r="AJ655">
        <v>6</v>
      </c>
      <c r="AK655">
        <v>35</v>
      </c>
      <c r="AL655" t="s">
        <v>9679</v>
      </c>
      <c r="AM655" t="s">
        <v>4863</v>
      </c>
      <c r="AN655" t="s">
        <v>9680</v>
      </c>
      <c r="AO655" t="s">
        <v>11683</v>
      </c>
      <c r="AP655" t="s">
        <v>11684</v>
      </c>
      <c r="AQ655" t="s">
        <v>74</v>
      </c>
      <c r="AR655" t="s">
        <v>11685</v>
      </c>
      <c r="AS655" t="s">
        <v>11686</v>
      </c>
      <c r="AT655" t="s">
        <v>6182</v>
      </c>
      <c r="AU655">
        <v>2022</v>
      </c>
      <c r="AV655">
        <v>76</v>
      </c>
      <c r="AW655">
        <v>3</v>
      </c>
      <c r="AX655" t="s">
        <v>74</v>
      </c>
      <c r="AY655" t="s">
        <v>74</v>
      </c>
      <c r="AZ655" t="s">
        <v>772</v>
      </c>
      <c r="BA655" t="s">
        <v>74</v>
      </c>
      <c r="BB655">
        <v>305</v>
      </c>
      <c r="BC655">
        <v>323</v>
      </c>
      <c r="BD655" t="s">
        <v>74</v>
      </c>
      <c r="BE655" t="s">
        <v>13096</v>
      </c>
      <c r="BF655" t="str">
        <f>HYPERLINK("http://dx.doi.org/10.1080/10357718.2022.2057920","http://dx.doi.org/10.1080/10357718.2022.2057920")</f>
        <v>http://dx.doi.org/10.1080/10357718.2022.2057920</v>
      </c>
      <c r="BG655" t="s">
        <v>74</v>
      </c>
      <c r="BH655" t="s">
        <v>12992</v>
      </c>
      <c r="BI655">
        <v>19</v>
      </c>
      <c r="BJ655" t="s">
        <v>11688</v>
      </c>
      <c r="BK655" t="s">
        <v>9665</v>
      </c>
      <c r="BL655" t="s">
        <v>11688</v>
      </c>
      <c r="BM655" t="s">
        <v>11689</v>
      </c>
      <c r="BN655" t="s">
        <v>74</v>
      </c>
      <c r="BO655" t="s">
        <v>74</v>
      </c>
      <c r="BP655" t="s">
        <v>74</v>
      </c>
      <c r="BQ655" t="s">
        <v>74</v>
      </c>
      <c r="BR655" t="s">
        <v>103</v>
      </c>
      <c r="BS655" t="s">
        <v>13097</v>
      </c>
      <c r="BT655" t="str">
        <f>HYPERLINK("https%3A%2F%2Fwww.webofscience.com%2Fwos%2Fwoscc%2Ffull-record%2FWOS:000780802600001","View Full Record in Web of Science")</f>
        <v>View Full Record in Web of Science</v>
      </c>
    </row>
    <row r="656" spans="1:72" x14ac:dyDescent="0.15">
      <c r="A656" t="s">
        <v>72</v>
      </c>
      <c r="B656" t="s">
        <v>13098</v>
      </c>
      <c r="C656" t="s">
        <v>74</v>
      </c>
      <c r="D656" t="s">
        <v>74</v>
      </c>
      <c r="E656" t="s">
        <v>74</v>
      </c>
      <c r="F656" t="s">
        <v>13099</v>
      </c>
      <c r="G656" t="s">
        <v>74</v>
      </c>
      <c r="H656" t="s">
        <v>74</v>
      </c>
      <c r="I656" t="s">
        <v>13100</v>
      </c>
      <c r="J656" t="s">
        <v>443</v>
      </c>
      <c r="K656" t="s">
        <v>74</v>
      </c>
      <c r="L656" t="s">
        <v>74</v>
      </c>
      <c r="M656" t="s">
        <v>78</v>
      </c>
      <c r="N656" t="s">
        <v>79</v>
      </c>
      <c r="O656" t="s">
        <v>74</v>
      </c>
      <c r="P656" t="s">
        <v>74</v>
      </c>
      <c r="Q656" t="s">
        <v>74</v>
      </c>
      <c r="R656" t="s">
        <v>74</v>
      </c>
      <c r="S656" t="s">
        <v>74</v>
      </c>
      <c r="T656" t="s">
        <v>74</v>
      </c>
      <c r="U656" t="s">
        <v>13101</v>
      </c>
      <c r="V656" t="s">
        <v>13102</v>
      </c>
      <c r="W656" t="s">
        <v>13103</v>
      </c>
      <c r="X656" t="s">
        <v>13104</v>
      </c>
      <c r="Y656" t="s">
        <v>13105</v>
      </c>
      <c r="Z656" t="s">
        <v>13106</v>
      </c>
      <c r="AA656" t="s">
        <v>13107</v>
      </c>
      <c r="AB656" t="s">
        <v>13108</v>
      </c>
      <c r="AC656" t="s">
        <v>13109</v>
      </c>
      <c r="AD656" t="s">
        <v>13110</v>
      </c>
      <c r="AE656" t="s">
        <v>13111</v>
      </c>
      <c r="AF656" t="s">
        <v>74</v>
      </c>
      <c r="AG656">
        <v>74</v>
      </c>
      <c r="AH656">
        <v>12</v>
      </c>
      <c r="AI656">
        <v>15</v>
      </c>
      <c r="AJ656">
        <v>5</v>
      </c>
      <c r="AK656">
        <v>43</v>
      </c>
      <c r="AL656" t="s">
        <v>455</v>
      </c>
      <c r="AM656" t="s">
        <v>456</v>
      </c>
      <c r="AN656" t="s">
        <v>457</v>
      </c>
      <c r="AO656" t="s">
        <v>458</v>
      </c>
      <c r="AP656" t="s">
        <v>459</v>
      </c>
      <c r="AQ656" t="s">
        <v>74</v>
      </c>
      <c r="AR656" t="s">
        <v>460</v>
      </c>
      <c r="AS656" t="s">
        <v>461</v>
      </c>
      <c r="AT656" t="s">
        <v>8316</v>
      </c>
      <c r="AU656">
        <v>2022</v>
      </c>
      <c r="AV656">
        <v>15</v>
      </c>
      <c r="AW656">
        <v>4</v>
      </c>
      <c r="AX656" t="s">
        <v>74</v>
      </c>
      <c r="AY656" t="s">
        <v>74</v>
      </c>
      <c r="AZ656" t="s">
        <v>74</v>
      </c>
      <c r="BA656" t="s">
        <v>74</v>
      </c>
      <c r="BB656">
        <v>307</v>
      </c>
      <c r="BC656" t="s">
        <v>462</v>
      </c>
      <c r="BD656" t="s">
        <v>74</v>
      </c>
      <c r="BE656" t="s">
        <v>13112</v>
      </c>
      <c r="BF656" t="str">
        <f>HYPERLINK("http://dx.doi.org/10.1038/s41561-022-00918-1","http://dx.doi.org/10.1038/s41561-022-00918-1")</f>
        <v>http://dx.doi.org/10.1038/s41561-022-00918-1</v>
      </c>
      <c r="BG656" t="s">
        <v>74</v>
      </c>
      <c r="BH656" t="s">
        <v>12992</v>
      </c>
      <c r="BI656">
        <v>21</v>
      </c>
      <c r="BJ656" t="s">
        <v>265</v>
      </c>
      <c r="BK656" t="s">
        <v>101</v>
      </c>
      <c r="BL656" t="s">
        <v>100</v>
      </c>
      <c r="BM656" t="s">
        <v>13113</v>
      </c>
      <c r="BN656" t="s">
        <v>74</v>
      </c>
      <c r="BO656" t="s">
        <v>986</v>
      </c>
      <c r="BP656" t="s">
        <v>74</v>
      </c>
      <c r="BQ656" t="s">
        <v>74</v>
      </c>
      <c r="BR656" t="s">
        <v>103</v>
      </c>
      <c r="BS656" t="s">
        <v>13114</v>
      </c>
      <c r="BT656" t="str">
        <f>HYPERLINK("https%3A%2F%2Fwww.webofscience.com%2Fwos%2Fwoscc%2Ffull-record%2FWOS:000777374800002","View Full Record in Web of Science")</f>
        <v>View Full Record in Web of Science</v>
      </c>
    </row>
    <row r="657" spans="1:72" x14ac:dyDescent="0.15">
      <c r="A657" t="s">
        <v>72</v>
      </c>
      <c r="B657" t="s">
        <v>13115</v>
      </c>
      <c r="C657" t="s">
        <v>74</v>
      </c>
      <c r="D657" t="s">
        <v>74</v>
      </c>
      <c r="E657" t="s">
        <v>74</v>
      </c>
      <c r="F657" t="s">
        <v>13116</v>
      </c>
      <c r="G657" t="s">
        <v>74</v>
      </c>
      <c r="H657" t="s">
        <v>74</v>
      </c>
      <c r="I657" t="s">
        <v>13117</v>
      </c>
      <c r="J657" t="s">
        <v>11675</v>
      </c>
      <c r="K657" t="s">
        <v>74</v>
      </c>
      <c r="L657" t="s">
        <v>74</v>
      </c>
      <c r="M657" t="s">
        <v>78</v>
      </c>
      <c r="N657" t="s">
        <v>79</v>
      </c>
      <c r="O657" t="s">
        <v>74</v>
      </c>
      <c r="P657" t="s">
        <v>74</v>
      </c>
      <c r="Q657" t="s">
        <v>74</v>
      </c>
      <c r="R657" t="s">
        <v>74</v>
      </c>
      <c r="S657" t="s">
        <v>74</v>
      </c>
      <c r="T657" t="s">
        <v>13118</v>
      </c>
      <c r="U657" t="s">
        <v>13119</v>
      </c>
      <c r="V657" t="s">
        <v>13120</v>
      </c>
      <c r="W657" t="s">
        <v>13121</v>
      </c>
      <c r="X657" t="s">
        <v>13122</v>
      </c>
      <c r="Y657" t="s">
        <v>13123</v>
      </c>
      <c r="Z657" t="s">
        <v>13124</v>
      </c>
      <c r="AA657" t="s">
        <v>74</v>
      </c>
      <c r="AB657" t="s">
        <v>13125</v>
      </c>
      <c r="AC657" t="s">
        <v>74</v>
      </c>
      <c r="AD657" t="s">
        <v>74</v>
      </c>
      <c r="AE657" t="s">
        <v>74</v>
      </c>
      <c r="AF657" t="s">
        <v>74</v>
      </c>
      <c r="AG657">
        <v>68</v>
      </c>
      <c r="AH657">
        <v>1</v>
      </c>
      <c r="AI657">
        <v>1</v>
      </c>
      <c r="AJ657">
        <v>0</v>
      </c>
      <c r="AK657">
        <v>5</v>
      </c>
      <c r="AL657" t="s">
        <v>9679</v>
      </c>
      <c r="AM657" t="s">
        <v>4863</v>
      </c>
      <c r="AN657" t="s">
        <v>9680</v>
      </c>
      <c r="AO657" t="s">
        <v>11683</v>
      </c>
      <c r="AP657" t="s">
        <v>11684</v>
      </c>
      <c r="AQ657" t="s">
        <v>74</v>
      </c>
      <c r="AR657" t="s">
        <v>11685</v>
      </c>
      <c r="AS657" t="s">
        <v>11686</v>
      </c>
      <c r="AT657" t="s">
        <v>6182</v>
      </c>
      <c r="AU657">
        <v>2022</v>
      </c>
      <c r="AV657">
        <v>76</v>
      </c>
      <c r="AW657">
        <v>3</v>
      </c>
      <c r="AX657" t="s">
        <v>74</v>
      </c>
      <c r="AY657" t="s">
        <v>74</v>
      </c>
      <c r="AZ657" t="s">
        <v>772</v>
      </c>
      <c r="BA657" t="s">
        <v>74</v>
      </c>
      <c r="BB657">
        <v>286</v>
      </c>
      <c r="BC657">
        <v>304</v>
      </c>
      <c r="BD657" t="s">
        <v>74</v>
      </c>
      <c r="BE657" t="s">
        <v>13126</v>
      </c>
      <c r="BF657" t="str">
        <f>HYPERLINK("http://dx.doi.org/10.1080/10357718.2022.2056874","http://dx.doi.org/10.1080/10357718.2022.2056874")</f>
        <v>http://dx.doi.org/10.1080/10357718.2022.2056874</v>
      </c>
      <c r="BG657" t="s">
        <v>74</v>
      </c>
      <c r="BH657" t="s">
        <v>12992</v>
      </c>
      <c r="BI657">
        <v>19</v>
      </c>
      <c r="BJ657" t="s">
        <v>11688</v>
      </c>
      <c r="BK657" t="s">
        <v>9665</v>
      </c>
      <c r="BL657" t="s">
        <v>11688</v>
      </c>
      <c r="BM657" t="s">
        <v>11689</v>
      </c>
      <c r="BN657" t="s">
        <v>74</v>
      </c>
      <c r="BO657" t="s">
        <v>74</v>
      </c>
      <c r="BP657" t="s">
        <v>74</v>
      </c>
      <c r="BQ657" t="s">
        <v>74</v>
      </c>
      <c r="BR657" t="s">
        <v>103</v>
      </c>
      <c r="BS657" t="s">
        <v>13127</v>
      </c>
      <c r="BT657" t="str">
        <f>HYPERLINK("https%3A%2F%2Fwww.webofscience.com%2Fwos%2Fwoscc%2Ffull-record%2FWOS:000777153000001","View Full Record in Web of Science")</f>
        <v>View Full Record in Web of Science</v>
      </c>
    </row>
    <row r="658" spans="1:72" x14ac:dyDescent="0.15">
      <c r="A658" t="s">
        <v>72</v>
      </c>
      <c r="B658" t="s">
        <v>13128</v>
      </c>
      <c r="C658" t="s">
        <v>74</v>
      </c>
      <c r="D658" t="s">
        <v>74</v>
      </c>
      <c r="E658" t="s">
        <v>74</v>
      </c>
      <c r="F658" t="s">
        <v>13129</v>
      </c>
      <c r="G658" t="s">
        <v>74</v>
      </c>
      <c r="H658" t="s">
        <v>74</v>
      </c>
      <c r="I658" t="s">
        <v>13130</v>
      </c>
      <c r="J658" t="s">
        <v>648</v>
      </c>
      <c r="K658" t="s">
        <v>74</v>
      </c>
      <c r="L658" t="s">
        <v>74</v>
      </c>
      <c r="M658" t="s">
        <v>78</v>
      </c>
      <c r="N658" t="s">
        <v>79</v>
      </c>
      <c r="O658" t="s">
        <v>74</v>
      </c>
      <c r="P658" t="s">
        <v>74</v>
      </c>
      <c r="Q658" t="s">
        <v>74</v>
      </c>
      <c r="R658" t="s">
        <v>74</v>
      </c>
      <c r="S658" t="s">
        <v>74</v>
      </c>
      <c r="T658" t="s">
        <v>74</v>
      </c>
      <c r="U658" t="s">
        <v>13131</v>
      </c>
      <c r="V658" t="s">
        <v>13132</v>
      </c>
      <c r="W658" t="s">
        <v>13133</v>
      </c>
      <c r="X658" t="s">
        <v>13134</v>
      </c>
      <c r="Y658" t="s">
        <v>13135</v>
      </c>
      <c r="Z658" t="s">
        <v>13136</v>
      </c>
      <c r="AA658" t="s">
        <v>13137</v>
      </c>
      <c r="AB658" t="s">
        <v>13138</v>
      </c>
      <c r="AC658" t="s">
        <v>13139</v>
      </c>
      <c r="AD658" t="s">
        <v>13140</v>
      </c>
      <c r="AE658" t="s">
        <v>13141</v>
      </c>
      <c r="AF658" t="s">
        <v>74</v>
      </c>
      <c r="AG658">
        <v>77</v>
      </c>
      <c r="AH658">
        <v>8</v>
      </c>
      <c r="AI658">
        <v>10</v>
      </c>
      <c r="AJ658">
        <v>3</v>
      </c>
      <c r="AK658">
        <v>14</v>
      </c>
      <c r="AL658" t="s">
        <v>455</v>
      </c>
      <c r="AM658" t="s">
        <v>456</v>
      </c>
      <c r="AN658" t="s">
        <v>457</v>
      </c>
      <c r="AO658" t="s">
        <v>74</v>
      </c>
      <c r="AP658" t="s">
        <v>652</v>
      </c>
      <c r="AQ658" t="s">
        <v>74</v>
      </c>
      <c r="AR658" t="s">
        <v>653</v>
      </c>
      <c r="AS658" t="s">
        <v>654</v>
      </c>
      <c r="AT658" t="s">
        <v>13046</v>
      </c>
      <c r="AU658">
        <v>2022</v>
      </c>
      <c r="AV658">
        <v>13</v>
      </c>
      <c r="AW658">
        <v>1</v>
      </c>
      <c r="AX658" t="s">
        <v>74</v>
      </c>
      <c r="AY658" t="s">
        <v>74</v>
      </c>
      <c r="AZ658" t="s">
        <v>74</v>
      </c>
      <c r="BA658" t="s">
        <v>74</v>
      </c>
      <c r="BB658" t="s">
        <v>74</v>
      </c>
      <c r="BC658" t="s">
        <v>74</v>
      </c>
      <c r="BD658">
        <v>1711</v>
      </c>
      <c r="BE658" t="s">
        <v>13142</v>
      </c>
      <c r="BF658" t="str">
        <f>HYPERLINK("http://dx.doi.org/10.1038/s41467-022-29385-3","http://dx.doi.org/10.1038/s41467-022-29385-3")</f>
        <v>http://dx.doi.org/10.1038/s41467-022-29385-3</v>
      </c>
      <c r="BG658" t="s">
        <v>74</v>
      </c>
      <c r="BH658" t="s">
        <v>74</v>
      </c>
      <c r="BI658">
        <v>12</v>
      </c>
      <c r="BJ658" t="s">
        <v>657</v>
      </c>
      <c r="BK658" t="s">
        <v>101</v>
      </c>
      <c r="BL658" t="s">
        <v>658</v>
      </c>
      <c r="BM658" t="s">
        <v>13143</v>
      </c>
      <c r="BN658">
        <v>35361810</v>
      </c>
      <c r="BO658" t="s">
        <v>4312</v>
      </c>
      <c r="BP658" t="s">
        <v>74</v>
      </c>
      <c r="BQ658" t="s">
        <v>74</v>
      </c>
      <c r="BR658" t="s">
        <v>103</v>
      </c>
      <c r="BS658" t="s">
        <v>13144</v>
      </c>
      <c r="BT658" t="str">
        <f>HYPERLINK("https%3A%2F%2Fwww.webofscience.com%2Fwos%2Fwoscc%2Ffull-record%2FWOS:000777008300028","View Full Record in Web of Science")</f>
        <v>View Full Record in Web of Science</v>
      </c>
    </row>
    <row r="659" spans="1:72" x14ac:dyDescent="0.15">
      <c r="A659" t="s">
        <v>72</v>
      </c>
      <c r="B659" t="s">
        <v>13145</v>
      </c>
      <c r="C659" t="s">
        <v>74</v>
      </c>
      <c r="D659" t="s">
        <v>74</v>
      </c>
      <c r="E659" t="s">
        <v>74</v>
      </c>
      <c r="F659" t="s">
        <v>13146</v>
      </c>
      <c r="G659" t="s">
        <v>74</v>
      </c>
      <c r="H659" t="s">
        <v>74</v>
      </c>
      <c r="I659" t="s">
        <v>13147</v>
      </c>
      <c r="J659" t="s">
        <v>4255</v>
      </c>
      <c r="K659" t="s">
        <v>74</v>
      </c>
      <c r="L659" t="s">
        <v>74</v>
      </c>
      <c r="M659" t="s">
        <v>78</v>
      </c>
      <c r="N659" t="s">
        <v>79</v>
      </c>
      <c r="O659" t="s">
        <v>74</v>
      </c>
      <c r="P659" t="s">
        <v>74</v>
      </c>
      <c r="Q659" t="s">
        <v>74</v>
      </c>
      <c r="R659" t="s">
        <v>74</v>
      </c>
      <c r="S659" t="s">
        <v>74</v>
      </c>
      <c r="T659" t="s">
        <v>13148</v>
      </c>
      <c r="U659" t="s">
        <v>13149</v>
      </c>
      <c r="V659" t="s">
        <v>13150</v>
      </c>
      <c r="W659" t="s">
        <v>13151</v>
      </c>
      <c r="X659" t="s">
        <v>13152</v>
      </c>
      <c r="Y659" t="s">
        <v>13153</v>
      </c>
      <c r="Z659" t="s">
        <v>13154</v>
      </c>
      <c r="AA659" t="s">
        <v>13155</v>
      </c>
      <c r="AB659" t="s">
        <v>13156</v>
      </c>
      <c r="AC659" t="s">
        <v>13157</v>
      </c>
      <c r="AD659" t="s">
        <v>13158</v>
      </c>
      <c r="AE659" t="s">
        <v>13159</v>
      </c>
      <c r="AF659" t="s">
        <v>74</v>
      </c>
      <c r="AG659">
        <v>78</v>
      </c>
      <c r="AH659">
        <v>8</v>
      </c>
      <c r="AI659">
        <v>8</v>
      </c>
      <c r="AJ659">
        <v>0</v>
      </c>
      <c r="AK659">
        <v>10</v>
      </c>
      <c r="AL659" t="s">
        <v>91</v>
      </c>
      <c r="AM659" t="s">
        <v>92</v>
      </c>
      <c r="AN659" t="s">
        <v>93</v>
      </c>
      <c r="AO659" t="s">
        <v>4264</v>
      </c>
      <c r="AP659" t="s">
        <v>4265</v>
      </c>
      <c r="AQ659" t="s">
        <v>74</v>
      </c>
      <c r="AR659" t="s">
        <v>4266</v>
      </c>
      <c r="AS659" t="s">
        <v>4267</v>
      </c>
      <c r="AT659" t="s">
        <v>346</v>
      </c>
      <c r="AU659">
        <v>2022</v>
      </c>
      <c r="AV659">
        <v>36</v>
      </c>
      <c r="AW659">
        <v>4</v>
      </c>
      <c r="AX659" t="s">
        <v>74</v>
      </c>
      <c r="AY659" t="s">
        <v>74</v>
      </c>
      <c r="AZ659" t="s">
        <v>74</v>
      </c>
      <c r="BA659" t="s">
        <v>74</v>
      </c>
      <c r="BB659" t="s">
        <v>74</v>
      </c>
      <c r="BC659" t="s">
        <v>74</v>
      </c>
      <c r="BD659" t="s">
        <v>13160</v>
      </c>
      <c r="BE659" t="s">
        <v>13161</v>
      </c>
      <c r="BF659" t="str">
        <f>HYPERLINK("http://dx.doi.org/10.1111/cobi.13885","http://dx.doi.org/10.1111/cobi.13885")</f>
        <v>http://dx.doi.org/10.1111/cobi.13885</v>
      </c>
      <c r="BG659" t="s">
        <v>74</v>
      </c>
      <c r="BH659" t="s">
        <v>12992</v>
      </c>
      <c r="BI659">
        <v>10</v>
      </c>
      <c r="BJ659" t="s">
        <v>4270</v>
      </c>
      <c r="BK659" t="s">
        <v>101</v>
      </c>
      <c r="BL659" t="s">
        <v>540</v>
      </c>
      <c r="BM659" t="s">
        <v>13162</v>
      </c>
      <c r="BN659">
        <v>35040183</v>
      </c>
      <c r="BO659" t="s">
        <v>74</v>
      </c>
      <c r="BP659" t="s">
        <v>74</v>
      </c>
      <c r="BQ659" t="s">
        <v>74</v>
      </c>
      <c r="BR659" t="s">
        <v>103</v>
      </c>
      <c r="BS659" t="s">
        <v>13163</v>
      </c>
      <c r="BT659" t="str">
        <f>HYPERLINK("https%3A%2F%2Fwww.webofscience.com%2Fwos%2Fwoscc%2Ffull-record%2FWOS:000776260300001","View Full Record in Web of Science")</f>
        <v>View Full Record in Web of Science</v>
      </c>
    </row>
    <row r="660" spans="1:72" x14ac:dyDescent="0.15">
      <c r="A660" t="s">
        <v>72</v>
      </c>
      <c r="B660" t="s">
        <v>13164</v>
      </c>
      <c r="C660" t="s">
        <v>74</v>
      </c>
      <c r="D660" t="s">
        <v>74</v>
      </c>
      <c r="E660" t="s">
        <v>74</v>
      </c>
      <c r="F660" t="s">
        <v>13165</v>
      </c>
      <c r="G660" t="s">
        <v>74</v>
      </c>
      <c r="H660" t="s">
        <v>74</v>
      </c>
      <c r="I660" t="s">
        <v>13166</v>
      </c>
      <c r="J660" t="s">
        <v>13167</v>
      </c>
      <c r="K660" t="s">
        <v>74</v>
      </c>
      <c r="L660" t="s">
        <v>74</v>
      </c>
      <c r="M660" t="s">
        <v>78</v>
      </c>
      <c r="N660" t="s">
        <v>79</v>
      </c>
      <c r="O660" t="s">
        <v>74</v>
      </c>
      <c r="P660" t="s">
        <v>74</v>
      </c>
      <c r="Q660" t="s">
        <v>74</v>
      </c>
      <c r="R660" t="s">
        <v>74</v>
      </c>
      <c r="S660" t="s">
        <v>74</v>
      </c>
      <c r="T660" t="s">
        <v>13168</v>
      </c>
      <c r="U660" t="s">
        <v>13169</v>
      </c>
      <c r="V660" t="s">
        <v>13170</v>
      </c>
      <c r="W660" t="s">
        <v>13171</v>
      </c>
      <c r="X660" t="s">
        <v>13172</v>
      </c>
      <c r="Y660" t="s">
        <v>13173</v>
      </c>
      <c r="Z660" t="s">
        <v>13174</v>
      </c>
      <c r="AA660" t="s">
        <v>74</v>
      </c>
      <c r="AB660" t="s">
        <v>13175</v>
      </c>
      <c r="AC660" t="s">
        <v>13176</v>
      </c>
      <c r="AD660" t="s">
        <v>13177</v>
      </c>
      <c r="AE660" t="s">
        <v>13178</v>
      </c>
      <c r="AF660" t="s">
        <v>74</v>
      </c>
      <c r="AG660">
        <v>112</v>
      </c>
      <c r="AH660">
        <v>6</v>
      </c>
      <c r="AI660">
        <v>6</v>
      </c>
      <c r="AJ660">
        <v>0</v>
      </c>
      <c r="AK660">
        <v>2</v>
      </c>
      <c r="AL660" t="s">
        <v>5856</v>
      </c>
      <c r="AM660" t="s">
        <v>401</v>
      </c>
      <c r="AN660" t="s">
        <v>5857</v>
      </c>
      <c r="AO660" t="s">
        <v>13179</v>
      </c>
      <c r="AP660" t="s">
        <v>74</v>
      </c>
      <c r="AQ660" t="s">
        <v>74</v>
      </c>
      <c r="AR660" t="s">
        <v>13180</v>
      </c>
      <c r="AS660" t="s">
        <v>13181</v>
      </c>
      <c r="AT660" t="s">
        <v>13046</v>
      </c>
      <c r="AU660">
        <v>2022</v>
      </c>
      <c r="AV660">
        <v>19</v>
      </c>
      <c r="AW660">
        <v>1</v>
      </c>
      <c r="AX660" t="s">
        <v>74</v>
      </c>
      <c r="AY660" t="s">
        <v>74</v>
      </c>
      <c r="AZ660" t="s">
        <v>74</v>
      </c>
      <c r="BA660" t="s">
        <v>74</v>
      </c>
      <c r="BB660" t="s">
        <v>74</v>
      </c>
      <c r="BC660" t="s">
        <v>74</v>
      </c>
      <c r="BD660">
        <v>14</v>
      </c>
      <c r="BE660" t="s">
        <v>13182</v>
      </c>
      <c r="BF660" t="str">
        <f>HYPERLINK("http://dx.doi.org/10.1186/s12983-022-00459-8","http://dx.doi.org/10.1186/s12983-022-00459-8")</f>
        <v>http://dx.doi.org/10.1186/s12983-022-00459-8</v>
      </c>
      <c r="BG660" t="s">
        <v>74</v>
      </c>
      <c r="BH660" t="s">
        <v>74</v>
      </c>
      <c r="BI660">
        <v>34</v>
      </c>
      <c r="BJ660" t="s">
        <v>1054</v>
      </c>
      <c r="BK660" t="s">
        <v>101</v>
      </c>
      <c r="BL660" t="s">
        <v>1054</v>
      </c>
      <c r="BM660" t="s">
        <v>13183</v>
      </c>
      <c r="BN660">
        <v>35361245</v>
      </c>
      <c r="BO660" t="s">
        <v>1533</v>
      </c>
      <c r="BP660" t="s">
        <v>74</v>
      </c>
      <c r="BQ660" t="s">
        <v>74</v>
      </c>
      <c r="BR660" t="s">
        <v>103</v>
      </c>
      <c r="BS660" t="s">
        <v>13184</v>
      </c>
      <c r="BT660" t="str">
        <f>HYPERLINK("https%3A%2F%2Fwww.webofscience.com%2Fwos%2Fwoscc%2Ffull-record%2FWOS:000776923600001","View Full Record in Web of Science")</f>
        <v>View Full Record in Web of Science</v>
      </c>
    </row>
    <row r="661" spans="1:72" x14ac:dyDescent="0.15">
      <c r="A661" t="s">
        <v>72</v>
      </c>
      <c r="B661" t="s">
        <v>13185</v>
      </c>
      <c r="C661" t="s">
        <v>74</v>
      </c>
      <c r="D661" t="s">
        <v>74</v>
      </c>
      <c r="E661" t="s">
        <v>74</v>
      </c>
      <c r="F661" t="s">
        <v>13186</v>
      </c>
      <c r="G661" t="s">
        <v>74</v>
      </c>
      <c r="H661" t="s">
        <v>74</v>
      </c>
      <c r="I661" t="s">
        <v>13187</v>
      </c>
      <c r="J661" t="s">
        <v>493</v>
      </c>
      <c r="K661" t="s">
        <v>74</v>
      </c>
      <c r="L661" t="s">
        <v>74</v>
      </c>
      <c r="M661" t="s">
        <v>78</v>
      </c>
      <c r="N661" t="s">
        <v>79</v>
      </c>
      <c r="O661" t="s">
        <v>74</v>
      </c>
      <c r="P661" t="s">
        <v>74</v>
      </c>
      <c r="Q661" t="s">
        <v>74</v>
      </c>
      <c r="R661" t="s">
        <v>74</v>
      </c>
      <c r="S661" t="s">
        <v>74</v>
      </c>
      <c r="T661" t="s">
        <v>74</v>
      </c>
      <c r="U661" t="s">
        <v>13188</v>
      </c>
      <c r="V661" t="s">
        <v>13189</v>
      </c>
      <c r="W661" t="s">
        <v>13190</v>
      </c>
      <c r="X661" t="s">
        <v>13191</v>
      </c>
      <c r="Y661" t="s">
        <v>13192</v>
      </c>
      <c r="Z661" t="s">
        <v>13193</v>
      </c>
      <c r="AA661" t="s">
        <v>13194</v>
      </c>
      <c r="AB661" t="s">
        <v>13195</v>
      </c>
      <c r="AC661" t="s">
        <v>13196</v>
      </c>
      <c r="AD661" t="s">
        <v>13197</v>
      </c>
      <c r="AE661" t="s">
        <v>13198</v>
      </c>
      <c r="AF661" t="s">
        <v>74</v>
      </c>
      <c r="AG661">
        <v>36</v>
      </c>
      <c r="AH661">
        <v>7</v>
      </c>
      <c r="AI661">
        <v>9</v>
      </c>
      <c r="AJ661">
        <v>1</v>
      </c>
      <c r="AK661">
        <v>15</v>
      </c>
      <c r="AL661" t="s">
        <v>117</v>
      </c>
      <c r="AM661" t="s">
        <v>118</v>
      </c>
      <c r="AN661" t="s">
        <v>119</v>
      </c>
      <c r="AO661" t="s">
        <v>505</v>
      </c>
      <c r="AP661" t="s">
        <v>506</v>
      </c>
      <c r="AQ661" t="s">
        <v>74</v>
      </c>
      <c r="AR661" t="s">
        <v>507</v>
      </c>
      <c r="AS661" t="s">
        <v>508</v>
      </c>
      <c r="AT661" t="s">
        <v>13046</v>
      </c>
      <c r="AU661">
        <v>2022</v>
      </c>
      <c r="AV661">
        <v>15</v>
      </c>
      <c r="AW661">
        <v>6</v>
      </c>
      <c r="AX661" t="s">
        <v>74</v>
      </c>
      <c r="AY661" t="s">
        <v>74</v>
      </c>
      <c r="AZ661" t="s">
        <v>74</v>
      </c>
      <c r="BA661" t="s">
        <v>74</v>
      </c>
      <c r="BB661">
        <v>1957</v>
      </c>
      <c r="BC661">
        <v>1965</v>
      </c>
      <c r="BD661" t="s">
        <v>74</v>
      </c>
      <c r="BE661" t="s">
        <v>13199</v>
      </c>
      <c r="BF661" t="str">
        <f>HYPERLINK("http://dx.doi.org/10.5194/amt-15-1957-2022","http://dx.doi.org/10.5194/amt-15-1957-2022")</f>
        <v>http://dx.doi.org/10.5194/amt-15-1957-2022</v>
      </c>
      <c r="BG661" t="s">
        <v>74</v>
      </c>
      <c r="BH661" t="s">
        <v>74</v>
      </c>
      <c r="BI661">
        <v>9</v>
      </c>
      <c r="BJ661" t="s">
        <v>510</v>
      </c>
      <c r="BK661" t="s">
        <v>101</v>
      </c>
      <c r="BL661" t="s">
        <v>510</v>
      </c>
      <c r="BM661" t="s">
        <v>13200</v>
      </c>
      <c r="BN661" t="s">
        <v>74</v>
      </c>
      <c r="BO661" t="s">
        <v>4328</v>
      </c>
      <c r="BP661" t="s">
        <v>74</v>
      </c>
      <c r="BQ661" t="s">
        <v>74</v>
      </c>
      <c r="BR661" t="s">
        <v>103</v>
      </c>
      <c r="BS661" t="s">
        <v>13201</v>
      </c>
      <c r="BT661" t="str">
        <f>HYPERLINK("https%3A%2F%2Fwww.webofscience.com%2Fwos%2Fwoscc%2Ffull-record%2FWOS:000776074500001","View Full Record in Web of Science")</f>
        <v>View Full Record in Web of Science</v>
      </c>
    </row>
    <row r="662" spans="1:72" x14ac:dyDescent="0.15">
      <c r="A662" t="s">
        <v>72</v>
      </c>
      <c r="B662" t="s">
        <v>13202</v>
      </c>
      <c r="C662" t="s">
        <v>74</v>
      </c>
      <c r="D662" t="s">
        <v>74</v>
      </c>
      <c r="E662" t="s">
        <v>74</v>
      </c>
      <c r="F662" t="s">
        <v>13203</v>
      </c>
      <c r="G662" t="s">
        <v>74</v>
      </c>
      <c r="H662" t="s">
        <v>74</v>
      </c>
      <c r="I662" t="s">
        <v>13204</v>
      </c>
      <c r="J662" t="s">
        <v>11675</v>
      </c>
      <c r="K662" t="s">
        <v>74</v>
      </c>
      <c r="L662" t="s">
        <v>74</v>
      </c>
      <c r="M662" t="s">
        <v>78</v>
      </c>
      <c r="N662" t="s">
        <v>79</v>
      </c>
      <c r="O662" t="s">
        <v>74</v>
      </c>
      <c r="P662" t="s">
        <v>74</v>
      </c>
      <c r="Q662" t="s">
        <v>74</v>
      </c>
      <c r="R662" t="s">
        <v>74</v>
      </c>
      <c r="S662" t="s">
        <v>74</v>
      </c>
      <c r="T662" t="s">
        <v>13205</v>
      </c>
      <c r="U662" t="s">
        <v>13206</v>
      </c>
      <c r="V662" t="s">
        <v>13207</v>
      </c>
      <c r="W662" t="s">
        <v>13208</v>
      </c>
      <c r="X662" t="s">
        <v>893</v>
      </c>
      <c r="Y662" t="s">
        <v>13209</v>
      </c>
      <c r="Z662" t="s">
        <v>13094</v>
      </c>
      <c r="AA662" t="s">
        <v>74</v>
      </c>
      <c r="AB662" t="s">
        <v>13095</v>
      </c>
      <c r="AC662" t="s">
        <v>13210</v>
      </c>
      <c r="AD662" t="s">
        <v>2881</v>
      </c>
      <c r="AE662" t="s">
        <v>13211</v>
      </c>
      <c r="AF662" t="s">
        <v>74</v>
      </c>
      <c r="AG662">
        <v>43</v>
      </c>
      <c r="AH662">
        <v>2</v>
      </c>
      <c r="AI662">
        <v>2</v>
      </c>
      <c r="AJ662">
        <v>4</v>
      </c>
      <c r="AK662">
        <v>21</v>
      </c>
      <c r="AL662" t="s">
        <v>9679</v>
      </c>
      <c r="AM662" t="s">
        <v>4863</v>
      </c>
      <c r="AN662" t="s">
        <v>9680</v>
      </c>
      <c r="AO662" t="s">
        <v>11683</v>
      </c>
      <c r="AP662" t="s">
        <v>11684</v>
      </c>
      <c r="AQ662" t="s">
        <v>74</v>
      </c>
      <c r="AR662" t="s">
        <v>11685</v>
      </c>
      <c r="AS662" t="s">
        <v>11686</v>
      </c>
      <c r="AT662" t="s">
        <v>6182</v>
      </c>
      <c r="AU662">
        <v>2022</v>
      </c>
      <c r="AV662">
        <v>76</v>
      </c>
      <c r="AW662">
        <v>3</v>
      </c>
      <c r="AX662" t="s">
        <v>74</v>
      </c>
      <c r="AY662" t="s">
        <v>74</v>
      </c>
      <c r="AZ662" t="s">
        <v>772</v>
      </c>
      <c r="BA662" t="s">
        <v>74</v>
      </c>
      <c r="BB662">
        <v>340</v>
      </c>
      <c r="BC662">
        <v>358</v>
      </c>
      <c r="BD662" t="s">
        <v>74</v>
      </c>
      <c r="BE662" t="s">
        <v>13212</v>
      </c>
      <c r="BF662" t="str">
        <f>HYPERLINK("http://dx.doi.org/10.1080/10357718.2022.2057921","http://dx.doi.org/10.1080/10357718.2022.2057921")</f>
        <v>http://dx.doi.org/10.1080/10357718.2022.2057921</v>
      </c>
      <c r="BG662" t="s">
        <v>74</v>
      </c>
      <c r="BH662" t="s">
        <v>12992</v>
      </c>
      <c r="BI662">
        <v>19</v>
      </c>
      <c r="BJ662" t="s">
        <v>11688</v>
      </c>
      <c r="BK662" t="s">
        <v>9665</v>
      </c>
      <c r="BL662" t="s">
        <v>11688</v>
      </c>
      <c r="BM662" t="s">
        <v>11689</v>
      </c>
      <c r="BN662" t="s">
        <v>74</v>
      </c>
      <c r="BO662" t="s">
        <v>74</v>
      </c>
      <c r="BP662" t="s">
        <v>74</v>
      </c>
      <c r="BQ662" t="s">
        <v>74</v>
      </c>
      <c r="BR662" t="s">
        <v>103</v>
      </c>
      <c r="BS662" t="s">
        <v>13213</v>
      </c>
      <c r="BT662" t="str">
        <f>HYPERLINK("https%3A%2F%2Fwww.webofscience.com%2Fwos%2Fwoscc%2Ffull-record%2FWOS:000776140300001","View Full Record in Web of Science")</f>
        <v>View Full Record in Web of Science</v>
      </c>
    </row>
    <row r="663" spans="1:72" x14ac:dyDescent="0.15">
      <c r="A663" t="s">
        <v>72</v>
      </c>
      <c r="B663" t="s">
        <v>13214</v>
      </c>
      <c r="C663" t="s">
        <v>74</v>
      </c>
      <c r="D663" t="s">
        <v>74</v>
      </c>
      <c r="E663" t="s">
        <v>74</v>
      </c>
      <c r="F663" t="s">
        <v>13215</v>
      </c>
      <c r="G663" t="s">
        <v>74</v>
      </c>
      <c r="H663" t="s">
        <v>74</v>
      </c>
      <c r="I663" t="s">
        <v>13216</v>
      </c>
      <c r="J663" t="s">
        <v>13217</v>
      </c>
      <c r="K663" t="s">
        <v>74</v>
      </c>
      <c r="L663" t="s">
        <v>74</v>
      </c>
      <c r="M663" t="s">
        <v>78</v>
      </c>
      <c r="N663" t="s">
        <v>79</v>
      </c>
      <c r="O663" t="s">
        <v>74</v>
      </c>
      <c r="P663" t="s">
        <v>74</v>
      </c>
      <c r="Q663" t="s">
        <v>74</v>
      </c>
      <c r="R663" t="s">
        <v>74</v>
      </c>
      <c r="S663" t="s">
        <v>74</v>
      </c>
      <c r="T663" t="s">
        <v>13218</v>
      </c>
      <c r="U663" t="s">
        <v>13219</v>
      </c>
      <c r="V663" t="s">
        <v>13220</v>
      </c>
      <c r="W663" t="s">
        <v>13221</v>
      </c>
      <c r="X663" t="s">
        <v>13222</v>
      </c>
      <c r="Y663" t="s">
        <v>13223</v>
      </c>
      <c r="Z663" t="s">
        <v>13224</v>
      </c>
      <c r="AA663" t="s">
        <v>13225</v>
      </c>
      <c r="AB663" t="s">
        <v>13226</v>
      </c>
      <c r="AC663" t="s">
        <v>74</v>
      </c>
      <c r="AD663" t="s">
        <v>74</v>
      </c>
      <c r="AE663" t="s">
        <v>74</v>
      </c>
      <c r="AF663" t="s">
        <v>74</v>
      </c>
      <c r="AG663">
        <v>31</v>
      </c>
      <c r="AH663">
        <v>6</v>
      </c>
      <c r="AI663">
        <v>7</v>
      </c>
      <c r="AJ663">
        <v>1</v>
      </c>
      <c r="AK663">
        <v>12</v>
      </c>
      <c r="AL663" t="s">
        <v>91</v>
      </c>
      <c r="AM663" t="s">
        <v>92</v>
      </c>
      <c r="AN663" t="s">
        <v>93</v>
      </c>
      <c r="AO663" t="s">
        <v>13227</v>
      </c>
      <c r="AP663" t="s">
        <v>74</v>
      </c>
      <c r="AQ663" t="s">
        <v>74</v>
      </c>
      <c r="AR663" t="s">
        <v>13228</v>
      </c>
      <c r="AS663" t="s">
        <v>13229</v>
      </c>
      <c r="AT663" t="s">
        <v>206</v>
      </c>
      <c r="AU663">
        <v>2022</v>
      </c>
      <c r="AV663">
        <v>15</v>
      </c>
      <c r="AW663">
        <v>4</v>
      </c>
      <c r="AX663" t="s">
        <v>74</v>
      </c>
      <c r="AY663" t="s">
        <v>74</v>
      </c>
      <c r="AZ663" t="s">
        <v>74</v>
      </c>
      <c r="BA663" t="s">
        <v>74</v>
      </c>
      <c r="BB663" t="s">
        <v>74</v>
      </c>
      <c r="BC663" t="s">
        <v>74</v>
      </c>
      <c r="BD663" t="s">
        <v>13230</v>
      </c>
      <c r="BE663" t="s">
        <v>13231</v>
      </c>
      <c r="BF663" t="str">
        <f>HYPERLINK("http://dx.doi.org/10.1111/conl.12884","http://dx.doi.org/10.1111/conl.12884")</f>
        <v>http://dx.doi.org/10.1111/conl.12884</v>
      </c>
      <c r="BG663" t="s">
        <v>74</v>
      </c>
      <c r="BH663" t="s">
        <v>12992</v>
      </c>
      <c r="BI663">
        <v>8</v>
      </c>
      <c r="BJ663" t="s">
        <v>8038</v>
      </c>
      <c r="BK663" t="s">
        <v>101</v>
      </c>
      <c r="BL663" t="s">
        <v>8039</v>
      </c>
      <c r="BM663" t="s">
        <v>13232</v>
      </c>
      <c r="BN663" t="s">
        <v>74</v>
      </c>
      <c r="BO663" t="s">
        <v>295</v>
      </c>
      <c r="BP663" t="s">
        <v>74</v>
      </c>
      <c r="BQ663" t="s">
        <v>74</v>
      </c>
      <c r="BR663" t="s">
        <v>103</v>
      </c>
      <c r="BS663" t="s">
        <v>13233</v>
      </c>
      <c r="BT663" t="str">
        <f>HYPERLINK("https%3A%2F%2Fwww.webofscience.com%2Fwos%2Fwoscc%2Ffull-record%2FWOS:000776495200001","View Full Record in Web of Science")</f>
        <v>View Full Record in Web of Science</v>
      </c>
    </row>
    <row r="664" spans="1:72" x14ac:dyDescent="0.15">
      <c r="A664" t="s">
        <v>72</v>
      </c>
      <c r="B664" t="s">
        <v>13234</v>
      </c>
      <c r="C664" t="s">
        <v>74</v>
      </c>
      <c r="D664" t="s">
        <v>74</v>
      </c>
      <c r="E664" t="s">
        <v>74</v>
      </c>
      <c r="F664" t="s">
        <v>13235</v>
      </c>
      <c r="G664" t="s">
        <v>74</v>
      </c>
      <c r="H664" t="s">
        <v>74</v>
      </c>
      <c r="I664" t="s">
        <v>13236</v>
      </c>
      <c r="J664" t="s">
        <v>8588</v>
      </c>
      <c r="K664" t="s">
        <v>74</v>
      </c>
      <c r="L664" t="s">
        <v>74</v>
      </c>
      <c r="M664" t="s">
        <v>78</v>
      </c>
      <c r="N664" t="s">
        <v>79</v>
      </c>
      <c r="O664" t="s">
        <v>74</v>
      </c>
      <c r="P664" t="s">
        <v>74</v>
      </c>
      <c r="Q664" t="s">
        <v>74</v>
      </c>
      <c r="R664" t="s">
        <v>74</v>
      </c>
      <c r="S664" t="s">
        <v>74</v>
      </c>
      <c r="T664" t="s">
        <v>13237</v>
      </c>
      <c r="U664" t="s">
        <v>13238</v>
      </c>
      <c r="V664" t="s">
        <v>13239</v>
      </c>
      <c r="W664" t="s">
        <v>13240</v>
      </c>
      <c r="X664" t="s">
        <v>13241</v>
      </c>
      <c r="Y664" t="s">
        <v>13242</v>
      </c>
      <c r="Z664" t="s">
        <v>13243</v>
      </c>
      <c r="AA664" t="s">
        <v>13244</v>
      </c>
      <c r="AB664" t="s">
        <v>13245</v>
      </c>
      <c r="AC664" t="s">
        <v>13246</v>
      </c>
      <c r="AD664" t="s">
        <v>13247</v>
      </c>
      <c r="AE664" t="s">
        <v>13248</v>
      </c>
      <c r="AF664" t="s">
        <v>74</v>
      </c>
      <c r="AG664">
        <v>62</v>
      </c>
      <c r="AH664">
        <v>1</v>
      </c>
      <c r="AI664">
        <v>2</v>
      </c>
      <c r="AJ664">
        <v>2</v>
      </c>
      <c r="AK664">
        <v>15</v>
      </c>
      <c r="AL664" t="s">
        <v>633</v>
      </c>
      <c r="AM664" t="s">
        <v>200</v>
      </c>
      <c r="AN664" t="s">
        <v>634</v>
      </c>
      <c r="AO664" t="s">
        <v>8601</v>
      </c>
      <c r="AP664" t="s">
        <v>8602</v>
      </c>
      <c r="AQ664" t="s">
        <v>74</v>
      </c>
      <c r="AR664" t="s">
        <v>8603</v>
      </c>
      <c r="AS664" t="s">
        <v>8604</v>
      </c>
      <c r="AT664" t="s">
        <v>13046</v>
      </c>
      <c r="AU664">
        <v>2022</v>
      </c>
      <c r="AV664">
        <v>98</v>
      </c>
      <c r="AW664">
        <v>3</v>
      </c>
      <c r="AX664" t="s">
        <v>74</v>
      </c>
      <c r="AY664" t="s">
        <v>74</v>
      </c>
      <c r="AZ664" t="s">
        <v>74</v>
      </c>
      <c r="BA664" t="s">
        <v>74</v>
      </c>
      <c r="BB664" t="s">
        <v>74</v>
      </c>
      <c r="BC664" t="s">
        <v>74</v>
      </c>
      <c r="BD664" t="s">
        <v>13249</v>
      </c>
      <c r="BE664" t="s">
        <v>13250</v>
      </c>
      <c r="BF664" t="str">
        <f>HYPERLINK("http://dx.doi.org/10.1093/femsec/fiac030","http://dx.doi.org/10.1093/femsec/fiac030")</f>
        <v>http://dx.doi.org/10.1093/femsec/fiac030</v>
      </c>
      <c r="BG664" t="s">
        <v>74</v>
      </c>
      <c r="BH664" t="s">
        <v>74</v>
      </c>
      <c r="BI664">
        <v>10</v>
      </c>
      <c r="BJ664" t="s">
        <v>293</v>
      </c>
      <c r="BK664" t="s">
        <v>101</v>
      </c>
      <c r="BL664" t="s">
        <v>293</v>
      </c>
      <c r="BM664" t="s">
        <v>13251</v>
      </c>
      <c r="BN664">
        <v>35298630</v>
      </c>
      <c r="BO664" t="s">
        <v>6455</v>
      </c>
      <c r="BP664" t="s">
        <v>74</v>
      </c>
      <c r="BQ664" t="s">
        <v>74</v>
      </c>
      <c r="BR664" t="s">
        <v>103</v>
      </c>
      <c r="BS664" t="s">
        <v>13252</v>
      </c>
      <c r="BT664" t="str">
        <f>HYPERLINK("https%3A%2F%2Fwww.webofscience.com%2Fwos%2Fwoscc%2Ffull-record%2FWOS:000776289800001","View Full Record in Web of Science")</f>
        <v>View Full Record in Web of Science</v>
      </c>
    </row>
    <row r="665" spans="1:72" x14ac:dyDescent="0.15">
      <c r="A665" t="s">
        <v>72</v>
      </c>
      <c r="B665" t="s">
        <v>13253</v>
      </c>
      <c r="C665" t="s">
        <v>74</v>
      </c>
      <c r="D665" t="s">
        <v>74</v>
      </c>
      <c r="E665" t="s">
        <v>74</v>
      </c>
      <c r="F665" t="s">
        <v>13254</v>
      </c>
      <c r="G665" t="s">
        <v>74</v>
      </c>
      <c r="H665" t="s">
        <v>74</v>
      </c>
      <c r="I665" t="s">
        <v>13255</v>
      </c>
      <c r="J665" t="s">
        <v>13256</v>
      </c>
      <c r="K665" t="s">
        <v>74</v>
      </c>
      <c r="L665" t="s">
        <v>74</v>
      </c>
      <c r="M665" t="s">
        <v>78</v>
      </c>
      <c r="N665" t="s">
        <v>79</v>
      </c>
      <c r="O665" t="s">
        <v>74</v>
      </c>
      <c r="P665" t="s">
        <v>74</v>
      </c>
      <c r="Q665" t="s">
        <v>74</v>
      </c>
      <c r="R665" t="s">
        <v>74</v>
      </c>
      <c r="S665" t="s">
        <v>74</v>
      </c>
      <c r="T665" t="s">
        <v>74</v>
      </c>
      <c r="U665" t="s">
        <v>13257</v>
      </c>
      <c r="V665" t="s">
        <v>13258</v>
      </c>
      <c r="W665" t="s">
        <v>13259</v>
      </c>
      <c r="X665" t="s">
        <v>13260</v>
      </c>
      <c r="Y665" t="s">
        <v>13261</v>
      </c>
      <c r="Z665" t="s">
        <v>13262</v>
      </c>
      <c r="AA665" t="s">
        <v>13263</v>
      </c>
      <c r="AB665" t="s">
        <v>13264</v>
      </c>
      <c r="AC665" t="s">
        <v>13265</v>
      </c>
      <c r="AD665" t="s">
        <v>13266</v>
      </c>
      <c r="AE665" t="s">
        <v>13267</v>
      </c>
      <c r="AF665" t="s">
        <v>74</v>
      </c>
      <c r="AG665">
        <v>132</v>
      </c>
      <c r="AH665">
        <v>4</v>
      </c>
      <c r="AI665">
        <v>4</v>
      </c>
      <c r="AJ665">
        <v>2</v>
      </c>
      <c r="AK665">
        <v>34</v>
      </c>
      <c r="AL665" t="s">
        <v>91</v>
      </c>
      <c r="AM665" t="s">
        <v>92</v>
      </c>
      <c r="AN665" t="s">
        <v>93</v>
      </c>
      <c r="AO665" t="s">
        <v>13268</v>
      </c>
      <c r="AP665" t="s">
        <v>13269</v>
      </c>
      <c r="AQ665" t="s">
        <v>74</v>
      </c>
      <c r="AR665" t="s">
        <v>13270</v>
      </c>
      <c r="AS665" t="s">
        <v>13271</v>
      </c>
      <c r="AT665" t="s">
        <v>537</v>
      </c>
      <c r="AU665">
        <v>2022</v>
      </c>
      <c r="AV665">
        <v>67</v>
      </c>
      <c r="AW665">
        <v>6</v>
      </c>
      <c r="AX665" t="s">
        <v>74</v>
      </c>
      <c r="AY665" t="s">
        <v>74</v>
      </c>
      <c r="AZ665" t="s">
        <v>74</v>
      </c>
      <c r="BA665" t="s">
        <v>74</v>
      </c>
      <c r="BB665">
        <v>1238</v>
      </c>
      <c r="BC665">
        <v>1256</v>
      </c>
      <c r="BD665" t="s">
        <v>74</v>
      </c>
      <c r="BE665" t="s">
        <v>13272</v>
      </c>
      <c r="BF665" t="str">
        <f>HYPERLINK("http://dx.doi.org/10.1002/lno.12073","http://dx.doi.org/10.1002/lno.12073")</f>
        <v>http://dx.doi.org/10.1002/lno.12073</v>
      </c>
      <c r="BG665" t="s">
        <v>74</v>
      </c>
      <c r="BH665" t="s">
        <v>12992</v>
      </c>
      <c r="BI665">
        <v>19</v>
      </c>
      <c r="BJ665" t="s">
        <v>8183</v>
      </c>
      <c r="BK665" t="s">
        <v>101</v>
      </c>
      <c r="BL665" t="s">
        <v>641</v>
      </c>
      <c r="BM665" t="s">
        <v>13273</v>
      </c>
      <c r="BN665" t="s">
        <v>74</v>
      </c>
      <c r="BO665" t="s">
        <v>590</v>
      </c>
      <c r="BP665" t="s">
        <v>74</v>
      </c>
      <c r="BQ665" t="s">
        <v>74</v>
      </c>
      <c r="BR665" t="s">
        <v>103</v>
      </c>
      <c r="BS665" t="s">
        <v>13274</v>
      </c>
      <c r="BT665" t="str">
        <f>HYPERLINK("https%3A%2F%2Fwww.webofscience.com%2Fwos%2Fwoscc%2Ffull-record%2FWOS:000776829100001","View Full Record in Web of Science")</f>
        <v>View Full Record in Web of Science</v>
      </c>
    </row>
    <row r="666" spans="1:72" x14ac:dyDescent="0.15">
      <c r="A666" t="s">
        <v>72</v>
      </c>
      <c r="B666" t="s">
        <v>13275</v>
      </c>
      <c r="C666" t="s">
        <v>74</v>
      </c>
      <c r="D666" t="s">
        <v>74</v>
      </c>
      <c r="E666" t="s">
        <v>74</v>
      </c>
      <c r="F666" t="s">
        <v>13276</v>
      </c>
      <c r="G666" t="s">
        <v>74</v>
      </c>
      <c r="H666" t="s">
        <v>74</v>
      </c>
      <c r="I666" t="s">
        <v>13277</v>
      </c>
      <c r="J666" t="s">
        <v>13278</v>
      </c>
      <c r="K666" t="s">
        <v>74</v>
      </c>
      <c r="L666" t="s">
        <v>74</v>
      </c>
      <c r="M666" t="s">
        <v>78</v>
      </c>
      <c r="N666" t="s">
        <v>79</v>
      </c>
      <c r="O666" t="s">
        <v>74</v>
      </c>
      <c r="P666" t="s">
        <v>74</v>
      </c>
      <c r="Q666" t="s">
        <v>74</v>
      </c>
      <c r="R666" t="s">
        <v>74</v>
      </c>
      <c r="S666" t="s">
        <v>74</v>
      </c>
      <c r="T666" t="s">
        <v>13279</v>
      </c>
      <c r="U666" t="s">
        <v>13280</v>
      </c>
      <c r="V666" t="s">
        <v>13281</v>
      </c>
      <c r="W666" t="s">
        <v>13282</v>
      </c>
      <c r="X666" t="s">
        <v>13283</v>
      </c>
      <c r="Y666" t="s">
        <v>13284</v>
      </c>
      <c r="Z666" t="s">
        <v>5292</v>
      </c>
      <c r="AA666" t="s">
        <v>13285</v>
      </c>
      <c r="AB666" t="s">
        <v>13286</v>
      </c>
      <c r="AC666" t="s">
        <v>13287</v>
      </c>
      <c r="AD666" t="s">
        <v>13288</v>
      </c>
      <c r="AE666" t="s">
        <v>13289</v>
      </c>
      <c r="AF666" t="s">
        <v>74</v>
      </c>
      <c r="AG666">
        <v>90</v>
      </c>
      <c r="AH666">
        <v>6</v>
      </c>
      <c r="AI666">
        <v>6</v>
      </c>
      <c r="AJ666">
        <v>1</v>
      </c>
      <c r="AK666">
        <v>2</v>
      </c>
      <c r="AL666" t="s">
        <v>13290</v>
      </c>
      <c r="AM666" t="s">
        <v>13291</v>
      </c>
      <c r="AN666" t="s">
        <v>13292</v>
      </c>
      <c r="AO666" t="s">
        <v>13293</v>
      </c>
      <c r="AP666" t="s">
        <v>13294</v>
      </c>
      <c r="AQ666" t="s">
        <v>74</v>
      </c>
      <c r="AR666" t="s">
        <v>13295</v>
      </c>
      <c r="AS666" t="s">
        <v>13296</v>
      </c>
      <c r="AT666" t="s">
        <v>13297</v>
      </c>
      <c r="AU666">
        <v>2022</v>
      </c>
      <c r="AV666">
        <v>155</v>
      </c>
      <c r="AW666">
        <v>1</v>
      </c>
      <c r="AX666" t="s">
        <v>74</v>
      </c>
      <c r="AY666" t="s">
        <v>74</v>
      </c>
      <c r="AZ666" t="s">
        <v>74</v>
      </c>
      <c r="BA666" t="s">
        <v>74</v>
      </c>
      <c r="BB666">
        <v>70</v>
      </c>
      <c r="BC666">
        <v>106</v>
      </c>
      <c r="BD666" t="s">
        <v>74</v>
      </c>
      <c r="BE666" t="s">
        <v>13298</v>
      </c>
      <c r="BF666" t="str">
        <f>HYPERLINK("http://dx.doi.org/10.5091/plecevo.84534","http://dx.doi.org/10.5091/plecevo.84534")</f>
        <v>http://dx.doi.org/10.5091/plecevo.84534</v>
      </c>
      <c r="BG666" t="s">
        <v>74</v>
      </c>
      <c r="BH666" t="s">
        <v>74</v>
      </c>
      <c r="BI666">
        <v>37</v>
      </c>
      <c r="BJ666" t="s">
        <v>1649</v>
      </c>
      <c r="BK666" t="s">
        <v>101</v>
      </c>
      <c r="BL666" t="s">
        <v>1649</v>
      </c>
      <c r="BM666" t="s">
        <v>13299</v>
      </c>
      <c r="BN666" t="s">
        <v>74</v>
      </c>
      <c r="BO666" t="s">
        <v>1533</v>
      </c>
      <c r="BP666" t="s">
        <v>74</v>
      </c>
      <c r="BQ666" t="s">
        <v>74</v>
      </c>
      <c r="BR666" t="s">
        <v>103</v>
      </c>
      <c r="BS666" t="s">
        <v>13300</v>
      </c>
      <c r="BT666" t="str">
        <f>HYPERLINK("https%3A%2F%2Fwww.webofscience.com%2Fwos%2Fwoscc%2Ffull-record%2FWOS:000925044400006","View Full Record in Web of Science")</f>
        <v>View Full Record in Web of Science</v>
      </c>
    </row>
    <row r="667" spans="1:72" x14ac:dyDescent="0.15">
      <c r="A667" t="s">
        <v>72</v>
      </c>
      <c r="B667" t="s">
        <v>13301</v>
      </c>
      <c r="C667" t="s">
        <v>74</v>
      </c>
      <c r="D667" t="s">
        <v>74</v>
      </c>
      <c r="E667" t="s">
        <v>74</v>
      </c>
      <c r="F667" t="s">
        <v>13302</v>
      </c>
      <c r="G667" t="s">
        <v>74</v>
      </c>
      <c r="H667" t="s">
        <v>74</v>
      </c>
      <c r="I667" t="s">
        <v>13303</v>
      </c>
      <c r="J667" t="s">
        <v>13278</v>
      </c>
      <c r="K667" t="s">
        <v>74</v>
      </c>
      <c r="L667" t="s">
        <v>74</v>
      </c>
      <c r="M667" t="s">
        <v>78</v>
      </c>
      <c r="N667" t="s">
        <v>79</v>
      </c>
      <c r="O667" t="s">
        <v>74</v>
      </c>
      <c r="P667" t="s">
        <v>74</v>
      </c>
      <c r="Q667" t="s">
        <v>74</v>
      </c>
      <c r="R667" t="s">
        <v>74</v>
      </c>
      <c r="S667" t="s">
        <v>74</v>
      </c>
      <c r="T667" t="s">
        <v>13304</v>
      </c>
      <c r="U667" t="s">
        <v>13305</v>
      </c>
      <c r="V667" t="s">
        <v>13306</v>
      </c>
      <c r="W667" t="s">
        <v>13307</v>
      </c>
      <c r="X667" t="s">
        <v>13308</v>
      </c>
      <c r="Y667" t="s">
        <v>13309</v>
      </c>
      <c r="Z667" t="s">
        <v>13310</v>
      </c>
      <c r="AA667" t="s">
        <v>74</v>
      </c>
      <c r="AB667" t="s">
        <v>13311</v>
      </c>
      <c r="AC667" t="s">
        <v>74</v>
      </c>
      <c r="AD667" t="s">
        <v>74</v>
      </c>
      <c r="AE667" t="s">
        <v>74</v>
      </c>
      <c r="AF667" t="s">
        <v>74</v>
      </c>
      <c r="AG667">
        <v>98</v>
      </c>
      <c r="AH667">
        <v>0</v>
      </c>
      <c r="AI667">
        <v>0</v>
      </c>
      <c r="AJ667">
        <v>0</v>
      </c>
      <c r="AK667">
        <v>2</v>
      </c>
      <c r="AL667" t="s">
        <v>13290</v>
      </c>
      <c r="AM667" t="s">
        <v>13291</v>
      </c>
      <c r="AN667" t="s">
        <v>13292</v>
      </c>
      <c r="AO667" t="s">
        <v>13293</v>
      </c>
      <c r="AP667" t="s">
        <v>13294</v>
      </c>
      <c r="AQ667" t="s">
        <v>74</v>
      </c>
      <c r="AR667" t="s">
        <v>13295</v>
      </c>
      <c r="AS667" t="s">
        <v>13296</v>
      </c>
      <c r="AT667" t="s">
        <v>13297</v>
      </c>
      <c r="AU667">
        <v>2022</v>
      </c>
      <c r="AV667">
        <v>155</v>
      </c>
      <c r="AW667">
        <v>1</v>
      </c>
      <c r="AX667" t="s">
        <v>74</v>
      </c>
      <c r="AY667" t="s">
        <v>74</v>
      </c>
      <c r="AZ667" t="s">
        <v>74</v>
      </c>
      <c r="BA667" t="s">
        <v>74</v>
      </c>
      <c r="BB667">
        <v>107</v>
      </c>
      <c r="BC667">
        <v>122</v>
      </c>
      <c r="BD667" t="s">
        <v>74</v>
      </c>
      <c r="BE667" t="s">
        <v>13312</v>
      </c>
      <c r="BF667" t="str">
        <f>HYPERLINK("http://dx.doi.org/10.5091/plecevo.84543","http://dx.doi.org/10.5091/plecevo.84543")</f>
        <v>http://dx.doi.org/10.5091/plecevo.84543</v>
      </c>
      <c r="BG667" t="s">
        <v>74</v>
      </c>
      <c r="BH667" t="s">
        <v>74</v>
      </c>
      <c r="BI667">
        <v>16</v>
      </c>
      <c r="BJ667" t="s">
        <v>1649</v>
      </c>
      <c r="BK667" t="s">
        <v>101</v>
      </c>
      <c r="BL667" t="s">
        <v>1649</v>
      </c>
      <c r="BM667" t="s">
        <v>13299</v>
      </c>
      <c r="BN667" t="s">
        <v>74</v>
      </c>
      <c r="BO667" t="s">
        <v>295</v>
      </c>
      <c r="BP667" t="s">
        <v>74</v>
      </c>
      <c r="BQ667" t="s">
        <v>74</v>
      </c>
      <c r="BR667" t="s">
        <v>103</v>
      </c>
      <c r="BS667" t="s">
        <v>13313</v>
      </c>
      <c r="BT667" t="str">
        <f>HYPERLINK("https%3A%2F%2Fwww.webofscience.com%2Fwos%2Fwoscc%2Ffull-record%2FWOS:000925044400007","View Full Record in Web of Science")</f>
        <v>View Full Record in Web of Science</v>
      </c>
    </row>
    <row r="668" spans="1:72" x14ac:dyDescent="0.15">
      <c r="A668" t="s">
        <v>72</v>
      </c>
      <c r="B668" t="s">
        <v>13314</v>
      </c>
      <c r="C668" t="s">
        <v>74</v>
      </c>
      <c r="D668" t="s">
        <v>74</v>
      </c>
      <c r="E668" t="s">
        <v>74</v>
      </c>
      <c r="F668" t="s">
        <v>13315</v>
      </c>
      <c r="G668" t="s">
        <v>74</v>
      </c>
      <c r="H668" t="s">
        <v>74</v>
      </c>
      <c r="I668" t="s">
        <v>13316</v>
      </c>
      <c r="J668" t="s">
        <v>13317</v>
      </c>
      <c r="K668" t="s">
        <v>74</v>
      </c>
      <c r="L668" t="s">
        <v>74</v>
      </c>
      <c r="M668" t="s">
        <v>78</v>
      </c>
      <c r="N668" t="s">
        <v>79</v>
      </c>
      <c r="O668" t="s">
        <v>74</v>
      </c>
      <c r="P668" t="s">
        <v>74</v>
      </c>
      <c r="Q668" t="s">
        <v>74</v>
      </c>
      <c r="R668" t="s">
        <v>74</v>
      </c>
      <c r="S668" t="s">
        <v>74</v>
      </c>
      <c r="T668" t="s">
        <v>13318</v>
      </c>
      <c r="U668" t="s">
        <v>74</v>
      </c>
      <c r="V668" t="s">
        <v>13319</v>
      </c>
      <c r="W668" t="s">
        <v>13320</v>
      </c>
      <c r="X668" t="s">
        <v>13321</v>
      </c>
      <c r="Y668" t="s">
        <v>13322</v>
      </c>
      <c r="Z668" t="s">
        <v>13323</v>
      </c>
      <c r="AA668" t="s">
        <v>74</v>
      </c>
      <c r="AB668" t="s">
        <v>13324</v>
      </c>
      <c r="AC668" t="s">
        <v>74</v>
      </c>
      <c r="AD668" t="s">
        <v>74</v>
      </c>
      <c r="AE668" t="s">
        <v>74</v>
      </c>
      <c r="AF668" t="s">
        <v>74</v>
      </c>
      <c r="AG668">
        <v>0</v>
      </c>
      <c r="AH668">
        <v>1</v>
      </c>
      <c r="AI668">
        <v>1</v>
      </c>
      <c r="AJ668">
        <v>1</v>
      </c>
      <c r="AK668">
        <v>3</v>
      </c>
      <c r="AL668" t="s">
        <v>580</v>
      </c>
      <c r="AM668" t="s">
        <v>401</v>
      </c>
      <c r="AN668" t="s">
        <v>581</v>
      </c>
      <c r="AO668" t="s">
        <v>13325</v>
      </c>
      <c r="AP668" t="s">
        <v>13326</v>
      </c>
      <c r="AQ668" t="s">
        <v>74</v>
      </c>
      <c r="AR668" t="s">
        <v>13327</v>
      </c>
      <c r="AS668" t="s">
        <v>13328</v>
      </c>
      <c r="AT668" t="s">
        <v>13329</v>
      </c>
      <c r="AU668">
        <v>2022</v>
      </c>
      <c r="AV668">
        <v>76</v>
      </c>
      <c r="AW668">
        <v>3</v>
      </c>
      <c r="AX668" t="s">
        <v>74</v>
      </c>
      <c r="AY668" t="s">
        <v>74</v>
      </c>
      <c r="AZ668" t="s">
        <v>74</v>
      </c>
      <c r="BA668" t="s">
        <v>74</v>
      </c>
      <c r="BB668">
        <v>565</v>
      </c>
      <c r="BC668">
        <v>592</v>
      </c>
      <c r="BD668" t="s">
        <v>74</v>
      </c>
      <c r="BE668" t="s">
        <v>13330</v>
      </c>
      <c r="BF668" t="str">
        <f>HYPERLINK("http://dx.doi.org/10.1098/rsnr.2022.0002","http://dx.doi.org/10.1098/rsnr.2022.0002")</f>
        <v>http://dx.doi.org/10.1098/rsnr.2022.0002</v>
      </c>
      <c r="BG668" t="s">
        <v>74</v>
      </c>
      <c r="BH668" t="s">
        <v>12992</v>
      </c>
      <c r="BI668">
        <v>28</v>
      </c>
      <c r="BJ668" t="s">
        <v>1241</v>
      </c>
      <c r="BK668" t="s">
        <v>9688</v>
      </c>
      <c r="BL668" t="s">
        <v>1243</v>
      </c>
      <c r="BM668" t="s">
        <v>13331</v>
      </c>
      <c r="BN668" t="s">
        <v>74</v>
      </c>
      <c r="BO668" t="s">
        <v>643</v>
      </c>
      <c r="BP668" t="s">
        <v>74</v>
      </c>
      <c r="BQ668" t="s">
        <v>74</v>
      </c>
      <c r="BR668" t="s">
        <v>103</v>
      </c>
      <c r="BS668" t="s">
        <v>13332</v>
      </c>
      <c r="BT668" t="str">
        <f>HYPERLINK("https%3A%2F%2Fwww.webofscience.com%2Fwos%2Fwoscc%2Ffull-record%2FWOS:000783932200001","View Full Record in Web of Science")</f>
        <v>View Full Record in Web of Science</v>
      </c>
    </row>
    <row r="669" spans="1:72" x14ac:dyDescent="0.15">
      <c r="A669" t="s">
        <v>72</v>
      </c>
      <c r="B669" t="s">
        <v>13333</v>
      </c>
      <c r="C669" t="s">
        <v>74</v>
      </c>
      <c r="D669" t="s">
        <v>74</v>
      </c>
      <c r="E669" t="s">
        <v>74</v>
      </c>
      <c r="F669" t="s">
        <v>13334</v>
      </c>
      <c r="G669" t="s">
        <v>74</v>
      </c>
      <c r="H669" t="s">
        <v>74</v>
      </c>
      <c r="I669" t="s">
        <v>13335</v>
      </c>
      <c r="J669" t="s">
        <v>13336</v>
      </c>
      <c r="K669" t="s">
        <v>74</v>
      </c>
      <c r="L669" t="s">
        <v>74</v>
      </c>
      <c r="M669" t="s">
        <v>78</v>
      </c>
      <c r="N669" t="s">
        <v>79</v>
      </c>
      <c r="O669" t="s">
        <v>74</v>
      </c>
      <c r="P669" t="s">
        <v>74</v>
      </c>
      <c r="Q669" t="s">
        <v>74</v>
      </c>
      <c r="R669" t="s">
        <v>74</v>
      </c>
      <c r="S669" t="s">
        <v>74</v>
      </c>
      <c r="T669" t="s">
        <v>13337</v>
      </c>
      <c r="U669" t="s">
        <v>13338</v>
      </c>
      <c r="V669" t="s">
        <v>13339</v>
      </c>
      <c r="W669" t="s">
        <v>13340</v>
      </c>
      <c r="X669" t="s">
        <v>6215</v>
      </c>
      <c r="Y669" t="s">
        <v>13341</v>
      </c>
      <c r="Z669" t="s">
        <v>13342</v>
      </c>
      <c r="AA669" t="s">
        <v>13343</v>
      </c>
      <c r="AB669" t="s">
        <v>13344</v>
      </c>
      <c r="AC669" t="s">
        <v>13345</v>
      </c>
      <c r="AD669" t="s">
        <v>13346</v>
      </c>
      <c r="AE669" t="s">
        <v>13347</v>
      </c>
      <c r="AF669" t="s">
        <v>74</v>
      </c>
      <c r="AG669">
        <v>97</v>
      </c>
      <c r="AH669">
        <v>3</v>
      </c>
      <c r="AI669">
        <v>4</v>
      </c>
      <c r="AJ669">
        <v>2</v>
      </c>
      <c r="AK669">
        <v>9</v>
      </c>
      <c r="AL669" t="s">
        <v>530</v>
      </c>
      <c r="AM669" t="s">
        <v>1121</v>
      </c>
      <c r="AN669" t="s">
        <v>1122</v>
      </c>
      <c r="AO669" t="s">
        <v>13348</v>
      </c>
      <c r="AP669" t="s">
        <v>13349</v>
      </c>
      <c r="AQ669" t="s">
        <v>74</v>
      </c>
      <c r="AR669" t="s">
        <v>13350</v>
      </c>
      <c r="AS669" t="s">
        <v>13351</v>
      </c>
      <c r="AT669" t="s">
        <v>8316</v>
      </c>
      <c r="AU669">
        <v>2022</v>
      </c>
      <c r="AV669">
        <v>48</v>
      </c>
      <c r="AW669">
        <v>4</v>
      </c>
      <c r="AX669" t="s">
        <v>74</v>
      </c>
      <c r="AY669" t="s">
        <v>74</v>
      </c>
      <c r="AZ669" t="s">
        <v>74</v>
      </c>
      <c r="BA669" t="s">
        <v>74</v>
      </c>
      <c r="BB669">
        <v>416</v>
      </c>
      <c r="BC669">
        <v>430</v>
      </c>
      <c r="BD669" t="s">
        <v>74</v>
      </c>
      <c r="BE669" t="s">
        <v>13352</v>
      </c>
      <c r="BF669" t="str">
        <f>HYPERLINK("http://dx.doi.org/10.1007/s10886-022-01358-2","http://dx.doi.org/10.1007/s10886-022-01358-2")</f>
        <v>http://dx.doi.org/10.1007/s10886-022-01358-2</v>
      </c>
      <c r="BG669" t="s">
        <v>74</v>
      </c>
      <c r="BH669" t="s">
        <v>12992</v>
      </c>
      <c r="BI669">
        <v>15</v>
      </c>
      <c r="BJ669" t="s">
        <v>13353</v>
      </c>
      <c r="BK669" t="s">
        <v>101</v>
      </c>
      <c r="BL669" t="s">
        <v>9176</v>
      </c>
      <c r="BM669" t="s">
        <v>13354</v>
      </c>
      <c r="BN669">
        <v>35353298</v>
      </c>
      <c r="BO669" t="s">
        <v>74</v>
      </c>
      <c r="BP669" t="s">
        <v>74</v>
      </c>
      <c r="BQ669" t="s">
        <v>74</v>
      </c>
      <c r="BR669" t="s">
        <v>103</v>
      </c>
      <c r="BS669" t="s">
        <v>13355</v>
      </c>
      <c r="BT669" t="str">
        <f>HYPERLINK("https%3A%2F%2Fwww.webofscience.com%2Fwos%2Fwoscc%2Ffull-record%2FWOS:000775737700001","View Full Record in Web of Science")</f>
        <v>View Full Record in Web of Science</v>
      </c>
    </row>
    <row r="670" spans="1:72" x14ac:dyDescent="0.15">
      <c r="A670" t="s">
        <v>72</v>
      </c>
      <c r="B670" t="s">
        <v>13356</v>
      </c>
      <c r="C670" t="s">
        <v>74</v>
      </c>
      <c r="D670" t="s">
        <v>74</v>
      </c>
      <c r="E670" t="s">
        <v>74</v>
      </c>
      <c r="F670" t="s">
        <v>13357</v>
      </c>
      <c r="G670" t="s">
        <v>74</v>
      </c>
      <c r="H670" t="s">
        <v>74</v>
      </c>
      <c r="I670" t="s">
        <v>13358</v>
      </c>
      <c r="J670" t="s">
        <v>13359</v>
      </c>
      <c r="K670" t="s">
        <v>74</v>
      </c>
      <c r="L670" t="s">
        <v>74</v>
      </c>
      <c r="M670" t="s">
        <v>78</v>
      </c>
      <c r="N670" t="s">
        <v>79</v>
      </c>
      <c r="O670" t="s">
        <v>74</v>
      </c>
      <c r="P670" t="s">
        <v>74</v>
      </c>
      <c r="Q670" t="s">
        <v>74</v>
      </c>
      <c r="R670" t="s">
        <v>74</v>
      </c>
      <c r="S670" t="s">
        <v>74</v>
      </c>
      <c r="T670" t="s">
        <v>13360</v>
      </c>
      <c r="U670" t="s">
        <v>13361</v>
      </c>
      <c r="V670" t="s">
        <v>13362</v>
      </c>
      <c r="W670" t="s">
        <v>13363</v>
      </c>
      <c r="X670" t="s">
        <v>13364</v>
      </c>
      <c r="Y670" t="s">
        <v>13365</v>
      </c>
      <c r="Z670" t="s">
        <v>13366</v>
      </c>
      <c r="AA670" t="s">
        <v>13367</v>
      </c>
      <c r="AB670" t="s">
        <v>13368</v>
      </c>
      <c r="AC670" t="s">
        <v>13369</v>
      </c>
      <c r="AD670" t="s">
        <v>13370</v>
      </c>
      <c r="AE670" t="s">
        <v>13371</v>
      </c>
      <c r="AF670" t="s">
        <v>74</v>
      </c>
      <c r="AG670">
        <v>52</v>
      </c>
      <c r="AH670">
        <v>5</v>
      </c>
      <c r="AI670">
        <v>5</v>
      </c>
      <c r="AJ670">
        <v>1</v>
      </c>
      <c r="AK670">
        <v>5</v>
      </c>
      <c r="AL670" t="s">
        <v>580</v>
      </c>
      <c r="AM670" t="s">
        <v>401</v>
      </c>
      <c r="AN670" t="s">
        <v>581</v>
      </c>
      <c r="AO670" t="s">
        <v>13372</v>
      </c>
      <c r="AP670" t="s">
        <v>13373</v>
      </c>
      <c r="AQ670" t="s">
        <v>74</v>
      </c>
      <c r="AR670" t="s">
        <v>13374</v>
      </c>
      <c r="AS670" t="s">
        <v>13375</v>
      </c>
      <c r="AT670" t="s">
        <v>13297</v>
      </c>
      <c r="AU670">
        <v>2022</v>
      </c>
      <c r="AV670">
        <v>478</v>
      </c>
      <c r="AW670">
        <v>2259</v>
      </c>
      <c r="AX670" t="s">
        <v>74</v>
      </c>
      <c r="AY670" t="s">
        <v>74</v>
      </c>
      <c r="AZ670" t="s">
        <v>74</v>
      </c>
      <c r="BA670" t="s">
        <v>74</v>
      </c>
      <c r="BB670" t="s">
        <v>74</v>
      </c>
      <c r="BC670" t="s">
        <v>74</v>
      </c>
      <c r="BD670">
        <v>20210846</v>
      </c>
      <c r="BE670" t="s">
        <v>13376</v>
      </c>
      <c r="BF670" t="str">
        <f>HYPERLINK("http://dx.doi.org/10.1098/rspa.2021.0846","http://dx.doi.org/10.1098/rspa.2021.0846")</f>
        <v>http://dx.doi.org/10.1098/rspa.2021.0846</v>
      </c>
      <c r="BG670" t="s">
        <v>74</v>
      </c>
      <c r="BH670" t="s">
        <v>74</v>
      </c>
      <c r="BI670">
        <v>28</v>
      </c>
      <c r="BJ670" t="s">
        <v>657</v>
      </c>
      <c r="BK670" t="s">
        <v>101</v>
      </c>
      <c r="BL670" t="s">
        <v>658</v>
      </c>
      <c r="BM670" t="s">
        <v>13377</v>
      </c>
      <c r="BN670" t="s">
        <v>74</v>
      </c>
      <c r="BO670" t="s">
        <v>8160</v>
      </c>
      <c r="BP670" t="s">
        <v>74</v>
      </c>
      <c r="BQ670" t="s">
        <v>74</v>
      </c>
      <c r="BR670" t="s">
        <v>103</v>
      </c>
      <c r="BS670" t="s">
        <v>13378</v>
      </c>
      <c r="BT670" t="str">
        <f>HYPERLINK("https%3A%2F%2Fwww.webofscience.com%2Fwos%2Fwoscc%2Ffull-record%2FWOS:000766105300002","View Full Record in Web of Science")</f>
        <v>View Full Record in Web of Science</v>
      </c>
    </row>
    <row r="671" spans="1:72" x14ac:dyDescent="0.15">
      <c r="A671" t="s">
        <v>72</v>
      </c>
      <c r="B671" t="s">
        <v>13379</v>
      </c>
      <c r="C671" t="s">
        <v>74</v>
      </c>
      <c r="D671" t="s">
        <v>74</v>
      </c>
      <c r="E671" t="s">
        <v>74</v>
      </c>
      <c r="F671" t="s">
        <v>13380</v>
      </c>
      <c r="G671" t="s">
        <v>74</v>
      </c>
      <c r="H671" t="s">
        <v>74</v>
      </c>
      <c r="I671" t="s">
        <v>13381</v>
      </c>
      <c r="J671" t="s">
        <v>1060</v>
      </c>
      <c r="K671" t="s">
        <v>74</v>
      </c>
      <c r="L671" t="s">
        <v>74</v>
      </c>
      <c r="M671" t="s">
        <v>78</v>
      </c>
      <c r="N671" t="s">
        <v>79</v>
      </c>
      <c r="O671" t="s">
        <v>74</v>
      </c>
      <c r="P671" t="s">
        <v>74</v>
      </c>
      <c r="Q671" t="s">
        <v>74</v>
      </c>
      <c r="R671" t="s">
        <v>74</v>
      </c>
      <c r="S671" t="s">
        <v>74</v>
      </c>
      <c r="T671" t="s">
        <v>13382</v>
      </c>
      <c r="U671" t="s">
        <v>13383</v>
      </c>
      <c r="V671" t="s">
        <v>13384</v>
      </c>
      <c r="W671" t="s">
        <v>13385</v>
      </c>
      <c r="X671" t="s">
        <v>13386</v>
      </c>
      <c r="Y671" t="s">
        <v>13387</v>
      </c>
      <c r="Z671" t="s">
        <v>13388</v>
      </c>
      <c r="AA671" t="s">
        <v>13389</v>
      </c>
      <c r="AB671" t="s">
        <v>13390</v>
      </c>
      <c r="AC671" t="s">
        <v>13391</v>
      </c>
      <c r="AD671" t="s">
        <v>13391</v>
      </c>
      <c r="AE671" t="s">
        <v>13392</v>
      </c>
      <c r="AF671" t="s">
        <v>74</v>
      </c>
      <c r="AG671">
        <v>40</v>
      </c>
      <c r="AH671">
        <v>0</v>
      </c>
      <c r="AI671">
        <v>0</v>
      </c>
      <c r="AJ671">
        <v>3</v>
      </c>
      <c r="AK671">
        <v>6</v>
      </c>
      <c r="AL671" t="s">
        <v>257</v>
      </c>
      <c r="AM671" t="s">
        <v>258</v>
      </c>
      <c r="AN671" t="s">
        <v>259</v>
      </c>
      <c r="AO671" t="s">
        <v>1073</v>
      </c>
      <c r="AP671" t="s">
        <v>1074</v>
      </c>
      <c r="AQ671" t="s">
        <v>74</v>
      </c>
      <c r="AR671" t="s">
        <v>1075</v>
      </c>
      <c r="AS671" t="s">
        <v>1076</v>
      </c>
      <c r="AT671" t="s">
        <v>4826</v>
      </c>
      <c r="AU671">
        <v>2022</v>
      </c>
      <c r="AV671">
        <v>594</v>
      </c>
      <c r="AW671" t="s">
        <v>74</v>
      </c>
      <c r="AX671" t="s">
        <v>74</v>
      </c>
      <c r="AY671" t="s">
        <v>74</v>
      </c>
      <c r="AZ671" t="s">
        <v>74</v>
      </c>
      <c r="BA671" t="s">
        <v>74</v>
      </c>
      <c r="BB671" t="s">
        <v>74</v>
      </c>
      <c r="BC671" t="s">
        <v>74</v>
      </c>
      <c r="BD671">
        <v>110958</v>
      </c>
      <c r="BE671" t="s">
        <v>13393</v>
      </c>
      <c r="BF671" t="str">
        <f>HYPERLINK("http://dx.doi.org/10.1016/j.palaeo.2022.110958","http://dx.doi.org/10.1016/j.palaeo.2022.110958")</f>
        <v>http://dx.doi.org/10.1016/j.palaeo.2022.110958</v>
      </c>
      <c r="BG671" t="s">
        <v>74</v>
      </c>
      <c r="BH671" t="s">
        <v>12992</v>
      </c>
      <c r="BI671">
        <v>11</v>
      </c>
      <c r="BJ671" t="s">
        <v>1079</v>
      </c>
      <c r="BK671" t="s">
        <v>101</v>
      </c>
      <c r="BL671" t="s">
        <v>1080</v>
      </c>
      <c r="BM671" t="s">
        <v>13010</v>
      </c>
      <c r="BN671" t="s">
        <v>74</v>
      </c>
      <c r="BO671" t="s">
        <v>74</v>
      </c>
      <c r="BP671" t="s">
        <v>74</v>
      </c>
      <c r="BQ671" t="s">
        <v>74</v>
      </c>
      <c r="BR671" t="s">
        <v>103</v>
      </c>
      <c r="BS671" t="s">
        <v>13394</v>
      </c>
      <c r="BT671" t="str">
        <f>HYPERLINK("https%3A%2F%2Fwww.webofscience.com%2Fwos%2Fwoscc%2Ffull-record%2FWOS:000806350900001","View Full Record in Web of Science")</f>
        <v>View Full Record in Web of Science</v>
      </c>
    </row>
    <row r="672" spans="1:72" x14ac:dyDescent="0.15">
      <c r="A672" t="s">
        <v>72</v>
      </c>
      <c r="B672" t="s">
        <v>13395</v>
      </c>
      <c r="C672" t="s">
        <v>74</v>
      </c>
      <c r="D672" t="s">
        <v>74</v>
      </c>
      <c r="E672" t="s">
        <v>74</v>
      </c>
      <c r="F672" t="s">
        <v>13396</v>
      </c>
      <c r="G672" t="s">
        <v>74</v>
      </c>
      <c r="H672" t="s">
        <v>74</v>
      </c>
      <c r="I672" t="s">
        <v>13397</v>
      </c>
      <c r="J672" t="s">
        <v>3573</v>
      </c>
      <c r="K672" t="s">
        <v>74</v>
      </c>
      <c r="L672" t="s">
        <v>74</v>
      </c>
      <c r="M672" t="s">
        <v>78</v>
      </c>
      <c r="N672" t="s">
        <v>79</v>
      </c>
      <c r="O672" t="s">
        <v>74</v>
      </c>
      <c r="P672" t="s">
        <v>74</v>
      </c>
      <c r="Q672" t="s">
        <v>74</v>
      </c>
      <c r="R672" t="s">
        <v>74</v>
      </c>
      <c r="S672" t="s">
        <v>74</v>
      </c>
      <c r="T672" t="s">
        <v>13398</v>
      </c>
      <c r="U672" t="s">
        <v>13399</v>
      </c>
      <c r="V672" t="s">
        <v>13400</v>
      </c>
      <c r="W672" t="s">
        <v>13401</v>
      </c>
      <c r="X672" t="s">
        <v>13402</v>
      </c>
      <c r="Y672" t="s">
        <v>13403</v>
      </c>
      <c r="Z672" t="s">
        <v>13404</v>
      </c>
      <c r="AA672" t="s">
        <v>13405</v>
      </c>
      <c r="AB672" t="s">
        <v>13406</v>
      </c>
      <c r="AC672" t="s">
        <v>13407</v>
      </c>
      <c r="AD672" t="s">
        <v>13408</v>
      </c>
      <c r="AE672" t="s">
        <v>13409</v>
      </c>
      <c r="AF672" t="s">
        <v>74</v>
      </c>
      <c r="AG672">
        <v>86</v>
      </c>
      <c r="AH672">
        <v>6</v>
      </c>
      <c r="AI672">
        <v>6</v>
      </c>
      <c r="AJ672">
        <v>3</v>
      </c>
      <c r="AK672">
        <v>8</v>
      </c>
      <c r="AL672" t="s">
        <v>257</v>
      </c>
      <c r="AM672" t="s">
        <v>258</v>
      </c>
      <c r="AN672" t="s">
        <v>259</v>
      </c>
      <c r="AO672" t="s">
        <v>3584</v>
      </c>
      <c r="AP672" t="s">
        <v>3585</v>
      </c>
      <c r="AQ672" t="s">
        <v>74</v>
      </c>
      <c r="AR672" t="s">
        <v>3586</v>
      </c>
      <c r="AS672" t="s">
        <v>3587</v>
      </c>
      <c r="AT672" t="s">
        <v>206</v>
      </c>
      <c r="AU672">
        <v>2022</v>
      </c>
      <c r="AV672">
        <v>251</v>
      </c>
      <c r="AW672" t="s">
        <v>74</v>
      </c>
      <c r="AX672" t="s">
        <v>74</v>
      </c>
      <c r="AY672" t="s">
        <v>74</v>
      </c>
      <c r="AZ672" t="s">
        <v>74</v>
      </c>
      <c r="BA672" t="s">
        <v>74</v>
      </c>
      <c r="BB672" t="s">
        <v>74</v>
      </c>
      <c r="BC672" t="s">
        <v>74</v>
      </c>
      <c r="BD672">
        <v>106305</v>
      </c>
      <c r="BE672" t="s">
        <v>13410</v>
      </c>
      <c r="BF672" t="str">
        <f>HYPERLINK("http://dx.doi.org/10.1016/j.fishres.2022.106305","http://dx.doi.org/10.1016/j.fishres.2022.106305")</f>
        <v>http://dx.doi.org/10.1016/j.fishres.2022.106305</v>
      </c>
      <c r="BG672" t="s">
        <v>74</v>
      </c>
      <c r="BH672" t="s">
        <v>12992</v>
      </c>
      <c r="BI672">
        <v>13</v>
      </c>
      <c r="BJ672" t="s">
        <v>3589</v>
      </c>
      <c r="BK672" t="s">
        <v>101</v>
      </c>
      <c r="BL672" t="s">
        <v>3589</v>
      </c>
      <c r="BM672" t="s">
        <v>13411</v>
      </c>
      <c r="BN672" t="s">
        <v>74</v>
      </c>
      <c r="BO672" t="s">
        <v>643</v>
      </c>
      <c r="BP672" t="s">
        <v>74</v>
      </c>
      <c r="BQ672" t="s">
        <v>74</v>
      </c>
      <c r="BR672" t="s">
        <v>103</v>
      </c>
      <c r="BS672" t="s">
        <v>13412</v>
      </c>
      <c r="BT672" t="str">
        <f>HYPERLINK("https%3A%2F%2Fwww.webofscience.com%2Fwos%2Fwoscc%2Ffull-record%2FWOS:000805456200010","View Full Record in Web of Science")</f>
        <v>View Full Record in Web of Science</v>
      </c>
    </row>
    <row r="673" spans="1:72" x14ac:dyDescent="0.15">
      <c r="A673" t="s">
        <v>72</v>
      </c>
      <c r="B673" t="s">
        <v>13413</v>
      </c>
      <c r="C673" t="s">
        <v>74</v>
      </c>
      <c r="D673" t="s">
        <v>74</v>
      </c>
      <c r="E673" t="s">
        <v>74</v>
      </c>
      <c r="F673" t="s">
        <v>13414</v>
      </c>
      <c r="G673" t="s">
        <v>74</v>
      </c>
      <c r="H673" t="s">
        <v>13415</v>
      </c>
      <c r="I673" t="s">
        <v>13416</v>
      </c>
      <c r="J673" t="s">
        <v>1154</v>
      </c>
      <c r="K673" t="s">
        <v>74</v>
      </c>
      <c r="L673" t="s">
        <v>74</v>
      </c>
      <c r="M673" t="s">
        <v>78</v>
      </c>
      <c r="N673" t="s">
        <v>79</v>
      </c>
      <c r="O673" t="s">
        <v>74</v>
      </c>
      <c r="P673" t="s">
        <v>74</v>
      </c>
      <c r="Q673" t="s">
        <v>74</v>
      </c>
      <c r="R673" t="s">
        <v>74</v>
      </c>
      <c r="S673" t="s">
        <v>74</v>
      </c>
      <c r="T673" t="s">
        <v>13417</v>
      </c>
      <c r="U673" t="s">
        <v>13418</v>
      </c>
      <c r="V673" t="s">
        <v>13419</v>
      </c>
      <c r="W673" t="s">
        <v>13420</v>
      </c>
      <c r="X673" t="s">
        <v>13421</v>
      </c>
      <c r="Y673" t="s">
        <v>13422</v>
      </c>
      <c r="Z673" t="s">
        <v>13423</v>
      </c>
      <c r="AA673" t="s">
        <v>13424</v>
      </c>
      <c r="AB673" t="s">
        <v>13425</v>
      </c>
      <c r="AC673" t="s">
        <v>13426</v>
      </c>
      <c r="AD673" t="s">
        <v>13427</v>
      </c>
      <c r="AE673" t="s">
        <v>13428</v>
      </c>
      <c r="AF673" t="s">
        <v>74</v>
      </c>
      <c r="AG673">
        <v>94</v>
      </c>
      <c r="AH673">
        <v>5</v>
      </c>
      <c r="AI673">
        <v>5</v>
      </c>
      <c r="AJ673">
        <v>2</v>
      </c>
      <c r="AK673">
        <v>7</v>
      </c>
      <c r="AL673" t="s">
        <v>199</v>
      </c>
      <c r="AM673" t="s">
        <v>200</v>
      </c>
      <c r="AN673" t="s">
        <v>201</v>
      </c>
      <c r="AO673" t="s">
        <v>1167</v>
      </c>
      <c r="AP673" t="s">
        <v>1168</v>
      </c>
      <c r="AQ673" t="s">
        <v>74</v>
      </c>
      <c r="AR673" t="s">
        <v>1169</v>
      </c>
      <c r="AS673" t="s">
        <v>1170</v>
      </c>
      <c r="AT673" t="s">
        <v>7628</v>
      </c>
      <c r="AU673">
        <v>2022</v>
      </c>
      <c r="AV673">
        <v>283</v>
      </c>
      <c r="AW673" t="s">
        <v>74</v>
      </c>
      <c r="AX673" t="s">
        <v>74</v>
      </c>
      <c r="AY673" t="s">
        <v>74</v>
      </c>
      <c r="AZ673" t="s">
        <v>74</v>
      </c>
      <c r="BA673" t="s">
        <v>74</v>
      </c>
      <c r="BB673" t="s">
        <v>74</v>
      </c>
      <c r="BC673" t="s">
        <v>74</v>
      </c>
      <c r="BD673">
        <v>107461</v>
      </c>
      <c r="BE673" t="s">
        <v>13429</v>
      </c>
      <c r="BF673" t="str">
        <f>HYPERLINK("http://dx.doi.org/10.1016/j.quascirev.2022.107461","http://dx.doi.org/10.1016/j.quascirev.2022.107461")</f>
        <v>http://dx.doi.org/10.1016/j.quascirev.2022.107461</v>
      </c>
      <c r="BG673" t="s">
        <v>74</v>
      </c>
      <c r="BH673" t="s">
        <v>12992</v>
      </c>
      <c r="BI673">
        <v>20</v>
      </c>
      <c r="BJ673" t="s">
        <v>125</v>
      </c>
      <c r="BK673" t="s">
        <v>101</v>
      </c>
      <c r="BL673" t="s">
        <v>126</v>
      </c>
      <c r="BM673" t="s">
        <v>13430</v>
      </c>
      <c r="BN673" t="s">
        <v>74</v>
      </c>
      <c r="BO673" t="s">
        <v>1448</v>
      </c>
      <c r="BP673" t="s">
        <v>74</v>
      </c>
      <c r="BQ673" t="s">
        <v>74</v>
      </c>
      <c r="BR673" t="s">
        <v>103</v>
      </c>
      <c r="BS673" t="s">
        <v>13431</v>
      </c>
      <c r="BT673" t="str">
        <f>HYPERLINK("https%3A%2F%2Fwww.webofscience.com%2Fwos%2Fwoscc%2Ffull-record%2FWOS:000796231900002","View Full Record in Web of Science")</f>
        <v>View Full Record in Web of Science</v>
      </c>
    </row>
    <row r="674" spans="1:72" x14ac:dyDescent="0.15">
      <c r="A674" t="s">
        <v>72</v>
      </c>
      <c r="B674" t="s">
        <v>13432</v>
      </c>
      <c r="C674" t="s">
        <v>74</v>
      </c>
      <c r="D674" t="s">
        <v>74</v>
      </c>
      <c r="E674" t="s">
        <v>74</v>
      </c>
      <c r="F674" t="s">
        <v>13433</v>
      </c>
      <c r="G674" t="s">
        <v>74</v>
      </c>
      <c r="H674" t="s">
        <v>74</v>
      </c>
      <c r="I674" t="s">
        <v>13434</v>
      </c>
      <c r="J674" t="s">
        <v>1086</v>
      </c>
      <c r="K674" t="s">
        <v>74</v>
      </c>
      <c r="L674" t="s">
        <v>74</v>
      </c>
      <c r="M674" t="s">
        <v>78</v>
      </c>
      <c r="N674" t="s">
        <v>161</v>
      </c>
      <c r="O674" t="s">
        <v>74</v>
      </c>
      <c r="P674" t="s">
        <v>74</v>
      </c>
      <c r="Q674" t="s">
        <v>74</v>
      </c>
      <c r="R674" t="s">
        <v>74</v>
      </c>
      <c r="S674" t="s">
        <v>74</v>
      </c>
      <c r="T674" t="s">
        <v>13435</v>
      </c>
      <c r="U674" t="s">
        <v>13436</v>
      </c>
      <c r="V674" t="s">
        <v>13437</v>
      </c>
      <c r="W674" t="s">
        <v>13438</v>
      </c>
      <c r="X674" t="s">
        <v>13439</v>
      </c>
      <c r="Y674" t="s">
        <v>13440</v>
      </c>
      <c r="Z674" t="s">
        <v>13441</v>
      </c>
      <c r="AA674" t="s">
        <v>13442</v>
      </c>
      <c r="AB674" t="s">
        <v>13443</v>
      </c>
      <c r="AC674" t="s">
        <v>74</v>
      </c>
      <c r="AD674" t="s">
        <v>74</v>
      </c>
      <c r="AE674" t="s">
        <v>74</v>
      </c>
      <c r="AF674" t="s">
        <v>74</v>
      </c>
      <c r="AG674">
        <v>379</v>
      </c>
      <c r="AH674">
        <v>14</v>
      </c>
      <c r="AI674">
        <v>14</v>
      </c>
      <c r="AJ674">
        <v>14</v>
      </c>
      <c r="AK674">
        <v>84</v>
      </c>
      <c r="AL674" t="s">
        <v>257</v>
      </c>
      <c r="AM674" t="s">
        <v>258</v>
      </c>
      <c r="AN674" t="s">
        <v>259</v>
      </c>
      <c r="AO674" t="s">
        <v>1098</v>
      </c>
      <c r="AP674" t="s">
        <v>1099</v>
      </c>
      <c r="AQ674" t="s">
        <v>74</v>
      </c>
      <c r="AR674" t="s">
        <v>1100</v>
      </c>
      <c r="AS674" t="s">
        <v>1101</v>
      </c>
      <c r="AT674" t="s">
        <v>1171</v>
      </c>
      <c r="AU674">
        <v>2022</v>
      </c>
      <c r="AV674">
        <v>830</v>
      </c>
      <c r="AW674" t="s">
        <v>74</v>
      </c>
      <c r="AX674" t="s">
        <v>74</v>
      </c>
      <c r="AY674" t="s">
        <v>74</v>
      </c>
      <c r="AZ674" t="s">
        <v>74</v>
      </c>
      <c r="BA674" t="s">
        <v>74</v>
      </c>
      <c r="BB674" t="s">
        <v>74</v>
      </c>
      <c r="BC674" t="s">
        <v>74</v>
      </c>
      <c r="BD674">
        <v>154748</v>
      </c>
      <c r="BE674" t="s">
        <v>13444</v>
      </c>
      <c r="BF674" t="str">
        <f>HYPERLINK("http://dx.doi.org/10.1016/j.scitotenv.2022.154748","http://dx.doi.org/10.1016/j.scitotenv.2022.154748")</f>
        <v>http://dx.doi.org/10.1016/j.scitotenv.2022.154748</v>
      </c>
      <c r="BG674" t="s">
        <v>74</v>
      </c>
      <c r="BH674" t="s">
        <v>12992</v>
      </c>
      <c r="BI674">
        <v>18</v>
      </c>
      <c r="BJ674" t="s">
        <v>1104</v>
      </c>
      <c r="BK674" t="s">
        <v>956</v>
      </c>
      <c r="BL674" t="s">
        <v>840</v>
      </c>
      <c r="BM674" t="s">
        <v>13445</v>
      </c>
      <c r="BN674">
        <v>35337877</v>
      </c>
      <c r="BO674" t="s">
        <v>74</v>
      </c>
      <c r="BP674" t="s">
        <v>74</v>
      </c>
      <c r="BQ674" t="s">
        <v>74</v>
      </c>
      <c r="BR674" t="s">
        <v>103</v>
      </c>
      <c r="BS674" t="s">
        <v>13446</v>
      </c>
      <c r="BT674" t="str">
        <f>HYPERLINK("https%3A%2F%2Fwww.webofscience.com%2Fwos%2Fwoscc%2Ffull-record%2FWOS:000794872600007","View Full Record in Web of Science")</f>
        <v>View Full Record in Web of Science</v>
      </c>
    </row>
    <row r="675" spans="1:72" x14ac:dyDescent="0.15">
      <c r="A675" t="s">
        <v>72</v>
      </c>
      <c r="B675" t="s">
        <v>13447</v>
      </c>
      <c r="C675" t="s">
        <v>74</v>
      </c>
      <c r="D675" t="s">
        <v>74</v>
      </c>
      <c r="E675" t="s">
        <v>74</v>
      </c>
      <c r="F675" t="s">
        <v>13448</v>
      </c>
      <c r="G675" t="s">
        <v>74</v>
      </c>
      <c r="H675" t="s">
        <v>74</v>
      </c>
      <c r="I675" t="s">
        <v>13449</v>
      </c>
      <c r="J675" t="s">
        <v>3027</v>
      </c>
      <c r="K675" t="s">
        <v>74</v>
      </c>
      <c r="L675" t="s">
        <v>74</v>
      </c>
      <c r="M675" t="s">
        <v>78</v>
      </c>
      <c r="N675" t="s">
        <v>79</v>
      </c>
      <c r="O675" t="s">
        <v>74</v>
      </c>
      <c r="P675" t="s">
        <v>74</v>
      </c>
      <c r="Q675" t="s">
        <v>74</v>
      </c>
      <c r="R675" t="s">
        <v>74</v>
      </c>
      <c r="S675" t="s">
        <v>74</v>
      </c>
      <c r="T675" t="s">
        <v>13450</v>
      </c>
      <c r="U675" t="s">
        <v>13451</v>
      </c>
      <c r="V675" t="s">
        <v>13452</v>
      </c>
      <c r="W675" t="s">
        <v>13453</v>
      </c>
      <c r="X675" t="s">
        <v>13454</v>
      </c>
      <c r="Y675" t="s">
        <v>13455</v>
      </c>
      <c r="Z675" t="s">
        <v>13456</v>
      </c>
      <c r="AA675" t="s">
        <v>13457</v>
      </c>
      <c r="AB675" t="s">
        <v>13458</v>
      </c>
      <c r="AC675" t="s">
        <v>13459</v>
      </c>
      <c r="AD675" t="s">
        <v>13460</v>
      </c>
      <c r="AE675" t="s">
        <v>13461</v>
      </c>
      <c r="AF675" t="s">
        <v>74</v>
      </c>
      <c r="AG675">
        <v>152</v>
      </c>
      <c r="AH675">
        <v>5</v>
      </c>
      <c r="AI675">
        <v>5</v>
      </c>
      <c r="AJ675">
        <v>2</v>
      </c>
      <c r="AK675">
        <v>18</v>
      </c>
      <c r="AL675" t="s">
        <v>285</v>
      </c>
      <c r="AM675" t="s">
        <v>286</v>
      </c>
      <c r="AN675" t="s">
        <v>287</v>
      </c>
      <c r="AO675" t="s">
        <v>74</v>
      </c>
      <c r="AP675" t="s">
        <v>3039</v>
      </c>
      <c r="AQ675" t="s">
        <v>74</v>
      </c>
      <c r="AR675" t="s">
        <v>3040</v>
      </c>
      <c r="AS675" t="s">
        <v>3041</v>
      </c>
      <c r="AT675" t="s">
        <v>13462</v>
      </c>
      <c r="AU675">
        <v>2022</v>
      </c>
      <c r="AV675">
        <v>10</v>
      </c>
      <c r="AW675" t="s">
        <v>74</v>
      </c>
      <c r="AX675" t="s">
        <v>74</v>
      </c>
      <c r="AY675" t="s">
        <v>74</v>
      </c>
      <c r="AZ675" t="s">
        <v>74</v>
      </c>
      <c r="BA675" t="s">
        <v>74</v>
      </c>
      <c r="BB675" t="s">
        <v>74</v>
      </c>
      <c r="BC675" t="s">
        <v>74</v>
      </c>
      <c r="BD675">
        <v>813396</v>
      </c>
      <c r="BE675" t="s">
        <v>13463</v>
      </c>
      <c r="BF675" t="str">
        <f>HYPERLINK("http://dx.doi.org/10.3389/feart.2022.813396","http://dx.doi.org/10.3389/feart.2022.813396")</f>
        <v>http://dx.doi.org/10.3389/feart.2022.813396</v>
      </c>
      <c r="BG675" t="s">
        <v>74</v>
      </c>
      <c r="BH675" t="s">
        <v>74</v>
      </c>
      <c r="BI675">
        <v>32</v>
      </c>
      <c r="BJ675" t="s">
        <v>265</v>
      </c>
      <c r="BK675" t="s">
        <v>101</v>
      </c>
      <c r="BL675" t="s">
        <v>100</v>
      </c>
      <c r="BM675" t="s">
        <v>13464</v>
      </c>
      <c r="BN675" t="s">
        <v>74</v>
      </c>
      <c r="BO675" t="s">
        <v>13465</v>
      </c>
      <c r="BP675" t="s">
        <v>74</v>
      </c>
      <c r="BQ675" t="s">
        <v>74</v>
      </c>
      <c r="BR675" t="s">
        <v>103</v>
      </c>
      <c r="BS675" t="s">
        <v>13466</v>
      </c>
      <c r="BT675" t="str">
        <f>HYPERLINK("https%3A%2F%2Fwww.webofscience.com%2Fwos%2Fwoscc%2Ffull-record%2FWOS:000792458500001","View Full Record in Web of Science")</f>
        <v>View Full Record in Web of Science</v>
      </c>
    </row>
    <row r="676" spans="1:72" x14ac:dyDescent="0.15">
      <c r="A676" t="s">
        <v>72</v>
      </c>
      <c r="B676" t="s">
        <v>13467</v>
      </c>
      <c r="C676" t="s">
        <v>74</v>
      </c>
      <c r="D676" t="s">
        <v>74</v>
      </c>
      <c r="E676" t="s">
        <v>74</v>
      </c>
      <c r="F676" t="s">
        <v>13468</v>
      </c>
      <c r="G676" t="s">
        <v>74</v>
      </c>
      <c r="H676" t="s">
        <v>74</v>
      </c>
      <c r="I676" t="s">
        <v>13469</v>
      </c>
      <c r="J676" t="s">
        <v>9959</v>
      </c>
      <c r="K676" t="s">
        <v>74</v>
      </c>
      <c r="L676" t="s">
        <v>74</v>
      </c>
      <c r="M676" t="s">
        <v>78</v>
      </c>
      <c r="N676" t="s">
        <v>79</v>
      </c>
      <c r="O676" t="s">
        <v>74</v>
      </c>
      <c r="P676" t="s">
        <v>74</v>
      </c>
      <c r="Q676" t="s">
        <v>74</v>
      </c>
      <c r="R676" t="s">
        <v>74</v>
      </c>
      <c r="S676" t="s">
        <v>74</v>
      </c>
      <c r="T676" t="s">
        <v>13470</v>
      </c>
      <c r="U676" t="s">
        <v>13471</v>
      </c>
      <c r="V676" t="s">
        <v>13472</v>
      </c>
      <c r="W676" t="s">
        <v>13473</v>
      </c>
      <c r="X676" t="s">
        <v>13474</v>
      </c>
      <c r="Y676" t="s">
        <v>13475</v>
      </c>
      <c r="Z676" t="s">
        <v>13476</v>
      </c>
      <c r="AA676" t="s">
        <v>13477</v>
      </c>
      <c r="AB676" t="s">
        <v>13478</v>
      </c>
      <c r="AC676" t="s">
        <v>74</v>
      </c>
      <c r="AD676" t="s">
        <v>74</v>
      </c>
      <c r="AE676" t="s">
        <v>74</v>
      </c>
      <c r="AF676" t="s">
        <v>74</v>
      </c>
      <c r="AG676">
        <v>67</v>
      </c>
      <c r="AH676">
        <v>2</v>
      </c>
      <c r="AI676">
        <v>2</v>
      </c>
      <c r="AJ676">
        <v>1</v>
      </c>
      <c r="AK676">
        <v>7</v>
      </c>
      <c r="AL676" t="s">
        <v>285</v>
      </c>
      <c r="AM676" t="s">
        <v>286</v>
      </c>
      <c r="AN676" t="s">
        <v>287</v>
      </c>
      <c r="AO676" t="s">
        <v>9972</v>
      </c>
      <c r="AP676" t="s">
        <v>74</v>
      </c>
      <c r="AQ676" t="s">
        <v>74</v>
      </c>
      <c r="AR676" t="s">
        <v>9973</v>
      </c>
      <c r="AS676" t="s">
        <v>9974</v>
      </c>
      <c r="AT676" t="s">
        <v>13462</v>
      </c>
      <c r="AU676">
        <v>2022</v>
      </c>
      <c r="AV676">
        <v>13</v>
      </c>
      <c r="AW676" t="s">
        <v>74</v>
      </c>
      <c r="AX676" t="s">
        <v>74</v>
      </c>
      <c r="AY676" t="s">
        <v>74</v>
      </c>
      <c r="AZ676" t="s">
        <v>74</v>
      </c>
      <c r="BA676" t="s">
        <v>74</v>
      </c>
      <c r="BB676" t="s">
        <v>74</v>
      </c>
      <c r="BC676" t="s">
        <v>74</v>
      </c>
      <c r="BD676">
        <v>858423</v>
      </c>
      <c r="BE676" t="s">
        <v>13479</v>
      </c>
      <c r="BF676" t="str">
        <f>HYPERLINK("http://dx.doi.org/10.3389/fimmu.2022.858423","http://dx.doi.org/10.3389/fimmu.2022.858423")</f>
        <v>http://dx.doi.org/10.3389/fimmu.2022.858423</v>
      </c>
      <c r="BG676" t="s">
        <v>74</v>
      </c>
      <c r="BH676" t="s">
        <v>74</v>
      </c>
      <c r="BI676">
        <v>14</v>
      </c>
      <c r="BJ676" t="s">
        <v>9977</v>
      </c>
      <c r="BK676" t="s">
        <v>101</v>
      </c>
      <c r="BL676" t="s">
        <v>9977</v>
      </c>
      <c r="BM676" t="s">
        <v>13480</v>
      </c>
      <c r="BN676">
        <v>35422813</v>
      </c>
      <c r="BO676" t="s">
        <v>6042</v>
      </c>
      <c r="BP676" t="s">
        <v>74</v>
      </c>
      <c r="BQ676" t="s">
        <v>74</v>
      </c>
      <c r="BR676" t="s">
        <v>103</v>
      </c>
      <c r="BS676" t="s">
        <v>13481</v>
      </c>
      <c r="BT676" t="str">
        <f>HYPERLINK("https%3A%2F%2Fwww.webofscience.com%2Fwos%2Fwoscc%2Ffull-record%2FWOS:000783843200001","View Full Record in Web of Science")</f>
        <v>View Full Record in Web of Science</v>
      </c>
    </row>
    <row r="677" spans="1:72" x14ac:dyDescent="0.15">
      <c r="A677" t="s">
        <v>72</v>
      </c>
      <c r="B677" t="s">
        <v>13482</v>
      </c>
      <c r="C677" t="s">
        <v>74</v>
      </c>
      <c r="D677" t="s">
        <v>74</v>
      </c>
      <c r="E677" t="s">
        <v>74</v>
      </c>
      <c r="F677" t="s">
        <v>13483</v>
      </c>
      <c r="G677" t="s">
        <v>74</v>
      </c>
      <c r="H677" t="s">
        <v>74</v>
      </c>
      <c r="I677" t="s">
        <v>13484</v>
      </c>
      <c r="J677" t="s">
        <v>108</v>
      </c>
      <c r="K677" t="s">
        <v>74</v>
      </c>
      <c r="L677" t="s">
        <v>74</v>
      </c>
      <c r="M677" t="s">
        <v>78</v>
      </c>
      <c r="N677" t="s">
        <v>79</v>
      </c>
      <c r="O677" t="s">
        <v>74</v>
      </c>
      <c r="P677" t="s">
        <v>74</v>
      </c>
      <c r="Q677" t="s">
        <v>74</v>
      </c>
      <c r="R677" t="s">
        <v>74</v>
      </c>
      <c r="S677" t="s">
        <v>74</v>
      </c>
      <c r="T677" t="s">
        <v>74</v>
      </c>
      <c r="U677" t="s">
        <v>13485</v>
      </c>
      <c r="V677" t="s">
        <v>13486</v>
      </c>
      <c r="W677" t="s">
        <v>13487</v>
      </c>
      <c r="X677" t="s">
        <v>13488</v>
      </c>
      <c r="Y677" t="s">
        <v>13489</v>
      </c>
      <c r="Z677" t="s">
        <v>13490</v>
      </c>
      <c r="AA677" t="s">
        <v>13491</v>
      </c>
      <c r="AB677" t="s">
        <v>13492</v>
      </c>
      <c r="AC677" t="s">
        <v>13493</v>
      </c>
      <c r="AD677" t="s">
        <v>13494</v>
      </c>
      <c r="AE677" t="s">
        <v>13495</v>
      </c>
      <c r="AF677" t="s">
        <v>74</v>
      </c>
      <c r="AG677">
        <v>57</v>
      </c>
      <c r="AH677">
        <v>2</v>
      </c>
      <c r="AI677">
        <v>2</v>
      </c>
      <c r="AJ677">
        <v>0</v>
      </c>
      <c r="AK677">
        <v>4</v>
      </c>
      <c r="AL677" t="s">
        <v>117</v>
      </c>
      <c r="AM677" t="s">
        <v>118</v>
      </c>
      <c r="AN677" t="s">
        <v>119</v>
      </c>
      <c r="AO677" t="s">
        <v>120</v>
      </c>
      <c r="AP677" t="s">
        <v>121</v>
      </c>
      <c r="AQ677" t="s">
        <v>74</v>
      </c>
      <c r="AR677" t="s">
        <v>108</v>
      </c>
      <c r="AS677" t="s">
        <v>122</v>
      </c>
      <c r="AT677" t="s">
        <v>13462</v>
      </c>
      <c r="AU677">
        <v>2022</v>
      </c>
      <c r="AV677">
        <v>16</v>
      </c>
      <c r="AW677">
        <v>3</v>
      </c>
      <c r="AX677" t="s">
        <v>74</v>
      </c>
      <c r="AY677" t="s">
        <v>74</v>
      </c>
      <c r="AZ677" t="s">
        <v>74</v>
      </c>
      <c r="BA677" t="s">
        <v>74</v>
      </c>
      <c r="BB677">
        <v>1071</v>
      </c>
      <c r="BC677">
        <v>1089</v>
      </c>
      <c r="BD677" t="s">
        <v>74</v>
      </c>
      <c r="BE677" t="s">
        <v>13496</v>
      </c>
      <c r="BF677" t="str">
        <f>HYPERLINK("http://dx.doi.org/10.5194/tc-16-1071-2022","http://dx.doi.org/10.5194/tc-16-1071-2022")</f>
        <v>http://dx.doi.org/10.5194/tc-16-1071-2022</v>
      </c>
      <c r="BG677" t="s">
        <v>74</v>
      </c>
      <c r="BH677" t="s">
        <v>74</v>
      </c>
      <c r="BI677">
        <v>19</v>
      </c>
      <c r="BJ677" t="s">
        <v>125</v>
      </c>
      <c r="BK677" t="s">
        <v>101</v>
      </c>
      <c r="BL677" t="s">
        <v>126</v>
      </c>
      <c r="BM677" t="s">
        <v>13497</v>
      </c>
      <c r="BN677" t="s">
        <v>74</v>
      </c>
      <c r="BO677" t="s">
        <v>2560</v>
      </c>
      <c r="BP677" t="s">
        <v>74</v>
      </c>
      <c r="BQ677" t="s">
        <v>74</v>
      </c>
      <c r="BR677" t="s">
        <v>103</v>
      </c>
      <c r="BS677" t="s">
        <v>13498</v>
      </c>
      <c r="BT677" t="str">
        <f>HYPERLINK("https%3A%2F%2Fwww.webofscience.com%2Fwos%2Fwoscc%2Ffull-record%2FWOS:000776520100001","View Full Record in Web of Science")</f>
        <v>View Full Record in Web of Science</v>
      </c>
    </row>
    <row r="678" spans="1:72" x14ac:dyDescent="0.15">
      <c r="A678" t="s">
        <v>72</v>
      </c>
      <c r="B678" t="s">
        <v>13499</v>
      </c>
      <c r="C678" t="s">
        <v>74</v>
      </c>
      <c r="D678" t="s">
        <v>74</v>
      </c>
      <c r="E678" t="s">
        <v>74</v>
      </c>
      <c r="F678" t="s">
        <v>13500</v>
      </c>
      <c r="G678" t="s">
        <v>74</v>
      </c>
      <c r="H678" t="s">
        <v>74</v>
      </c>
      <c r="I678" t="s">
        <v>13501</v>
      </c>
      <c r="J678" t="s">
        <v>13502</v>
      </c>
      <c r="K678" t="s">
        <v>74</v>
      </c>
      <c r="L678" t="s">
        <v>74</v>
      </c>
      <c r="M678" t="s">
        <v>78</v>
      </c>
      <c r="N678" t="s">
        <v>161</v>
      </c>
      <c r="O678" t="s">
        <v>74</v>
      </c>
      <c r="P678" t="s">
        <v>74</v>
      </c>
      <c r="Q678" t="s">
        <v>74</v>
      </c>
      <c r="R678" t="s">
        <v>74</v>
      </c>
      <c r="S678" t="s">
        <v>74</v>
      </c>
      <c r="T678" t="s">
        <v>13503</v>
      </c>
      <c r="U678" t="s">
        <v>13504</v>
      </c>
      <c r="V678" t="s">
        <v>13505</v>
      </c>
      <c r="W678" t="s">
        <v>13506</v>
      </c>
      <c r="X678" t="s">
        <v>13507</v>
      </c>
      <c r="Y678" t="s">
        <v>13508</v>
      </c>
      <c r="Z678" t="s">
        <v>13509</v>
      </c>
      <c r="AA678" t="s">
        <v>13510</v>
      </c>
      <c r="AB678" t="s">
        <v>13511</v>
      </c>
      <c r="AC678" t="s">
        <v>13512</v>
      </c>
      <c r="AD678" t="s">
        <v>13513</v>
      </c>
      <c r="AE678" t="s">
        <v>13514</v>
      </c>
      <c r="AF678" t="s">
        <v>74</v>
      </c>
      <c r="AG678">
        <v>191</v>
      </c>
      <c r="AH678">
        <v>10</v>
      </c>
      <c r="AI678">
        <v>10</v>
      </c>
      <c r="AJ678">
        <v>17</v>
      </c>
      <c r="AK678">
        <v>48</v>
      </c>
      <c r="AL678" t="s">
        <v>91</v>
      </c>
      <c r="AM678" t="s">
        <v>92</v>
      </c>
      <c r="AN678" t="s">
        <v>93</v>
      </c>
      <c r="AO678" t="s">
        <v>13515</v>
      </c>
      <c r="AP678" t="s">
        <v>13516</v>
      </c>
      <c r="AQ678" t="s">
        <v>74</v>
      </c>
      <c r="AR678" t="s">
        <v>13517</v>
      </c>
      <c r="AS678" t="s">
        <v>13518</v>
      </c>
      <c r="AT678" t="s">
        <v>537</v>
      </c>
      <c r="AU678">
        <v>2022</v>
      </c>
      <c r="AV678">
        <v>28</v>
      </c>
      <c r="AW678">
        <v>12</v>
      </c>
      <c r="AX678" t="s">
        <v>74</v>
      </c>
      <c r="AY678" t="s">
        <v>74</v>
      </c>
      <c r="AZ678" t="s">
        <v>74</v>
      </c>
      <c r="BA678" t="s">
        <v>74</v>
      </c>
      <c r="BB678">
        <v>3812</v>
      </c>
      <c r="BC678">
        <v>3829</v>
      </c>
      <c r="BD678" t="s">
        <v>74</v>
      </c>
      <c r="BE678" t="s">
        <v>13519</v>
      </c>
      <c r="BF678" t="str">
        <f>HYPERLINK("http://dx.doi.org/10.1111/gcb.16165","http://dx.doi.org/10.1111/gcb.16165")</f>
        <v>http://dx.doi.org/10.1111/gcb.16165</v>
      </c>
      <c r="BG678" t="s">
        <v>74</v>
      </c>
      <c r="BH678" t="s">
        <v>12992</v>
      </c>
      <c r="BI678">
        <v>18</v>
      </c>
      <c r="BJ678" t="s">
        <v>4270</v>
      </c>
      <c r="BK678" t="s">
        <v>101</v>
      </c>
      <c r="BL678" t="s">
        <v>540</v>
      </c>
      <c r="BM678" t="s">
        <v>13520</v>
      </c>
      <c r="BN678">
        <v>35298052</v>
      </c>
      <c r="BO678" t="s">
        <v>643</v>
      </c>
      <c r="BP678" t="s">
        <v>74</v>
      </c>
      <c r="BQ678" t="s">
        <v>74</v>
      </c>
      <c r="BR678" t="s">
        <v>103</v>
      </c>
      <c r="BS678" t="s">
        <v>13521</v>
      </c>
      <c r="BT678" t="str">
        <f>HYPERLINK("https%3A%2F%2Fwww.webofscience.com%2Fwos%2Fwoscc%2Ffull-record%2FWOS:000774638100001","View Full Record in Web of Science")</f>
        <v>View Full Record in Web of Science</v>
      </c>
    </row>
    <row r="679" spans="1:72" x14ac:dyDescent="0.15">
      <c r="A679" t="s">
        <v>72</v>
      </c>
      <c r="B679" t="s">
        <v>13522</v>
      </c>
      <c r="C679" t="s">
        <v>74</v>
      </c>
      <c r="D679" t="s">
        <v>74</v>
      </c>
      <c r="E679" t="s">
        <v>74</v>
      </c>
      <c r="F679" t="s">
        <v>13523</v>
      </c>
      <c r="G679" t="s">
        <v>74</v>
      </c>
      <c r="H679" t="s">
        <v>74</v>
      </c>
      <c r="I679" t="s">
        <v>13524</v>
      </c>
      <c r="J679" t="s">
        <v>13525</v>
      </c>
      <c r="K679" t="s">
        <v>74</v>
      </c>
      <c r="L679" t="s">
        <v>74</v>
      </c>
      <c r="M679" t="s">
        <v>78</v>
      </c>
      <c r="N679" t="s">
        <v>79</v>
      </c>
      <c r="O679" t="s">
        <v>74</v>
      </c>
      <c r="P679" t="s">
        <v>74</v>
      </c>
      <c r="Q679" t="s">
        <v>74</v>
      </c>
      <c r="R679" t="s">
        <v>74</v>
      </c>
      <c r="S679" t="s">
        <v>74</v>
      </c>
      <c r="T679" t="s">
        <v>13526</v>
      </c>
      <c r="U679" t="s">
        <v>13527</v>
      </c>
      <c r="V679" t="s">
        <v>13528</v>
      </c>
      <c r="W679" t="s">
        <v>13529</v>
      </c>
      <c r="X679" t="s">
        <v>74</v>
      </c>
      <c r="Y679" t="s">
        <v>13530</v>
      </c>
      <c r="Z679" t="s">
        <v>13531</v>
      </c>
      <c r="AA679" t="s">
        <v>74</v>
      </c>
      <c r="AB679" t="s">
        <v>74</v>
      </c>
      <c r="AC679" t="s">
        <v>74</v>
      </c>
      <c r="AD679" t="s">
        <v>74</v>
      </c>
      <c r="AE679" t="s">
        <v>74</v>
      </c>
      <c r="AF679" t="s">
        <v>74</v>
      </c>
      <c r="AG679">
        <v>33</v>
      </c>
      <c r="AH679">
        <v>7</v>
      </c>
      <c r="AI679">
        <v>7</v>
      </c>
      <c r="AJ679">
        <v>1</v>
      </c>
      <c r="AK679">
        <v>7</v>
      </c>
      <c r="AL679" t="s">
        <v>91</v>
      </c>
      <c r="AM679" t="s">
        <v>92</v>
      </c>
      <c r="AN679" t="s">
        <v>93</v>
      </c>
      <c r="AO679" t="s">
        <v>13532</v>
      </c>
      <c r="AP679" t="s">
        <v>13533</v>
      </c>
      <c r="AQ679" t="s">
        <v>74</v>
      </c>
      <c r="AR679" t="s">
        <v>13534</v>
      </c>
      <c r="AS679" t="s">
        <v>13535</v>
      </c>
      <c r="AT679" t="s">
        <v>5076</v>
      </c>
      <c r="AU679">
        <v>2022</v>
      </c>
      <c r="AV679">
        <v>100</v>
      </c>
      <c r="AW679">
        <v>5</v>
      </c>
      <c r="AX679" t="s">
        <v>74</v>
      </c>
      <c r="AY679" t="s">
        <v>74</v>
      </c>
      <c r="AZ679" t="s">
        <v>74</v>
      </c>
      <c r="BA679" t="s">
        <v>74</v>
      </c>
      <c r="BB679">
        <v>1150</v>
      </c>
      <c r="BC679">
        <v>1157</v>
      </c>
      <c r="BD679" t="s">
        <v>74</v>
      </c>
      <c r="BE679" t="s">
        <v>13536</v>
      </c>
      <c r="BF679" t="str">
        <f>HYPERLINK("http://dx.doi.org/10.1111/jfb.14941","http://dx.doi.org/10.1111/jfb.14941")</f>
        <v>http://dx.doi.org/10.1111/jfb.14941</v>
      </c>
      <c r="BG679" t="s">
        <v>74</v>
      </c>
      <c r="BH679" t="s">
        <v>12992</v>
      </c>
      <c r="BI679">
        <v>8</v>
      </c>
      <c r="BJ679" t="s">
        <v>10842</v>
      </c>
      <c r="BK679" t="s">
        <v>101</v>
      </c>
      <c r="BL679" t="s">
        <v>10842</v>
      </c>
      <c r="BM679" t="s">
        <v>13537</v>
      </c>
      <c r="BN679">
        <v>34739139</v>
      </c>
      <c r="BO679" t="s">
        <v>74</v>
      </c>
      <c r="BP679" t="s">
        <v>74</v>
      </c>
      <c r="BQ679" t="s">
        <v>74</v>
      </c>
      <c r="BR679" t="s">
        <v>103</v>
      </c>
      <c r="BS679" t="s">
        <v>13538</v>
      </c>
      <c r="BT679" t="str">
        <f>HYPERLINK("https%3A%2F%2Fwww.webofscience.com%2Fwos%2Fwoscc%2Ffull-record%2FWOS:000774530900001","View Full Record in Web of Science")</f>
        <v>View Full Record in Web of Science</v>
      </c>
    </row>
    <row r="680" spans="1:72" x14ac:dyDescent="0.15">
      <c r="A680" t="s">
        <v>72</v>
      </c>
      <c r="B680" t="s">
        <v>13539</v>
      </c>
      <c r="C680" t="s">
        <v>74</v>
      </c>
      <c r="D680" t="s">
        <v>74</v>
      </c>
      <c r="E680" t="s">
        <v>74</v>
      </c>
      <c r="F680" t="s">
        <v>13540</v>
      </c>
      <c r="G680" t="s">
        <v>74</v>
      </c>
      <c r="H680" t="s">
        <v>74</v>
      </c>
      <c r="I680" t="s">
        <v>13541</v>
      </c>
      <c r="J680" t="s">
        <v>13542</v>
      </c>
      <c r="K680" t="s">
        <v>74</v>
      </c>
      <c r="L680" t="s">
        <v>74</v>
      </c>
      <c r="M680" t="s">
        <v>78</v>
      </c>
      <c r="N680" t="s">
        <v>79</v>
      </c>
      <c r="O680" t="s">
        <v>74</v>
      </c>
      <c r="P680" t="s">
        <v>74</v>
      </c>
      <c r="Q680" t="s">
        <v>74</v>
      </c>
      <c r="R680" t="s">
        <v>74</v>
      </c>
      <c r="S680" t="s">
        <v>74</v>
      </c>
      <c r="T680" t="s">
        <v>13543</v>
      </c>
      <c r="U680" t="s">
        <v>13544</v>
      </c>
      <c r="V680" t="s">
        <v>13545</v>
      </c>
      <c r="W680" t="s">
        <v>13546</v>
      </c>
      <c r="X680" t="s">
        <v>893</v>
      </c>
      <c r="Y680" t="s">
        <v>13547</v>
      </c>
      <c r="Z680" t="s">
        <v>13548</v>
      </c>
      <c r="AA680" t="s">
        <v>13549</v>
      </c>
      <c r="AB680" t="s">
        <v>13550</v>
      </c>
      <c r="AC680" t="s">
        <v>74</v>
      </c>
      <c r="AD680" t="s">
        <v>74</v>
      </c>
      <c r="AE680" t="s">
        <v>74</v>
      </c>
      <c r="AF680" t="s">
        <v>74</v>
      </c>
      <c r="AG680">
        <v>27</v>
      </c>
      <c r="AH680">
        <v>0</v>
      </c>
      <c r="AI680">
        <v>0</v>
      </c>
      <c r="AJ680">
        <v>0</v>
      </c>
      <c r="AK680">
        <v>3</v>
      </c>
      <c r="AL680" t="s">
        <v>9679</v>
      </c>
      <c r="AM680" t="s">
        <v>4863</v>
      </c>
      <c r="AN680" t="s">
        <v>9680</v>
      </c>
      <c r="AO680" t="s">
        <v>13551</v>
      </c>
      <c r="AP680" t="s">
        <v>13552</v>
      </c>
      <c r="AQ680" t="s">
        <v>74</v>
      </c>
      <c r="AR680" t="s">
        <v>13553</v>
      </c>
      <c r="AS680" t="s">
        <v>13554</v>
      </c>
      <c r="AT680" t="s">
        <v>13555</v>
      </c>
      <c r="AU680">
        <v>2022</v>
      </c>
      <c r="AV680">
        <v>34</v>
      </c>
      <c r="AW680">
        <v>3</v>
      </c>
      <c r="AX680" t="s">
        <v>74</v>
      </c>
      <c r="AY680" t="s">
        <v>74</v>
      </c>
      <c r="AZ680" t="s">
        <v>74</v>
      </c>
      <c r="BA680" t="s">
        <v>74</v>
      </c>
      <c r="BB680">
        <v>239</v>
      </c>
      <c r="BC680">
        <v>254</v>
      </c>
      <c r="BD680" t="s">
        <v>74</v>
      </c>
      <c r="BE680" t="s">
        <v>13556</v>
      </c>
      <c r="BF680" t="str">
        <f>HYPERLINK("http://dx.doi.org/10.1080/10345329.2022.2051819","http://dx.doi.org/10.1080/10345329.2022.2051819")</f>
        <v>http://dx.doi.org/10.1080/10345329.2022.2051819</v>
      </c>
      <c r="BG680" t="s">
        <v>74</v>
      </c>
      <c r="BH680" t="s">
        <v>12992</v>
      </c>
      <c r="BI680">
        <v>16</v>
      </c>
      <c r="BJ680" t="s">
        <v>13557</v>
      </c>
      <c r="BK680" t="s">
        <v>839</v>
      </c>
      <c r="BL680" t="s">
        <v>13557</v>
      </c>
      <c r="BM680" t="s">
        <v>13558</v>
      </c>
      <c r="BN680" t="s">
        <v>74</v>
      </c>
      <c r="BO680" t="s">
        <v>74</v>
      </c>
      <c r="BP680" t="s">
        <v>74</v>
      </c>
      <c r="BQ680" t="s">
        <v>74</v>
      </c>
      <c r="BR680" t="s">
        <v>103</v>
      </c>
      <c r="BS680" t="s">
        <v>13559</v>
      </c>
      <c r="BT680" t="str">
        <f>HYPERLINK("https%3A%2F%2Fwww.webofscience.com%2Fwos%2Fwoscc%2Ffull-record%2FWOS:000774754200001","View Full Record in Web of Science")</f>
        <v>View Full Record in Web of Science</v>
      </c>
    </row>
    <row r="681" spans="1:72" x14ac:dyDescent="0.15">
      <c r="A681" t="s">
        <v>72</v>
      </c>
      <c r="B681" t="s">
        <v>13560</v>
      </c>
      <c r="C681" t="s">
        <v>74</v>
      </c>
      <c r="D681" t="s">
        <v>74</v>
      </c>
      <c r="E681" t="s">
        <v>74</v>
      </c>
      <c r="F681" t="s">
        <v>13561</v>
      </c>
      <c r="G681" t="s">
        <v>74</v>
      </c>
      <c r="H681" t="s">
        <v>74</v>
      </c>
      <c r="I681" t="s">
        <v>13562</v>
      </c>
      <c r="J681" t="s">
        <v>11675</v>
      </c>
      <c r="K681" t="s">
        <v>74</v>
      </c>
      <c r="L681" t="s">
        <v>74</v>
      </c>
      <c r="M681" t="s">
        <v>78</v>
      </c>
      <c r="N681" t="s">
        <v>79</v>
      </c>
      <c r="O681" t="s">
        <v>74</v>
      </c>
      <c r="P681" t="s">
        <v>74</v>
      </c>
      <c r="Q681" t="s">
        <v>74</v>
      </c>
      <c r="R681" t="s">
        <v>74</v>
      </c>
      <c r="S681" t="s">
        <v>74</v>
      </c>
      <c r="T681" t="s">
        <v>13563</v>
      </c>
      <c r="U681" t="s">
        <v>13564</v>
      </c>
      <c r="V681" t="s">
        <v>13565</v>
      </c>
      <c r="W681" t="s">
        <v>13566</v>
      </c>
      <c r="X681" t="s">
        <v>74</v>
      </c>
      <c r="Y681" t="s">
        <v>13567</v>
      </c>
      <c r="Z681" t="s">
        <v>13568</v>
      </c>
      <c r="AA681" t="s">
        <v>74</v>
      </c>
      <c r="AB681" t="s">
        <v>11697</v>
      </c>
      <c r="AC681" t="s">
        <v>74</v>
      </c>
      <c r="AD681" t="s">
        <v>74</v>
      </c>
      <c r="AE681" t="s">
        <v>74</v>
      </c>
      <c r="AF681" t="s">
        <v>74</v>
      </c>
      <c r="AG681">
        <v>60</v>
      </c>
      <c r="AH681">
        <v>2</v>
      </c>
      <c r="AI681">
        <v>2</v>
      </c>
      <c r="AJ681">
        <v>0</v>
      </c>
      <c r="AK681">
        <v>12</v>
      </c>
      <c r="AL681" t="s">
        <v>9679</v>
      </c>
      <c r="AM681" t="s">
        <v>4863</v>
      </c>
      <c r="AN681" t="s">
        <v>9680</v>
      </c>
      <c r="AO681" t="s">
        <v>11683</v>
      </c>
      <c r="AP681" t="s">
        <v>11684</v>
      </c>
      <c r="AQ681" t="s">
        <v>74</v>
      </c>
      <c r="AR681" t="s">
        <v>11685</v>
      </c>
      <c r="AS681" t="s">
        <v>11686</v>
      </c>
      <c r="AT681" t="s">
        <v>6182</v>
      </c>
      <c r="AU681">
        <v>2022</v>
      </c>
      <c r="AV681">
        <v>76</v>
      </c>
      <c r="AW681">
        <v>3</v>
      </c>
      <c r="AX681" t="s">
        <v>74</v>
      </c>
      <c r="AY681" t="s">
        <v>74</v>
      </c>
      <c r="AZ681" t="s">
        <v>772</v>
      </c>
      <c r="BA681" t="s">
        <v>74</v>
      </c>
      <c r="BB681">
        <v>266</v>
      </c>
      <c r="BC681">
        <v>285</v>
      </c>
      <c r="BD681" t="s">
        <v>74</v>
      </c>
      <c r="BE681" t="s">
        <v>13569</v>
      </c>
      <c r="BF681" t="str">
        <f>HYPERLINK("http://dx.doi.org/10.1080/10357718.2022.2056876","http://dx.doi.org/10.1080/10357718.2022.2056876")</f>
        <v>http://dx.doi.org/10.1080/10357718.2022.2056876</v>
      </c>
      <c r="BG681" t="s">
        <v>74</v>
      </c>
      <c r="BH681" t="s">
        <v>12992</v>
      </c>
      <c r="BI681">
        <v>20</v>
      </c>
      <c r="BJ681" t="s">
        <v>11688</v>
      </c>
      <c r="BK681" t="s">
        <v>9665</v>
      </c>
      <c r="BL681" t="s">
        <v>11688</v>
      </c>
      <c r="BM681" t="s">
        <v>11689</v>
      </c>
      <c r="BN681" t="s">
        <v>74</v>
      </c>
      <c r="BO681" t="s">
        <v>74</v>
      </c>
      <c r="BP681" t="s">
        <v>74</v>
      </c>
      <c r="BQ681" t="s">
        <v>74</v>
      </c>
      <c r="BR681" t="s">
        <v>103</v>
      </c>
      <c r="BS681" t="s">
        <v>13570</v>
      </c>
      <c r="BT681" t="str">
        <f>HYPERLINK("https%3A%2F%2Fwww.webofscience.com%2Fwos%2Fwoscc%2Ffull-record%2FWOS:000773419300001","View Full Record in Web of Science")</f>
        <v>View Full Record in Web of Science</v>
      </c>
    </row>
    <row r="682" spans="1:72" x14ac:dyDescent="0.15">
      <c r="A682" t="s">
        <v>72</v>
      </c>
      <c r="B682" t="s">
        <v>13571</v>
      </c>
      <c r="C682" t="s">
        <v>74</v>
      </c>
      <c r="D682" t="s">
        <v>74</v>
      </c>
      <c r="E682" t="s">
        <v>74</v>
      </c>
      <c r="F682" t="s">
        <v>13572</v>
      </c>
      <c r="G682" t="s">
        <v>74</v>
      </c>
      <c r="H682" t="s">
        <v>74</v>
      </c>
      <c r="I682" t="s">
        <v>13573</v>
      </c>
      <c r="J682" t="s">
        <v>13574</v>
      </c>
      <c r="K682" t="s">
        <v>74</v>
      </c>
      <c r="L682" t="s">
        <v>74</v>
      </c>
      <c r="M682" t="s">
        <v>78</v>
      </c>
      <c r="N682" t="s">
        <v>79</v>
      </c>
      <c r="O682" t="s">
        <v>74</v>
      </c>
      <c r="P682" t="s">
        <v>74</v>
      </c>
      <c r="Q682" t="s">
        <v>74</v>
      </c>
      <c r="R682" t="s">
        <v>74</v>
      </c>
      <c r="S682" t="s">
        <v>74</v>
      </c>
      <c r="T682" t="s">
        <v>13575</v>
      </c>
      <c r="U682" t="s">
        <v>13576</v>
      </c>
      <c r="V682" t="s">
        <v>13577</v>
      </c>
      <c r="W682" t="s">
        <v>13578</v>
      </c>
      <c r="X682" t="s">
        <v>13579</v>
      </c>
      <c r="Y682" t="s">
        <v>13580</v>
      </c>
      <c r="Z682" t="s">
        <v>13581</v>
      </c>
      <c r="AA682" t="s">
        <v>13582</v>
      </c>
      <c r="AB682" t="s">
        <v>13583</v>
      </c>
      <c r="AC682" t="s">
        <v>13584</v>
      </c>
      <c r="AD682" t="s">
        <v>4740</v>
      </c>
      <c r="AE682" t="s">
        <v>13585</v>
      </c>
      <c r="AF682" t="s">
        <v>74</v>
      </c>
      <c r="AG682">
        <v>57</v>
      </c>
      <c r="AH682">
        <v>3</v>
      </c>
      <c r="AI682">
        <v>3</v>
      </c>
      <c r="AJ682">
        <v>9</v>
      </c>
      <c r="AK682">
        <v>33</v>
      </c>
      <c r="AL682" t="s">
        <v>257</v>
      </c>
      <c r="AM682" t="s">
        <v>258</v>
      </c>
      <c r="AN682" t="s">
        <v>259</v>
      </c>
      <c r="AO682" t="s">
        <v>13586</v>
      </c>
      <c r="AP682" t="s">
        <v>74</v>
      </c>
      <c r="AQ682" t="s">
        <v>74</v>
      </c>
      <c r="AR682" t="s">
        <v>13587</v>
      </c>
      <c r="AS682" t="s">
        <v>13588</v>
      </c>
      <c r="AT682" t="s">
        <v>346</v>
      </c>
      <c r="AU682">
        <v>2022</v>
      </c>
      <c r="AV682">
        <v>27</v>
      </c>
      <c r="AW682" t="s">
        <v>74</v>
      </c>
      <c r="AX682" t="s">
        <v>74</v>
      </c>
      <c r="AY682" t="s">
        <v>74</v>
      </c>
      <c r="AZ682" t="s">
        <v>74</v>
      </c>
      <c r="BA682" t="s">
        <v>74</v>
      </c>
      <c r="BB682" t="s">
        <v>74</v>
      </c>
      <c r="BC682" t="s">
        <v>74</v>
      </c>
      <c r="BD682">
        <v>102479</v>
      </c>
      <c r="BE682" t="s">
        <v>13589</v>
      </c>
      <c r="BF682" t="str">
        <f>HYPERLINK("http://dx.doi.org/10.1016/j.eti.2022.102479","http://dx.doi.org/10.1016/j.eti.2022.102479")</f>
        <v>http://dx.doi.org/10.1016/j.eti.2022.102479</v>
      </c>
      <c r="BG682" t="s">
        <v>74</v>
      </c>
      <c r="BH682" t="s">
        <v>12992</v>
      </c>
      <c r="BI682">
        <v>17</v>
      </c>
      <c r="BJ682" t="s">
        <v>13590</v>
      </c>
      <c r="BK682" t="s">
        <v>101</v>
      </c>
      <c r="BL682" t="s">
        <v>13591</v>
      </c>
      <c r="BM682" t="s">
        <v>13592</v>
      </c>
      <c r="BN682" t="s">
        <v>74</v>
      </c>
      <c r="BO682" t="s">
        <v>438</v>
      </c>
      <c r="BP682" t="s">
        <v>74</v>
      </c>
      <c r="BQ682" t="s">
        <v>74</v>
      </c>
      <c r="BR682" t="s">
        <v>103</v>
      </c>
      <c r="BS682" t="s">
        <v>13593</v>
      </c>
      <c r="BT682" t="str">
        <f>HYPERLINK("https%3A%2F%2Fwww.webofscience.com%2Fwos%2Fwoscc%2Ffull-record%2FWOS:000832876300001","View Full Record in Web of Science")</f>
        <v>View Full Record in Web of Science</v>
      </c>
    </row>
    <row r="683" spans="1:72" x14ac:dyDescent="0.15">
      <c r="A683" t="s">
        <v>72</v>
      </c>
      <c r="B683" t="s">
        <v>13594</v>
      </c>
      <c r="C683" t="s">
        <v>74</v>
      </c>
      <c r="D683" t="s">
        <v>74</v>
      </c>
      <c r="E683" t="s">
        <v>74</v>
      </c>
      <c r="F683" t="s">
        <v>13595</v>
      </c>
      <c r="G683" t="s">
        <v>74</v>
      </c>
      <c r="H683" t="s">
        <v>74</v>
      </c>
      <c r="I683" t="s">
        <v>13596</v>
      </c>
      <c r="J683" t="s">
        <v>4070</v>
      </c>
      <c r="K683" t="s">
        <v>74</v>
      </c>
      <c r="L683" t="s">
        <v>74</v>
      </c>
      <c r="M683" t="s">
        <v>78</v>
      </c>
      <c r="N683" t="s">
        <v>79</v>
      </c>
      <c r="O683" t="s">
        <v>74</v>
      </c>
      <c r="P683" t="s">
        <v>74</v>
      </c>
      <c r="Q683" t="s">
        <v>74</v>
      </c>
      <c r="R683" t="s">
        <v>74</v>
      </c>
      <c r="S683" t="s">
        <v>74</v>
      </c>
      <c r="T683" t="s">
        <v>13597</v>
      </c>
      <c r="U683" t="s">
        <v>13598</v>
      </c>
      <c r="V683" t="s">
        <v>13599</v>
      </c>
      <c r="W683" t="s">
        <v>13600</v>
      </c>
      <c r="X683" t="s">
        <v>13601</v>
      </c>
      <c r="Y683" t="s">
        <v>13602</v>
      </c>
      <c r="Z683" t="s">
        <v>13603</v>
      </c>
      <c r="AA683" t="s">
        <v>13604</v>
      </c>
      <c r="AB683" t="s">
        <v>13605</v>
      </c>
      <c r="AC683" t="s">
        <v>13606</v>
      </c>
      <c r="AD683" t="s">
        <v>13607</v>
      </c>
      <c r="AE683" t="s">
        <v>13608</v>
      </c>
      <c r="AF683" t="s">
        <v>74</v>
      </c>
      <c r="AG683">
        <v>98</v>
      </c>
      <c r="AH683">
        <v>3</v>
      </c>
      <c r="AI683">
        <v>3</v>
      </c>
      <c r="AJ683">
        <v>0</v>
      </c>
      <c r="AK683">
        <v>1</v>
      </c>
      <c r="AL683" t="s">
        <v>199</v>
      </c>
      <c r="AM683" t="s">
        <v>200</v>
      </c>
      <c r="AN683" t="s">
        <v>201</v>
      </c>
      <c r="AO683" t="s">
        <v>4083</v>
      </c>
      <c r="AP683" t="s">
        <v>4084</v>
      </c>
      <c r="AQ683" t="s">
        <v>74</v>
      </c>
      <c r="AR683" t="s">
        <v>4085</v>
      </c>
      <c r="AS683" t="s">
        <v>4086</v>
      </c>
      <c r="AT683" t="s">
        <v>4826</v>
      </c>
      <c r="AU683">
        <v>2022</v>
      </c>
      <c r="AV683">
        <v>325</v>
      </c>
      <c r="AW683" t="s">
        <v>74</v>
      </c>
      <c r="AX683" t="s">
        <v>74</v>
      </c>
      <c r="AY683" t="s">
        <v>74</v>
      </c>
      <c r="AZ683" t="s">
        <v>74</v>
      </c>
      <c r="BA683" t="s">
        <v>74</v>
      </c>
      <c r="BB683">
        <v>39</v>
      </c>
      <c r="BC683">
        <v>64</v>
      </c>
      <c r="BD683" t="s">
        <v>74</v>
      </c>
      <c r="BE683" t="s">
        <v>13609</v>
      </c>
      <c r="BF683" t="str">
        <f>HYPERLINK("http://dx.doi.org/10.1016/j.gca.2022.03.019","http://dx.doi.org/10.1016/j.gca.2022.03.019")</f>
        <v>http://dx.doi.org/10.1016/j.gca.2022.03.019</v>
      </c>
      <c r="BG683" t="s">
        <v>74</v>
      </c>
      <c r="BH683" t="s">
        <v>12992</v>
      </c>
      <c r="BI683">
        <v>26</v>
      </c>
      <c r="BJ683" t="s">
        <v>2144</v>
      </c>
      <c r="BK683" t="s">
        <v>101</v>
      </c>
      <c r="BL683" t="s">
        <v>2144</v>
      </c>
      <c r="BM683" t="s">
        <v>10615</v>
      </c>
      <c r="BN683" t="s">
        <v>74</v>
      </c>
      <c r="BO683" t="s">
        <v>74</v>
      </c>
      <c r="BP683" t="s">
        <v>74</v>
      </c>
      <c r="BQ683" t="s">
        <v>74</v>
      </c>
      <c r="BR683" t="s">
        <v>103</v>
      </c>
      <c r="BS683" t="s">
        <v>13610</v>
      </c>
      <c r="BT683" t="str">
        <f>HYPERLINK("https%3A%2F%2Fwww.webofscience.com%2Fwos%2Fwoscc%2Ffull-record%2FWOS:000822547100003","View Full Record in Web of Science")</f>
        <v>View Full Record in Web of Science</v>
      </c>
    </row>
    <row r="684" spans="1:72" x14ac:dyDescent="0.15">
      <c r="A684" t="s">
        <v>72</v>
      </c>
      <c r="B684" t="s">
        <v>13611</v>
      </c>
      <c r="C684" t="s">
        <v>74</v>
      </c>
      <c r="D684" t="s">
        <v>74</v>
      </c>
      <c r="E684" t="s">
        <v>74</v>
      </c>
      <c r="F684" t="s">
        <v>13612</v>
      </c>
      <c r="G684" t="s">
        <v>74</v>
      </c>
      <c r="H684" t="s">
        <v>74</v>
      </c>
      <c r="I684" t="s">
        <v>13613</v>
      </c>
      <c r="J684" t="s">
        <v>3419</v>
      </c>
      <c r="K684" t="s">
        <v>74</v>
      </c>
      <c r="L684" t="s">
        <v>74</v>
      </c>
      <c r="M684" t="s">
        <v>78</v>
      </c>
      <c r="N684" t="s">
        <v>79</v>
      </c>
      <c r="O684" t="s">
        <v>74</v>
      </c>
      <c r="P684" t="s">
        <v>74</v>
      </c>
      <c r="Q684" t="s">
        <v>74</v>
      </c>
      <c r="R684" t="s">
        <v>74</v>
      </c>
      <c r="S684" t="s">
        <v>74</v>
      </c>
      <c r="T684" t="s">
        <v>13614</v>
      </c>
      <c r="U684" t="s">
        <v>13615</v>
      </c>
      <c r="V684" t="s">
        <v>13616</v>
      </c>
      <c r="W684" t="s">
        <v>13617</v>
      </c>
      <c r="X684" t="s">
        <v>13618</v>
      </c>
      <c r="Y684" t="s">
        <v>13619</v>
      </c>
      <c r="Z684" t="s">
        <v>13620</v>
      </c>
      <c r="AA684" t="s">
        <v>13621</v>
      </c>
      <c r="AB684" t="s">
        <v>13622</v>
      </c>
      <c r="AC684" t="s">
        <v>13623</v>
      </c>
      <c r="AD684" t="s">
        <v>13624</v>
      </c>
      <c r="AE684" t="s">
        <v>13625</v>
      </c>
      <c r="AF684" t="s">
        <v>74</v>
      </c>
      <c r="AG684">
        <v>58</v>
      </c>
      <c r="AH684">
        <v>8</v>
      </c>
      <c r="AI684">
        <v>8</v>
      </c>
      <c r="AJ684">
        <v>0</v>
      </c>
      <c r="AK684">
        <v>13</v>
      </c>
      <c r="AL684" t="s">
        <v>2042</v>
      </c>
      <c r="AM684" t="s">
        <v>2043</v>
      </c>
      <c r="AN684" t="s">
        <v>2044</v>
      </c>
      <c r="AO684" t="s">
        <v>3432</v>
      </c>
      <c r="AP684" t="s">
        <v>3433</v>
      </c>
      <c r="AQ684" t="s">
        <v>74</v>
      </c>
      <c r="AR684" t="s">
        <v>3434</v>
      </c>
      <c r="AS684" t="s">
        <v>3435</v>
      </c>
      <c r="AT684" t="s">
        <v>13626</v>
      </c>
      <c r="AU684">
        <v>2022</v>
      </c>
      <c r="AV684">
        <v>49</v>
      </c>
      <c r="AW684">
        <v>6</v>
      </c>
      <c r="AX684" t="s">
        <v>74</v>
      </c>
      <c r="AY684" t="s">
        <v>74</v>
      </c>
      <c r="AZ684" t="s">
        <v>74</v>
      </c>
      <c r="BA684" t="s">
        <v>74</v>
      </c>
      <c r="BB684" t="s">
        <v>74</v>
      </c>
      <c r="BC684" t="s">
        <v>74</v>
      </c>
      <c r="BD684" t="s">
        <v>13627</v>
      </c>
      <c r="BE684" t="s">
        <v>13628</v>
      </c>
      <c r="BF684" t="str">
        <f>HYPERLINK("http://dx.doi.org/10.1029/2022GL098252","http://dx.doi.org/10.1029/2022GL098252")</f>
        <v>http://dx.doi.org/10.1029/2022GL098252</v>
      </c>
      <c r="BG684" t="s">
        <v>74</v>
      </c>
      <c r="BH684" t="s">
        <v>74</v>
      </c>
      <c r="BI684">
        <v>9</v>
      </c>
      <c r="BJ684" t="s">
        <v>265</v>
      </c>
      <c r="BK684" t="s">
        <v>101</v>
      </c>
      <c r="BL684" t="s">
        <v>100</v>
      </c>
      <c r="BM684" t="s">
        <v>13629</v>
      </c>
      <c r="BN684" t="s">
        <v>74</v>
      </c>
      <c r="BO684" t="s">
        <v>74</v>
      </c>
      <c r="BP684" t="s">
        <v>74</v>
      </c>
      <c r="BQ684" t="s">
        <v>74</v>
      </c>
      <c r="BR684" t="s">
        <v>103</v>
      </c>
      <c r="BS684" t="s">
        <v>13630</v>
      </c>
      <c r="BT684" t="str">
        <f>HYPERLINK("https%3A%2F%2Fwww.webofscience.com%2Fwos%2Fwoscc%2Ffull-record%2FWOS:000777608200042","View Full Record in Web of Science")</f>
        <v>View Full Record in Web of Science</v>
      </c>
    </row>
    <row r="685" spans="1:72" x14ac:dyDescent="0.15">
      <c r="A685" t="s">
        <v>72</v>
      </c>
      <c r="B685" t="s">
        <v>13631</v>
      </c>
      <c r="C685" t="s">
        <v>74</v>
      </c>
      <c r="D685" t="s">
        <v>74</v>
      </c>
      <c r="E685" t="s">
        <v>74</v>
      </c>
      <c r="F685" t="s">
        <v>13632</v>
      </c>
      <c r="G685" t="s">
        <v>74</v>
      </c>
      <c r="H685" t="s">
        <v>74</v>
      </c>
      <c r="I685" t="s">
        <v>13633</v>
      </c>
      <c r="J685" t="s">
        <v>3419</v>
      </c>
      <c r="K685" t="s">
        <v>74</v>
      </c>
      <c r="L685" t="s">
        <v>74</v>
      </c>
      <c r="M685" t="s">
        <v>78</v>
      </c>
      <c r="N685" t="s">
        <v>79</v>
      </c>
      <c r="O685" t="s">
        <v>74</v>
      </c>
      <c r="P685" t="s">
        <v>74</v>
      </c>
      <c r="Q685" t="s">
        <v>74</v>
      </c>
      <c r="R685" t="s">
        <v>74</v>
      </c>
      <c r="S685" t="s">
        <v>74</v>
      </c>
      <c r="T685" t="s">
        <v>74</v>
      </c>
      <c r="U685" t="s">
        <v>13634</v>
      </c>
      <c r="V685" t="s">
        <v>13635</v>
      </c>
      <c r="W685" t="s">
        <v>13636</v>
      </c>
      <c r="X685" t="s">
        <v>13637</v>
      </c>
      <c r="Y685" t="s">
        <v>13638</v>
      </c>
      <c r="Z685" t="s">
        <v>13639</v>
      </c>
      <c r="AA685" t="s">
        <v>13640</v>
      </c>
      <c r="AB685" t="s">
        <v>13641</v>
      </c>
      <c r="AC685" t="s">
        <v>13642</v>
      </c>
      <c r="AD685" t="s">
        <v>13643</v>
      </c>
      <c r="AE685" t="s">
        <v>13644</v>
      </c>
      <c r="AF685" t="s">
        <v>74</v>
      </c>
      <c r="AG685">
        <v>33</v>
      </c>
      <c r="AH685">
        <v>17</v>
      </c>
      <c r="AI685">
        <v>18</v>
      </c>
      <c r="AJ685">
        <v>5</v>
      </c>
      <c r="AK685">
        <v>26</v>
      </c>
      <c r="AL685" t="s">
        <v>2042</v>
      </c>
      <c r="AM685" t="s">
        <v>2043</v>
      </c>
      <c r="AN685" t="s">
        <v>2044</v>
      </c>
      <c r="AO685" t="s">
        <v>3432</v>
      </c>
      <c r="AP685" t="s">
        <v>3433</v>
      </c>
      <c r="AQ685" t="s">
        <v>74</v>
      </c>
      <c r="AR685" t="s">
        <v>3434</v>
      </c>
      <c r="AS685" t="s">
        <v>3435</v>
      </c>
      <c r="AT685" t="s">
        <v>13626</v>
      </c>
      <c r="AU685">
        <v>2022</v>
      </c>
      <c r="AV685">
        <v>49</v>
      </c>
      <c r="AW685">
        <v>6</v>
      </c>
      <c r="AX685" t="s">
        <v>74</v>
      </c>
      <c r="AY685" t="s">
        <v>74</v>
      </c>
      <c r="AZ685" t="s">
        <v>74</v>
      </c>
      <c r="BA685" t="s">
        <v>74</v>
      </c>
      <c r="BB685" t="s">
        <v>74</v>
      </c>
      <c r="BC685" t="s">
        <v>74</v>
      </c>
      <c r="BD685" t="s">
        <v>13645</v>
      </c>
      <c r="BE685" t="s">
        <v>13646</v>
      </c>
      <c r="BF685" t="str">
        <f>HYPERLINK("http://dx.doi.org/10.1029/2021GL097002","http://dx.doi.org/10.1029/2021GL097002")</f>
        <v>http://dx.doi.org/10.1029/2021GL097002</v>
      </c>
      <c r="BG685" t="s">
        <v>74</v>
      </c>
      <c r="BH685" t="s">
        <v>74</v>
      </c>
      <c r="BI685">
        <v>9</v>
      </c>
      <c r="BJ685" t="s">
        <v>265</v>
      </c>
      <c r="BK685" t="s">
        <v>101</v>
      </c>
      <c r="BL685" t="s">
        <v>100</v>
      </c>
      <c r="BM685" t="s">
        <v>13629</v>
      </c>
      <c r="BN685" t="s">
        <v>74</v>
      </c>
      <c r="BO685" t="s">
        <v>590</v>
      </c>
      <c r="BP685" t="s">
        <v>74</v>
      </c>
      <c r="BQ685" t="s">
        <v>74</v>
      </c>
      <c r="BR685" t="s">
        <v>103</v>
      </c>
      <c r="BS685" t="s">
        <v>13647</v>
      </c>
      <c r="BT685" t="str">
        <f>HYPERLINK("https%3A%2F%2Fwww.webofscience.com%2Fwos%2Fwoscc%2Ffull-record%2FWOS:000777608200027","View Full Record in Web of Science")</f>
        <v>View Full Record in Web of Science</v>
      </c>
    </row>
    <row r="686" spans="1:72" x14ac:dyDescent="0.15">
      <c r="A686" t="s">
        <v>72</v>
      </c>
      <c r="B686" t="s">
        <v>13648</v>
      </c>
      <c r="C686" t="s">
        <v>74</v>
      </c>
      <c r="D686" t="s">
        <v>74</v>
      </c>
      <c r="E686" t="s">
        <v>74</v>
      </c>
      <c r="F686" t="s">
        <v>13649</v>
      </c>
      <c r="G686" t="s">
        <v>74</v>
      </c>
      <c r="H686" t="s">
        <v>74</v>
      </c>
      <c r="I686" t="s">
        <v>13650</v>
      </c>
      <c r="J686" t="s">
        <v>13651</v>
      </c>
      <c r="K686" t="s">
        <v>74</v>
      </c>
      <c r="L686" t="s">
        <v>74</v>
      </c>
      <c r="M686" t="s">
        <v>78</v>
      </c>
      <c r="N686" t="s">
        <v>79</v>
      </c>
      <c r="O686" t="s">
        <v>74</v>
      </c>
      <c r="P686" t="s">
        <v>74</v>
      </c>
      <c r="Q686" t="s">
        <v>74</v>
      </c>
      <c r="R686" t="s">
        <v>74</v>
      </c>
      <c r="S686" t="s">
        <v>74</v>
      </c>
      <c r="T686" t="s">
        <v>13652</v>
      </c>
      <c r="U686" t="s">
        <v>13653</v>
      </c>
      <c r="V686" t="s">
        <v>13654</v>
      </c>
      <c r="W686" t="s">
        <v>13655</v>
      </c>
      <c r="X686" t="s">
        <v>13656</v>
      </c>
      <c r="Y686" t="s">
        <v>13657</v>
      </c>
      <c r="Z686" t="s">
        <v>13658</v>
      </c>
      <c r="AA686" t="s">
        <v>74</v>
      </c>
      <c r="AB686" t="s">
        <v>13659</v>
      </c>
      <c r="AC686" t="s">
        <v>13660</v>
      </c>
      <c r="AD686" t="s">
        <v>13661</v>
      </c>
      <c r="AE686" t="s">
        <v>13662</v>
      </c>
      <c r="AF686" t="s">
        <v>74</v>
      </c>
      <c r="AG686">
        <v>46</v>
      </c>
      <c r="AH686">
        <v>1</v>
      </c>
      <c r="AI686">
        <v>1</v>
      </c>
      <c r="AJ686">
        <v>0</v>
      </c>
      <c r="AK686">
        <v>3</v>
      </c>
      <c r="AL686" t="s">
        <v>5126</v>
      </c>
      <c r="AM686" t="s">
        <v>5127</v>
      </c>
      <c r="AN686" t="s">
        <v>13663</v>
      </c>
      <c r="AO686" t="s">
        <v>13664</v>
      </c>
      <c r="AP686" t="s">
        <v>13665</v>
      </c>
      <c r="AQ686" t="s">
        <v>74</v>
      </c>
      <c r="AR686" t="s">
        <v>13651</v>
      </c>
      <c r="AS686" t="s">
        <v>13666</v>
      </c>
      <c r="AT686" t="s">
        <v>13626</v>
      </c>
      <c r="AU686">
        <v>2022</v>
      </c>
      <c r="AV686">
        <v>5120</v>
      </c>
      <c r="AW686">
        <v>3</v>
      </c>
      <c r="AX686" t="s">
        <v>74</v>
      </c>
      <c r="AY686" t="s">
        <v>74</v>
      </c>
      <c r="AZ686" t="s">
        <v>74</v>
      </c>
      <c r="BA686" t="s">
        <v>74</v>
      </c>
      <c r="BB686">
        <v>334</v>
      </c>
      <c r="BC686">
        <v>344</v>
      </c>
      <c r="BD686" t="s">
        <v>74</v>
      </c>
      <c r="BE686" t="s">
        <v>13667</v>
      </c>
      <c r="BF686" t="str">
        <f>HYPERLINK("http://dx.doi.org/10.11646/zootaxa.5120.3.2","http://dx.doi.org/10.11646/zootaxa.5120.3.2")</f>
        <v>http://dx.doi.org/10.11646/zootaxa.5120.3.2</v>
      </c>
      <c r="BG686" t="s">
        <v>74</v>
      </c>
      <c r="BH686" t="s">
        <v>74</v>
      </c>
      <c r="BI686">
        <v>11</v>
      </c>
      <c r="BJ686" t="s">
        <v>1054</v>
      </c>
      <c r="BK686" t="s">
        <v>101</v>
      </c>
      <c r="BL686" t="s">
        <v>1054</v>
      </c>
      <c r="BM686" t="s">
        <v>13668</v>
      </c>
      <c r="BN686">
        <v>35391164</v>
      </c>
      <c r="BO686" t="s">
        <v>74</v>
      </c>
      <c r="BP686" t="s">
        <v>74</v>
      </c>
      <c r="BQ686" t="s">
        <v>74</v>
      </c>
      <c r="BR686" t="s">
        <v>103</v>
      </c>
      <c r="BS686" t="s">
        <v>13669</v>
      </c>
      <c r="BT686" t="str">
        <f>HYPERLINK("https%3A%2F%2Fwww.webofscience.com%2Fwos%2Fwoscc%2Ffull-record%2FWOS:000778803800002","View Full Record in Web of Science")</f>
        <v>View Full Record in Web of Science</v>
      </c>
    </row>
    <row r="687" spans="1:72" x14ac:dyDescent="0.15">
      <c r="A687" t="s">
        <v>72</v>
      </c>
      <c r="B687" t="s">
        <v>13670</v>
      </c>
      <c r="C687" t="s">
        <v>74</v>
      </c>
      <c r="D687" t="s">
        <v>74</v>
      </c>
      <c r="E687" t="s">
        <v>74</v>
      </c>
      <c r="F687" t="s">
        <v>13671</v>
      </c>
      <c r="G687" t="s">
        <v>74</v>
      </c>
      <c r="H687" t="s">
        <v>74</v>
      </c>
      <c r="I687" t="s">
        <v>13672</v>
      </c>
      <c r="J687" t="s">
        <v>4294</v>
      </c>
      <c r="K687" t="s">
        <v>74</v>
      </c>
      <c r="L687" t="s">
        <v>74</v>
      </c>
      <c r="M687" t="s">
        <v>78</v>
      </c>
      <c r="N687" t="s">
        <v>79</v>
      </c>
      <c r="O687" t="s">
        <v>74</v>
      </c>
      <c r="P687" t="s">
        <v>74</v>
      </c>
      <c r="Q687" t="s">
        <v>74</v>
      </c>
      <c r="R687" t="s">
        <v>74</v>
      </c>
      <c r="S687" t="s">
        <v>74</v>
      </c>
      <c r="T687" t="s">
        <v>74</v>
      </c>
      <c r="U687" t="s">
        <v>13673</v>
      </c>
      <c r="V687" t="s">
        <v>13674</v>
      </c>
      <c r="W687" t="s">
        <v>13675</v>
      </c>
      <c r="X687" t="s">
        <v>13676</v>
      </c>
      <c r="Y687" t="s">
        <v>13677</v>
      </c>
      <c r="Z687" t="s">
        <v>13678</v>
      </c>
      <c r="AA687" t="s">
        <v>13679</v>
      </c>
      <c r="AB687" t="s">
        <v>13680</v>
      </c>
      <c r="AC687" t="s">
        <v>13681</v>
      </c>
      <c r="AD687" t="s">
        <v>13682</v>
      </c>
      <c r="AE687" t="s">
        <v>13683</v>
      </c>
      <c r="AF687" t="s">
        <v>74</v>
      </c>
      <c r="AG687">
        <v>65</v>
      </c>
      <c r="AH687">
        <v>4</v>
      </c>
      <c r="AI687">
        <v>4</v>
      </c>
      <c r="AJ687">
        <v>1</v>
      </c>
      <c r="AK687">
        <v>10</v>
      </c>
      <c r="AL687" t="s">
        <v>455</v>
      </c>
      <c r="AM687" t="s">
        <v>456</v>
      </c>
      <c r="AN687" t="s">
        <v>457</v>
      </c>
      <c r="AO687" t="s">
        <v>4306</v>
      </c>
      <c r="AP687" t="s">
        <v>74</v>
      </c>
      <c r="AQ687" t="s">
        <v>74</v>
      </c>
      <c r="AR687" t="s">
        <v>4307</v>
      </c>
      <c r="AS687" t="s">
        <v>4308</v>
      </c>
      <c r="AT687" t="s">
        <v>13626</v>
      </c>
      <c r="AU687">
        <v>2022</v>
      </c>
      <c r="AV687">
        <v>12</v>
      </c>
      <c r="AW687">
        <v>1</v>
      </c>
      <c r="AX687" t="s">
        <v>74</v>
      </c>
      <c r="AY687" t="s">
        <v>74</v>
      </c>
      <c r="AZ687" t="s">
        <v>74</v>
      </c>
      <c r="BA687" t="s">
        <v>74</v>
      </c>
      <c r="BB687" t="s">
        <v>74</v>
      </c>
      <c r="BC687" t="s">
        <v>74</v>
      </c>
      <c r="BD687">
        <v>5251</v>
      </c>
      <c r="BE687" t="s">
        <v>13684</v>
      </c>
      <c r="BF687" t="str">
        <f>HYPERLINK("http://dx.doi.org/10.1038/s41598-022-09090-3","http://dx.doi.org/10.1038/s41598-022-09090-3")</f>
        <v>http://dx.doi.org/10.1038/s41598-022-09090-3</v>
      </c>
      <c r="BG687" t="s">
        <v>74</v>
      </c>
      <c r="BH687" t="s">
        <v>74</v>
      </c>
      <c r="BI687">
        <v>12</v>
      </c>
      <c r="BJ687" t="s">
        <v>657</v>
      </c>
      <c r="BK687" t="s">
        <v>101</v>
      </c>
      <c r="BL687" t="s">
        <v>658</v>
      </c>
      <c r="BM687" t="s">
        <v>13685</v>
      </c>
      <c r="BN687">
        <v>35347167</v>
      </c>
      <c r="BO687" t="s">
        <v>4312</v>
      </c>
      <c r="BP687" t="s">
        <v>74</v>
      </c>
      <c r="BQ687" t="s">
        <v>74</v>
      </c>
      <c r="BR687" t="s">
        <v>103</v>
      </c>
      <c r="BS687" t="s">
        <v>13686</v>
      </c>
      <c r="BT687" t="str">
        <f>HYPERLINK("https%3A%2F%2Fwww.webofscience.com%2Fwos%2Fwoscc%2Ffull-record%2FWOS:000774204500061","View Full Record in Web of Science")</f>
        <v>View Full Record in Web of Science</v>
      </c>
    </row>
    <row r="688" spans="1:72" x14ac:dyDescent="0.15">
      <c r="A688" t="s">
        <v>72</v>
      </c>
      <c r="B688" t="s">
        <v>13687</v>
      </c>
      <c r="C688" t="s">
        <v>74</v>
      </c>
      <c r="D688" t="s">
        <v>74</v>
      </c>
      <c r="E688" t="s">
        <v>74</v>
      </c>
      <c r="F688" t="s">
        <v>13688</v>
      </c>
      <c r="G688" t="s">
        <v>74</v>
      </c>
      <c r="H688" t="s">
        <v>74</v>
      </c>
      <c r="I688" t="s">
        <v>13689</v>
      </c>
      <c r="J688" t="s">
        <v>13690</v>
      </c>
      <c r="K688" t="s">
        <v>74</v>
      </c>
      <c r="L688" t="s">
        <v>74</v>
      </c>
      <c r="M688" t="s">
        <v>78</v>
      </c>
      <c r="N688" t="s">
        <v>79</v>
      </c>
      <c r="O688" t="s">
        <v>74</v>
      </c>
      <c r="P688" t="s">
        <v>74</v>
      </c>
      <c r="Q688" t="s">
        <v>74</v>
      </c>
      <c r="R688" t="s">
        <v>74</v>
      </c>
      <c r="S688" t="s">
        <v>74</v>
      </c>
      <c r="T688" t="s">
        <v>13691</v>
      </c>
      <c r="U688" t="s">
        <v>13692</v>
      </c>
      <c r="V688" t="s">
        <v>13693</v>
      </c>
      <c r="W688" t="s">
        <v>13694</v>
      </c>
      <c r="X688" t="s">
        <v>13695</v>
      </c>
      <c r="Y688" t="s">
        <v>13696</v>
      </c>
      <c r="Z688" t="s">
        <v>13697</v>
      </c>
      <c r="AA688" t="s">
        <v>13698</v>
      </c>
      <c r="AB688" t="s">
        <v>13699</v>
      </c>
      <c r="AC688" t="s">
        <v>13700</v>
      </c>
      <c r="AD688" t="s">
        <v>13701</v>
      </c>
      <c r="AE688" t="s">
        <v>13702</v>
      </c>
      <c r="AF688" t="s">
        <v>74</v>
      </c>
      <c r="AG688">
        <v>58</v>
      </c>
      <c r="AH688">
        <v>24</v>
      </c>
      <c r="AI688">
        <v>25</v>
      </c>
      <c r="AJ688">
        <v>6</v>
      </c>
      <c r="AK688">
        <v>38</v>
      </c>
      <c r="AL688" t="s">
        <v>400</v>
      </c>
      <c r="AM688" t="s">
        <v>401</v>
      </c>
      <c r="AN688" t="s">
        <v>402</v>
      </c>
      <c r="AO688" t="s">
        <v>13703</v>
      </c>
      <c r="AP688" t="s">
        <v>13704</v>
      </c>
      <c r="AQ688" t="s">
        <v>74</v>
      </c>
      <c r="AR688" t="s">
        <v>13705</v>
      </c>
      <c r="AS688" t="s">
        <v>13706</v>
      </c>
      <c r="AT688" t="s">
        <v>13626</v>
      </c>
      <c r="AU688">
        <v>2022</v>
      </c>
      <c r="AV688">
        <v>3</v>
      </c>
      <c r="AW688">
        <v>1</v>
      </c>
      <c r="AX688" t="s">
        <v>74</v>
      </c>
      <c r="AY688" t="s">
        <v>74</v>
      </c>
      <c r="AZ688" t="s">
        <v>74</v>
      </c>
      <c r="BA688" t="s">
        <v>74</v>
      </c>
      <c r="BB688" t="s">
        <v>74</v>
      </c>
      <c r="BC688" t="s">
        <v>74</v>
      </c>
      <c r="BD688">
        <v>6</v>
      </c>
      <c r="BE688" t="s">
        <v>13707</v>
      </c>
      <c r="BF688" t="str">
        <f>HYPERLINK("http://dx.doi.org/10.1186/s43020-022-00067-1","http://dx.doi.org/10.1186/s43020-022-00067-1")</f>
        <v>http://dx.doi.org/10.1186/s43020-022-00067-1</v>
      </c>
      <c r="BG688" t="s">
        <v>74</v>
      </c>
      <c r="BH688" t="s">
        <v>74</v>
      </c>
      <c r="BI688">
        <v>13</v>
      </c>
      <c r="BJ688" t="s">
        <v>13708</v>
      </c>
      <c r="BK688" t="s">
        <v>101</v>
      </c>
      <c r="BL688" t="s">
        <v>13709</v>
      </c>
      <c r="BM688" t="s">
        <v>13710</v>
      </c>
      <c r="BN688" t="s">
        <v>74</v>
      </c>
      <c r="BO688" t="s">
        <v>295</v>
      </c>
      <c r="BP688" t="s">
        <v>74</v>
      </c>
      <c r="BQ688" t="s">
        <v>74</v>
      </c>
      <c r="BR688" t="s">
        <v>103</v>
      </c>
      <c r="BS688" t="s">
        <v>13711</v>
      </c>
      <c r="BT688" t="str">
        <f>HYPERLINK("https%3A%2F%2Fwww.webofscience.com%2Fwos%2Fwoscc%2Ffull-record%2FWOS:000777557800001","View Full Record in Web of Science")</f>
        <v>View Full Record in Web of Science</v>
      </c>
    </row>
    <row r="689" spans="1:72" x14ac:dyDescent="0.15">
      <c r="A689" t="s">
        <v>72</v>
      </c>
      <c r="B689" t="s">
        <v>13712</v>
      </c>
      <c r="C689" t="s">
        <v>74</v>
      </c>
      <c r="D689" t="s">
        <v>74</v>
      </c>
      <c r="E689" t="s">
        <v>74</v>
      </c>
      <c r="F689" t="s">
        <v>13713</v>
      </c>
      <c r="G689" t="s">
        <v>74</v>
      </c>
      <c r="H689" t="s">
        <v>74</v>
      </c>
      <c r="I689" t="s">
        <v>13714</v>
      </c>
      <c r="J689" t="s">
        <v>443</v>
      </c>
      <c r="K689" t="s">
        <v>74</v>
      </c>
      <c r="L689" t="s">
        <v>74</v>
      </c>
      <c r="M689" t="s">
        <v>78</v>
      </c>
      <c r="N689" t="s">
        <v>79</v>
      </c>
      <c r="O689" t="s">
        <v>74</v>
      </c>
      <c r="P689" t="s">
        <v>74</v>
      </c>
      <c r="Q689" t="s">
        <v>74</v>
      </c>
      <c r="R689" t="s">
        <v>74</v>
      </c>
      <c r="S689" t="s">
        <v>74</v>
      </c>
      <c r="T689" t="s">
        <v>74</v>
      </c>
      <c r="U689" t="s">
        <v>13715</v>
      </c>
      <c r="V689" t="s">
        <v>13716</v>
      </c>
      <c r="W689" t="s">
        <v>13717</v>
      </c>
      <c r="X689" t="s">
        <v>13718</v>
      </c>
      <c r="Y689" t="s">
        <v>13719</v>
      </c>
      <c r="Z689" t="s">
        <v>13720</v>
      </c>
      <c r="AA689" t="s">
        <v>13721</v>
      </c>
      <c r="AB689" t="s">
        <v>13722</v>
      </c>
      <c r="AC689" t="s">
        <v>13723</v>
      </c>
      <c r="AD689" t="s">
        <v>13724</v>
      </c>
      <c r="AE689" t="s">
        <v>13725</v>
      </c>
      <c r="AF689" t="s">
        <v>74</v>
      </c>
      <c r="AG689">
        <v>29</v>
      </c>
      <c r="AH689">
        <v>8</v>
      </c>
      <c r="AI689">
        <v>9</v>
      </c>
      <c r="AJ689">
        <v>3</v>
      </c>
      <c r="AK689">
        <v>18</v>
      </c>
      <c r="AL689" t="s">
        <v>455</v>
      </c>
      <c r="AM689" t="s">
        <v>456</v>
      </c>
      <c r="AN689" t="s">
        <v>457</v>
      </c>
      <c r="AO689" t="s">
        <v>458</v>
      </c>
      <c r="AP689" t="s">
        <v>459</v>
      </c>
      <c r="AQ689" t="s">
        <v>74</v>
      </c>
      <c r="AR689" t="s">
        <v>460</v>
      </c>
      <c r="AS689" t="s">
        <v>461</v>
      </c>
      <c r="AT689" t="s">
        <v>8316</v>
      </c>
      <c r="AU689">
        <v>2022</v>
      </c>
      <c r="AV689">
        <v>15</v>
      </c>
      <c r="AW689">
        <v>4</v>
      </c>
      <c r="AX689" t="s">
        <v>74</v>
      </c>
      <c r="AY689" t="s">
        <v>74</v>
      </c>
      <c r="AZ689" t="s">
        <v>74</v>
      </c>
      <c r="BA689" t="s">
        <v>74</v>
      </c>
      <c r="BB689">
        <v>277</v>
      </c>
      <c r="BC689" t="s">
        <v>462</v>
      </c>
      <c r="BD689" t="s">
        <v>74</v>
      </c>
      <c r="BE689" t="s">
        <v>13726</v>
      </c>
      <c r="BF689" t="str">
        <f>HYPERLINK("http://dx.doi.org/10.1038/s41561-022-00913-6","http://dx.doi.org/10.1038/s41561-022-00913-6")</f>
        <v>http://dx.doi.org/10.1038/s41561-022-00913-6</v>
      </c>
      <c r="BG689" t="s">
        <v>74</v>
      </c>
      <c r="BH689" t="s">
        <v>12992</v>
      </c>
      <c r="BI689">
        <v>6</v>
      </c>
      <c r="BJ689" t="s">
        <v>265</v>
      </c>
      <c r="BK689" t="s">
        <v>101</v>
      </c>
      <c r="BL689" t="s">
        <v>100</v>
      </c>
      <c r="BM689" t="s">
        <v>13113</v>
      </c>
      <c r="BN689" t="s">
        <v>74</v>
      </c>
      <c r="BO689" t="s">
        <v>74</v>
      </c>
      <c r="BP689" t="s">
        <v>74</v>
      </c>
      <c r="BQ689" t="s">
        <v>74</v>
      </c>
      <c r="BR689" t="s">
        <v>103</v>
      </c>
      <c r="BS689" t="s">
        <v>13727</v>
      </c>
      <c r="BT689" t="str">
        <f>HYPERLINK("https%3A%2F%2Fwww.webofscience.com%2Fwos%2Fwoscc%2Ffull-record%2FWOS:000773962000001","View Full Record in Web of Science")</f>
        <v>View Full Record in Web of Science</v>
      </c>
    </row>
    <row r="690" spans="1:72" x14ac:dyDescent="0.15">
      <c r="A690" t="s">
        <v>72</v>
      </c>
      <c r="B690" t="s">
        <v>13728</v>
      </c>
      <c r="C690" t="s">
        <v>74</v>
      </c>
      <c r="D690" t="s">
        <v>74</v>
      </c>
      <c r="E690" t="s">
        <v>74</v>
      </c>
      <c r="F690" t="s">
        <v>13729</v>
      </c>
      <c r="G690" t="s">
        <v>74</v>
      </c>
      <c r="H690" t="s">
        <v>74</v>
      </c>
      <c r="I690" t="s">
        <v>13730</v>
      </c>
      <c r="J690" t="s">
        <v>3419</v>
      </c>
      <c r="K690" t="s">
        <v>74</v>
      </c>
      <c r="L690" t="s">
        <v>74</v>
      </c>
      <c r="M690" t="s">
        <v>78</v>
      </c>
      <c r="N690" t="s">
        <v>79</v>
      </c>
      <c r="O690" t="s">
        <v>74</v>
      </c>
      <c r="P690" t="s">
        <v>74</v>
      </c>
      <c r="Q690" t="s">
        <v>74</v>
      </c>
      <c r="R690" t="s">
        <v>74</v>
      </c>
      <c r="S690" t="s">
        <v>74</v>
      </c>
      <c r="T690" t="s">
        <v>13731</v>
      </c>
      <c r="U690" t="s">
        <v>13732</v>
      </c>
      <c r="V690" t="s">
        <v>13733</v>
      </c>
      <c r="W690" t="s">
        <v>13734</v>
      </c>
      <c r="X690" t="s">
        <v>13735</v>
      </c>
      <c r="Y690" t="s">
        <v>13736</v>
      </c>
      <c r="Z690" t="s">
        <v>13737</v>
      </c>
      <c r="AA690" t="s">
        <v>13738</v>
      </c>
      <c r="AB690" t="s">
        <v>13739</v>
      </c>
      <c r="AC690" t="s">
        <v>13740</v>
      </c>
      <c r="AD690" t="s">
        <v>13740</v>
      </c>
      <c r="AE690" t="s">
        <v>13741</v>
      </c>
      <c r="AF690" t="s">
        <v>74</v>
      </c>
      <c r="AG690">
        <v>51</v>
      </c>
      <c r="AH690">
        <v>4</v>
      </c>
      <c r="AI690">
        <v>4</v>
      </c>
      <c r="AJ690">
        <v>2</v>
      </c>
      <c r="AK690">
        <v>5</v>
      </c>
      <c r="AL690" t="s">
        <v>2042</v>
      </c>
      <c r="AM690" t="s">
        <v>2043</v>
      </c>
      <c r="AN690" t="s">
        <v>2044</v>
      </c>
      <c r="AO690" t="s">
        <v>3432</v>
      </c>
      <c r="AP690" t="s">
        <v>3433</v>
      </c>
      <c r="AQ690" t="s">
        <v>74</v>
      </c>
      <c r="AR690" t="s">
        <v>3434</v>
      </c>
      <c r="AS690" t="s">
        <v>3435</v>
      </c>
      <c r="AT690" t="s">
        <v>13626</v>
      </c>
      <c r="AU690">
        <v>2022</v>
      </c>
      <c r="AV690">
        <v>49</v>
      </c>
      <c r="AW690">
        <v>6</v>
      </c>
      <c r="AX690" t="s">
        <v>74</v>
      </c>
      <c r="AY690" t="s">
        <v>74</v>
      </c>
      <c r="AZ690" t="s">
        <v>74</v>
      </c>
      <c r="BA690" t="s">
        <v>74</v>
      </c>
      <c r="BB690" t="s">
        <v>74</v>
      </c>
      <c r="BC690" t="s">
        <v>74</v>
      </c>
      <c r="BD690" t="s">
        <v>13742</v>
      </c>
      <c r="BE690" t="s">
        <v>13743</v>
      </c>
      <c r="BF690" t="str">
        <f>HYPERLINK("http://dx.doi.org/10.1029/2021GL096589","http://dx.doi.org/10.1029/2021GL096589")</f>
        <v>http://dx.doi.org/10.1029/2021GL096589</v>
      </c>
      <c r="BG690" t="s">
        <v>74</v>
      </c>
      <c r="BH690" t="s">
        <v>74</v>
      </c>
      <c r="BI690">
        <v>10</v>
      </c>
      <c r="BJ690" t="s">
        <v>265</v>
      </c>
      <c r="BK690" t="s">
        <v>101</v>
      </c>
      <c r="BL690" t="s">
        <v>100</v>
      </c>
      <c r="BM690" t="s">
        <v>13744</v>
      </c>
      <c r="BN690" t="s">
        <v>74</v>
      </c>
      <c r="BO690" t="s">
        <v>883</v>
      </c>
      <c r="BP690" t="s">
        <v>74</v>
      </c>
      <c r="BQ690" t="s">
        <v>74</v>
      </c>
      <c r="BR690" t="s">
        <v>103</v>
      </c>
      <c r="BS690" t="s">
        <v>13745</v>
      </c>
      <c r="BT690" t="str">
        <f>HYPERLINK("https%3A%2F%2Fwww.webofscience.com%2Fwos%2Fwoscc%2Ffull-record%2FWOS:000775606300001","View Full Record in Web of Science")</f>
        <v>View Full Record in Web of Science</v>
      </c>
    </row>
    <row r="691" spans="1:72" x14ac:dyDescent="0.15">
      <c r="A691" t="s">
        <v>72</v>
      </c>
      <c r="B691" t="s">
        <v>13746</v>
      </c>
      <c r="C691" t="s">
        <v>74</v>
      </c>
      <c r="D691" t="s">
        <v>74</v>
      </c>
      <c r="E691" t="s">
        <v>74</v>
      </c>
      <c r="F691" t="s">
        <v>13747</v>
      </c>
      <c r="G691" t="s">
        <v>74</v>
      </c>
      <c r="H691" t="s">
        <v>74</v>
      </c>
      <c r="I691" t="s">
        <v>13748</v>
      </c>
      <c r="J691" t="s">
        <v>13749</v>
      </c>
      <c r="K691" t="s">
        <v>74</v>
      </c>
      <c r="L691" t="s">
        <v>74</v>
      </c>
      <c r="M691" t="s">
        <v>78</v>
      </c>
      <c r="N691" t="s">
        <v>79</v>
      </c>
      <c r="O691" t="s">
        <v>74</v>
      </c>
      <c r="P691" t="s">
        <v>74</v>
      </c>
      <c r="Q691" t="s">
        <v>74</v>
      </c>
      <c r="R691" t="s">
        <v>74</v>
      </c>
      <c r="S691" t="s">
        <v>74</v>
      </c>
      <c r="T691" t="s">
        <v>13750</v>
      </c>
      <c r="U691" t="s">
        <v>13751</v>
      </c>
      <c r="V691" t="s">
        <v>13752</v>
      </c>
      <c r="W691" t="s">
        <v>74</v>
      </c>
      <c r="X691" t="s">
        <v>74</v>
      </c>
      <c r="Y691" t="s">
        <v>74</v>
      </c>
      <c r="Z691" t="s">
        <v>13753</v>
      </c>
      <c r="AA691" t="s">
        <v>74</v>
      </c>
      <c r="AB691" t="s">
        <v>13754</v>
      </c>
      <c r="AC691" t="s">
        <v>13755</v>
      </c>
      <c r="AD691" t="s">
        <v>13756</v>
      </c>
      <c r="AE691" t="s">
        <v>13757</v>
      </c>
      <c r="AF691" t="s">
        <v>74</v>
      </c>
      <c r="AG691">
        <v>76</v>
      </c>
      <c r="AH691">
        <v>4</v>
      </c>
      <c r="AI691">
        <v>4</v>
      </c>
      <c r="AJ691">
        <v>0</v>
      </c>
      <c r="AK691">
        <v>9</v>
      </c>
      <c r="AL691" t="s">
        <v>257</v>
      </c>
      <c r="AM691" t="s">
        <v>258</v>
      </c>
      <c r="AN691" t="s">
        <v>259</v>
      </c>
      <c r="AO691" t="s">
        <v>13758</v>
      </c>
      <c r="AP691" t="s">
        <v>13759</v>
      </c>
      <c r="AQ691" t="s">
        <v>74</v>
      </c>
      <c r="AR691" t="s">
        <v>13760</v>
      </c>
      <c r="AS691" t="s">
        <v>13761</v>
      </c>
      <c r="AT691" t="s">
        <v>5076</v>
      </c>
      <c r="AU691">
        <v>2022</v>
      </c>
      <c r="AV691">
        <v>250</v>
      </c>
      <c r="AW691" t="s">
        <v>74</v>
      </c>
      <c r="AX691" t="s">
        <v>74</v>
      </c>
      <c r="AY691" t="s">
        <v>74</v>
      </c>
      <c r="AZ691" t="s">
        <v>74</v>
      </c>
      <c r="BA691" t="s">
        <v>74</v>
      </c>
      <c r="BB691" t="s">
        <v>74</v>
      </c>
      <c r="BC691" t="s">
        <v>74</v>
      </c>
      <c r="BD691">
        <v>105610</v>
      </c>
      <c r="BE691" t="s">
        <v>13762</v>
      </c>
      <c r="BF691" t="str">
        <f>HYPERLINK("http://dx.doi.org/10.1016/j.applanim.2022.105610","http://dx.doi.org/10.1016/j.applanim.2022.105610")</f>
        <v>http://dx.doi.org/10.1016/j.applanim.2022.105610</v>
      </c>
      <c r="BG691" t="s">
        <v>74</v>
      </c>
      <c r="BH691" t="s">
        <v>12992</v>
      </c>
      <c r="BI691">
        <v>10</v>
      </c>
      <c r="BJ691" t="s">
        <v>13763</v>
      </c>
      <c r="BK691" t="s">
        <v>101</v>
      </c>
      <c r="BL691" t="s">
        <v>13764</v>
      </c>
      <c r="BM691" t="s">
        <v>13765</v>
      </c>
      <c r="BN691" t="s">
        <v>74</v>
      </c>
      <c r="BO691" t="s">
        <v>74</v>
      </c>
      <c r="BP691" t="s">
        <v>74</v>
      </c>
      <c r="BQ691" t="s">
        <v>74</v>
      </c>
      <c r="BR691" t="s">
        <v>103</v>
      </c>
      <c r="BS691" t="s">
        <v>13766</v>
      </c>
      <c r="BT691" t="str">
        <f>HYPERLINK("https%3A%2F%2Fwww.webofscience.com%2Fwos%2Fwoscc%2Ffull-record%2FWOS:000806395500005","View Full Record in Web of Science")</f>
        <v>View Full Record in Web of Science</v>
      </c>
    </row>
    <row r="692" spans="1:72" x14ac:dyDescent="0.15">
      <c r="A692" t="s">
        <v>72</v>
      </c>
      <c r="B692" t="s">
        <v>13767</v>
      </c>
      <c r="C692" t="s">
        <v>74</v>
      </c>
      <c r="D692" t="s">
        <v>74</v>
      </c>
      <c r="E692" t="s">
        <v>74</v>
      </c>
      <c r="F692" t="s">
        <v>13768</v>
      </c>
      <c r="G692" t="s">
        <v>74</v>
      </c>
      <c r="H692" t="s">
        <v>74</v>
      </c>
      <c r="I692" t="s">
        <v>13769</v>
      </c>
      <c r="J692" t="s">
        <v>13770</v>
      </c>
      <c r="K692" t="s">
        <v>74</v>
      </c>
      <c r="L692" t="s">
        <v>74</v>
      </c>
      <c r="M692" t="s">
        <v>78</v>
      </c>
      <c r="N692" t="s">
        <v>79</v>
      </c>
      <c r="O692" t="s">
        <v>74</v>
      </c>
      <c r="P692" t="s">
        <v>74</v>
      </c>
      <c r="Q692" t="s">
        <v>74</v>
      </c>
      <c r="R692" t="s">
        <v>74</v>
      </c>
      <c r="S692" t="s">
        <v>74</v>
      </c>
      <c r="T692" t="s">
        <v>13771</v>
      </c>
      <c r="U692" t="s">
        <v>13772</v>
      </c>
      <c r="V692" t="s">
        <v>13773</v>
      </c>
      <c r="W692" t="s">
        <v>13774</v>
      </c>
      <c r="X692" t="s">
        <v>13775</v>
      </c>
      <c r="Y692" t="s">
        <v>13776</v>
      </c>
      <c r="Z692" t="s">
        <v>13777</v>
      </c>
      <c r="AA692" t="s">
        <v>13778</v>
      </c>
      <c r="AB692" t="s">
        <v>13779</v>
      </c>
      <c r="AC692" t="s">
        <v>13780</v>
      </c>
      <c r="AD692" t="s">
        <v>13781</v>
      </c>
      <c r="AE692" t="s">
        <v>13780</v>
      </c>
      <c r="AF692" t="s">
        <v>74</v>
      </c>
      <c r="AG692">
        <v>87</v>
      </c>
      <c r="AH692">
        <v>3</v>
      </c>
      <c r="AI692">
        <v>3</v>
      </c>
      <c r="AJ692">
        <v>3</v>
      </c>
      <c r="AK692">
        <v>7</v>
      </c>
      <c r="AL692" t="s">
        <v>91</v>
      </c>
      <c r="AM692" t="s">
        <v>92</v>
      </c>
      <c r="AN692" t="s">
        <v>93</v>
      </c>
      <c r="AO692" t="s">
        <v>13782</v>
      </c>
      <c r="AP692" t="s">
        <v>13783</v>
      </c>
      <c r="AQ692" t="s">
        <v>74</v>
      </c>
      <c r="AR692" t="s">
        <v>13784</v>
      </c>
      <c r="AS692" t="s">
        <v>13785</v>
      </c>
      <c r="AT692" t="s">
        <v>5076</v>
      </c>
      <c r="AU692">
        <v>2022</v>
      </c>
      <c r="AV692">
        <v>49</v>
      </c>
      <c r="AW692">
        <v>5</v>
      </c>
      <c r="AX692" t="s">
        <v>74</v>
      </c>
      <c r="AY692" t="s">
        <v>74</v>
      </c>
      <c r="AZ692" t="s">
        <v>74</v>
      </c>
      <c r="BA692" t="s">
        <v>74</v>
      </c>
      <c r="BB692">
        <v>942</v>
      </c>
      <c r="BC692">
        <v>953</v>
      </c>
      <c r="BD692" t="s">
        <v>74</v>
      </c>
      <c r="BE692" t="s">
        <v>13786</v>
      </c>
      <c r="BF692" t="str">
        <f>HYPERLINK("http://dx.doi.org/10.1111/jbi.14360","http://dx.doi.org/10.1111/jbi.14360")</f>
        <v>http://dx.doi.org/10.1111/jbi.14360</v>
      </c>
      <c r="BG692" t="s">
        <v>74</v>
      </c>
      <c r="BH692" t="s">
        <v>12992</v>
      </c>
      <c r="BI692">
        <v>12</v>
      </c>
      <c r="BJ692" t="s">
        <v>4024</v>
      </c>
      <c r="BK692" t="s">
        <v>101</v>
      </c>
      <c r="BL692" t="s">
        <v>4025</v>
      </c>
      <c r="BM692" t="s">
        <v>13787</v>
      </c>
      <c r="BN692" t="s">
        <v>74</v>
      </c>
      <c r="BO692" t="s">
        <v>13788</v>
      </c>
      <c r="BP692" t="s">
        <v>74</v>
      </c>
      <c r="BQ692" t="s">
        <v>74</v>
      </c>
      <c r="BR692" t="s">
        <v>103</v>
      </c>
      <c r="BS692" t="s">
        <v>13789</v>
      </c>
      <c r="BT692" t="str">
        <f>HYPERLINK("https%3A%2F%2Fwww.webofscience.com%2Fwos%2Fwoscc%2Ffull-record%2FWOS:000773371700001","View Full Record in Web of Science")</f>
        <v>View Full Record in Web of Science</v>
      </c>
    </row>
    <row r="693" spans="1:72" x14ac:dyDescent="0.15">
      <c r="A693" t="s">
        <v>72</v>
      </c>
      <c r="B693" t="s">
        <v>13790</v>
      </c>
      <c r="C693" t="s">
        <v>74</v>
      </c>
      <c r="D693" t="s">
        <v>74</v>
      </c>
      <c r="E693" t="s">
        <v>74</v>
      </c>
      <c r="F693" t="s">
        <v>13791</v>
      </c>
      <c r="G693" t="s">
        <v>74</v>
      </c>
      <c r="H693" t="s">
        <v>74</v>
      </c>
      <c r="I693" t="s">
        <v>13792</v>
      </c>
      <c r="J693" t="s">
        <v>4070</v>
      </c>
      <c r="K693" t="s">
        <v>74</v>
      </c>
      <c r="L693" t="s">
        <v>74</v>
      </c>
      <c r="M693" t="s">
        <v>78</v>
      </c>
      <c r="N693" t="s">
        <v>79</v>
      </c>
      <c r="O693" t="s">
        <v>74</v>
      </c>
      <c r="P693" t="s">
        <v>74</v>
      </c>
      <c r="Q693" t="s">
        <v>74</v>
      </c>
      <c r="R693" t="s">
        <v>74</v>
      </c>
      <c r="S693" t="s">
        <v>74</v>
      </c>
      <c r="T693" t="s">
        <v>13793</v>
      </c>
      <c r="U693" t="s">
        <v>13794</v>
      </c>
      <c r="V693" t="s">
        <v>13795</v>
      </c>
      <c r="W693" t="s">
        <v>13796</v>
      </c>
      <c r="X693" t="s">
        <v>13797</v>
      </c>
      <c r="Y693" t="s">
        <v>13798</v>
      </c>
      <c r="Z693" t="s">
        <v>13799</v>
      </c>
      <c r="AA693" t="s">
        <v>13800</v>
      </c>
      <c r="AB693" t="s">
        <v>13801</v>
      </c>
      <c r="AC693" t="s">
        <v>13802</v>
      </c>
      <c r="AD693" t="s">
        <v>13803</v>
      </c>
      <c r="AE693" t="s">
        <v>13804</v>
      </c>
      <c r="AF693" t="s">
        <v>74</v>
      </c>
      <c r="AG693">
        <v>141</v>
      </c>
      <c r="AH693">
        <v>7</v>
      </c>
      <c r="AI693">
        <v>7</v>
      </c>
      <c r="AJ693">
        <v>1</v>
      </c>
      <c r="AK693">
        <v>2</v>
      </c>
      <c r="AL693" t="s">
        <v>199</v>
      </c>
      <c r="AM693" t="s">
        <v>200</v>
      </c>
      <c r="AN693" t="s">
        <v>201</v>
      </c>
      <c r="AO693" t="s">
        <v>4083</v>
      </c>
      <c r="AP693" t="s">
        <v>4084</v>
      </c>
      <c r="AQ693" t="s">
        <v>74</v>
      </c>
      <c r="AR693" t="s">
        <v>4085</v>
      </c>
      <c r="AS693" t="s">
        <v>4086</v>
      </c>
      <c r="AT693" t="s">
        <v>4826</v>
      </c>
      <c r="AU693">
        <v>2022</v>
      </c>
      <c r="AV693">
        <v>325</v>
      </c>
      <c r="AW693" t="s">
        <v>74</v>
      </c>
      <c r="AX693" t="s">
        <v>74</v>
      </c>
      <c r="AY693" t="s">
        <v>74</v>
      </c>
      <c r="AZ693" t="s">
        <v>74</v>
      </c>
      <c r="BA693" t="s">
        <v>74</v>
      </c>
      <c r="BB693">
        <v>1</v>
      </c>
      <c r="BC693">
        <v>24</v>
      </c>
      <c r="BD693" t="s">
        <v>74</v>
      </c>
      <c r="BE693" t="s">
        <v>13805</v>
      </c>
      <c r="BF693" t="str">
        <f>HYPERLINK("http://dx.doi.org/10.1016/j.gca.2022.03.015","http://dx.doi.org/10.1016/j.gca.2022.03.015")</f>
        <v>http://dx.doi.org/10.1016/j.gca.2022.03.015</v>
      </c>
      <c r="BG693" t="s">
        <v>74</v>
      </c>
      <c r="BH693" t="s">
        <v>12992</v>
      </c>
      <c r="BI693">
        <v>24</v>
      </c>
      <c r="BJ693" t="s">
        <v>2144</v>
      </c>
      <c r="BK693" t="s">
        <v>101</v>
      </c>
      <c r="BL693" t="s">
        <v>2144</v>
      </c>
      <c r="BM693" t="s">
        <v>10615</v>
      </c>
      <c r="BN693" t="s">
        <v>74</v>
      </c>
      <c r="BO693" t="s">
        <v>883</v>
      </c>
      <c r="BP693" t="s">
        <v>74</v>
      </c>
      <c r="BQ693" t="s">
        <v>74</v>
      </c>
      <c r="BR693" t="s">
        <v>103</v>
      </c>
      <c r="BS693" t="s">
        <v>13806</v>
      </c>
      <c r="BT693" t="str">
        <f>HYPERLINK("https%3A%2F%2Fwww.webofscience.com%2Fwos%2Fwoscc%2Ffull-record%2FWOS:000822547100001","View Full Record in Web of Science")</f>
        <v>View Full Record in Web of Science</v>
      </c>
    </row>
    <row r="694" spans="1:72" x14ac:dyDescent="0.15">
      <c r="A694" t="s">
        <v>72</v>
      </c>
      <c r="B694" t="s">
        <v>13807</v>
      </c>
      <c r="C694" t="s">
        <v>74</v>
      </c>
      <c r="D694" t="s">
        <v>74</v>
      </c>
      <c r="E694" t="s">
        <v>74</v>
      </c>
      <c r="F694" t="s">
        <v>13808</v>
      </c>
      <c r="G694" t="s">
        <v>74</v>
      </c>
      <c r="H694" t="s">
        <v>74</v>
      </c>
      <c r="I694" t="s">
        <v>13809</v>
      </c>
      <c r="J694" t="s">
        <v>13810</v>
      </c>
      <c r="K694" t="s">
        <v>74</v>
      </c>
      <c r="L694" t="s">
        <v>74</v>
      </c>
      <c r="M694" t="s">
        <v>78</v>
      </c>
      <c r="N694" t="s">
        <v>79</v>
      </c>
      <c r="O694" t="s">
        <v>74</v>
      </c>
      <c r="P694" t="s">
        <v>74</v>
      </c>
      <c r="Q694" t="s">
        <v>74</v>
      </c>
      <c r="R694" t="s">
        <v>74</v>
      </c>
      <c r="S694" t="s">
        <v>74</v>
      </c>
      <c r="T694" t="s">
        <v>13811</v>
      </c>
      <c r="U694" t="s">
        <v>13812</v>
      </c>
      <c r="V694" t="s">
        <v>13813</v>
      </c>
      <c r="W694" t="s">
        <v>13814</v>
      </c>
      <c r="X694" t="s">
        <v>13815</v>
      </c>
      <c r="Y694" t="s">
        <v>13816</v>
      </c>
      <c r="Z694" t="s">
        <v>13817</v>
      </c>
      <c r="AA694" t="s">
        <v>13818</v>
      </c>
      <c r="AB694" t="s">
        <v>13819</v>
      </c>
      <c r="AC694" t="s">
        <v>13820</v>
      </c>
      <c r="AD694" t="s">
        <v>13821</v>
      </c>
      <c r="AE694" t="s">
        <v>13822</v>
      </c>
      <c r="AF694" t="s">
        <v>74</v>
      </c>
      <c r="AG694">
        <v>107</v>
      </c>
      <c r="AH694">
        <v>9</v>
      </c>
      <c r="AI694">
        <v>9</v>
      </c>
      <c r="AJ694">
        <v>0</v>
      </c>
      <c r="AK694">
        <v>7</v>
      </c>
      <c r="AL694" t="s">
        <v>257</v>
      </c>
      <c r="AM694" t="s">
        <v>258</v>
      </c>
      <c r="AN694" t="s">
        <v>259</v>
      </c>
      <c r="AO694" t="s">
        <v>13823</v>
      </c>
      <c r="AP694" t="s">
        <v>13824</v>
      </c>
      <c r="AQ694" t="s">
        <v>74</v>
      </c>
      <c r="AR694" t="s">
        <v>13825</v>
      </c>
      <c r="AS694" t="s">
        <v>13826</v>
      </c>
      <c r="AT694" t="s">
        <v>5076</v>
      </c>
      <c r="AU694">
        <v>2022</v>
      </c>
      <c r="AV694">
        <v>105</v>
      </c>
      <c r="AW694" t="s">
        <v>74</v>
      </c>
      <c r="AX694" t="s">
        <v>74</v>
      </c>
      <c r="AY694" t="s">
        <v>74</v>
      </c>
      <c r="AZ694" t="s">
        <v>74</v>
      </c>
      <c r="BA694" t="s">
        <v>74</v>
      </c>
      <c r="BB694">
        <v>243</v>
      </c>
      <c r="BC694">
        <v>261</v>
      </c>
      <c r="BD694" t="s">
        <v>74</v>
      </c>
      <c r="BE694" t="s">
        <v>13827</v>
      </c>
      <c r="BF694" t="str">
        <f>HYPERLINK("http://dx.doi.org/10.1016/j.gr.2021.09.009","http://dx.doi.org/10.1016/j.gr.2021.09.009")</f>
        <v>http://dx.doi.org/10.1016/j.gr.2021.09.009</v>
      </c>
      <c r="BG694" t="s">
        <v>74</v>
      </c>
      <c r="BH694" t="s">
        <v>12992</v>
      </c>
      <c r="BI694">
        <v>19</v>
      </c>
      <c r="BJ694" t="s">
        <v>265</v>
      </c>
      <c r="BK694" t="s">
        <v>101</v>
      </c>
      <c r="BL694" t="s">
        <v>100</v>
      </c>
      <c r="BM694" t="s">
        <v>13828</v>
      </c>
      <c r="BN694" t="s">
        <v>74</v>
      </c>
      <c r="BO694" t="s">
        <v>74</v>
      </c>
      <c r="BP694" t="s">
        <v>74</v>
      </c>
      <c r="BQ694" t="s">
        <v>74</v>
      </c>
      <c r="BR694" t="s">
        <v>103</v>
      </c>
      <c r="BS694" t="s">
        <v>13829</v>
      </c>
      <c r="BT694" t="str">
        <f>HYPERLINK("https%3A%2F%2Fwww.webofscience.com%2Fwos%2Fwoscc%2Ffull-record%2FWOS:000804686200003","View Full Record in Web of Science")</f>
        <v>View Full Record in Web of Science</v>
      </c>
    </row>
    <row r="695" spans="1:72" x14ac:dyDescent="0.15">
      <c r="A695" t="s">
        <v>72</v>
      </c>
      <c r="B695" t="s">
        <v>13830</v>
      </c>
      <c r="C695" t="s">
        <v>74</v>
      </c>
      <c r="D695" t="s">
        <v>74</v>
      </c>
      <c r="E695" t="s">
        <v>74</v>
      </c>
      <c r="F695" t="s">
        <v>13831</v>
      </c>
      <c r="G695" t="s">
        <v>74</v>
      </c>
      <c r="H695" t="s">
        <v>74</v>
      </c>
      <c r="I695" t="s">
        <v>13832</v>
      </c>
      <c r="J695" t="s">
        <v>517</v>
      </c>
      <c r="K695" t="s">
        <v>74</v>
      </c>
      <c r="L695" t="s">
        <v>74</v>
      </c>
      <c r="M695" t="s">
        <v>78</v>
      </c>
      <c r="N695" t="s">
        <v>79</v>
      </c>
      <c r="O695" t="s">
        <v>74</v>
      </c>
      <c r="P695" t="s">
        <v>74</v>
      </c>
      <c r="Q695" t="s">
        <v>74</v>
      </c>
      <c r="R695" t="s">
        <v>74</v>
      </c>
      <c r="S695" t="s">
        <v>74</v>
      </c>
      <c r="T695" t="s">
        <v>13833</v>
      </c>
      <c r="U695" t="s">
        <v>13834</v>
      </c>
      <c r="V695" t="s">
        <v>13835</v>
      </c>
      <c r="W695" t="s">
        <v>13836</v>
      </c>
      <c r="X695" t="s">
        <v>13837</v>
      </c>
      <c r="Y695" t="s">
        <v>13838</v>
      </c>
      <c r="Z695" t="s">
        <v>13839</v>
      </c>
      <c r="AA695" t="s">
        <v>4631</v>
      </c>
      <c r="AB695" t="s">
        <v>13840</v>
      </c>
      <c r="AC695" t="s">
        <v>13841</v>
      </c>
      <c r="AD695" t="s">
        <v>13842</v>
      </c>
      <c r="AE695" t="s">
        <v>13843</v>
      </c>
      <c r="AF695" t="s">
        <v>74</v>
      </c>
      <c r="AG695">
        <v>24</v>
      </c>
      <c r="AH695">
        <v>2</v>
      </c>
      <c r="AI695">
        <v>2</v>
      </c>
      <c r="AJ695">
        <v>1</v>
      </c>
      <c r="AK695">
        <v>1</v>
      </c>
      <c r="AL695" t="s">
        <v>530</v>
      </c>
      <c r="AM695" t="s">
        <v>531</v>
      </c>
      <c r="AN695" t="s">
        <v>532</v>
      </c>
      <c r="AO695" t="s">
        <v>533</v>
      </c>
      <c r="AP695" t="s">
        <v>534</v>
      </c>
      <c r="AQ695" t="s">
        <v>74</v>
      </c>
      <c r="AR695" t="s">
        <v>535</v>
      </c>
      <c r="AS695" t="s">
        <v>536</v>
      </c>
      <c r="AT695" t="s">
        <v>5076</v>
      </c>
      <c r="AU695">
        <v>2022</v>
      </c>
      <c r="AV695">
        <v>45</v>
      </c>
      <c r="AW695">
        <v>5</v>
      </c>
      <c r="AX695" t="s">
        <v>74</v>
      </c>
      <c r="AY695" t="s">
        <v>74</v>
      </c>
      <c r="AZ695" t="s">
        <v>74</v>
      </c>
      <c r="BA695" t="s">
        <v>74</v>
      </c>
      <c r="BB695">
        <v>825</v>
      </c>
      <c r="BC695">
        <v>832</v>
      </c>
      <c r="BD695" t="s">
        <v>74</v>
      </c>
      <c r="BE695" t="s">
        <v>13844</v>
      </c>
      <c r="BF695" t="str">
        <f>HYPERLINK("http://dx.doi.org/10.1007/s00300-022-03034-3","http://dx.doi.org/10.1007/s00300-022-03034-3")</f>
        <v>http://dx.doi.org/10.1007/s00300-022-03034-3</v>
      </c>
      <c r="BG695" t="s">
        <v>74</v>
      </c>
      <c r="BH695" t="s">
        <v>12992</v>
      </c>
      <c r="BI695">
        <v>8</v>
      </c>
      <c r="BJ695" t="s">
        <v>539</v>
      </c>
      <c r="BK695" t="s">
        <v>101</v>
      </c>
      <c r="BL695" t="s">
        <v>540</v>
      </c>
      <c r="BM695" t="s">
        <v>8883</v>
      </c>
      <c r="BN695" t="s">
        <v>74</v>
      </c>
      <c r="BO695" t="s">
        <v>74</v>
      </c>
      <c r="BP695" t="s">
        <v>74</v>
      </c>
      <c r="BQ695" t="s">
        <v>74</v>
      </c>
      <c r="BR695" t="s">
        <v>103</v>
      </c>
      <c r="BS695" t="s">
        <v>13845</v>
      </c>
      <c r="BT695" t="str">
        <f>HYPERLINK("https%3A%2F%2Fwww.webofscience.com%2Fwos%2Fwoscc%2Ffull-record%2FWOS:000773858000001","View Full Record in Web of Science")</f>
        <v>View Full Record in Web of Science</v>
      </c>
    </row>
    <row r="696" spans="1:72" x14ac:dyDescent="0.15">
      <c r="A696" t="s">
        <v>72</v>
      </c>
      <c r="B696" t="s">
        <v>13846</v>
      </c>
      <c r="C696" t="s">
        <v>74</v>
      </c>
      <c r="D696" t="s">
        <v>74</v>
      </c>
      <c r="E696" t="s">
        <v>74</v>
      </c>
      <c r="F696" t="s">
        <v>13847</v>
      </c>
      <c r="G696" t="s">
        <v>74</v>
      </c>
      <c r="H696" t="s">
        <v>74</v>
      </c>
      <c r="I696" t="s">
        <v>13848</v>
      </c>
      <c r="J696" t="s">
        <v>11675</v>
      </c>
      <c r="K696" t="s">
        <v>74</v>
      </c>
      <c r="L696" t="s">
        <v>74</v>
      </c>
      <c r="M696" t="s">
        <v>78</v>
      </c>
      <c r="N696" t="s">
        <v>79</v>
      </c>
      <c r="O696" t="s">
        <v>74</v>
      </c>
      <c r="P696" t="s">
        <v>74</v>
      </c>
      <c r="Q696" t="s">
        <v>74</v>
      </c>
      <c r="R696" t="s">
        <v>74</v>
      </c>
      <c r="S696" t="s">
        <v>74</v>
      </c>
      <c r="T696" t="s">
        <v>13849</v>
      </c>
      <c r="U696" t="s">
        <v>13850</v>
      </c>
      <c r="V696" t="s">
        <v>13851</v>
      </c>
      <c r="W696" t="s">
        <v>13852</v>
      </c>
      <c r="X696" t="s">
        <v>9219</v>
      </c>
      <c r="Y696" t="s">
        <v>13853</v>
      </c>
      <c r="Z696" t="s">
        <v>13854</v>
      </c>
      <c r="AA696" t="s">
        <v>9655</v>
      </c>
      <c r="AB696" t="s">
        <v>13855</v>
      </c>
      <c r="AC696" t="s">
        <v>13210</v>
      </c>
      <c r="AD696" t="s">
        <v>2881</v>
      </c>
      <c r="AE696" t="s">
        <v>13856</v>
      </c>
      <c r="AF696" t="s">
        <v>74</v>
      </c>
      <c r="AG696">
        <v>82</v>
      </c>
      <c r="AH696">
        <v>0</v>
      </c>
      <c r="AI696">
        <v>0</v>
      </c>
      <c r="AJ696">
        <v>1</v>
      </c>
      <c r="AK696">
        <v>6</v>
      </c>
      <c r="AL696" t="s">
        <v>9679</v>
      </c>
      <c r="AM696" t="s">
        <v>4863</v>
      </c>
      <c r="AN696" t="s">
        <v>9680</v>
      </c>
      <c r="AO696" t="s">
        <v>11683</v>
      </c>
      <c r="AP696" t="s">
        <v>11684</v>
      </c>
      <c r="AQ696" t="s">
        <v>74</v>
      </c>
      <c r="AR696" t="s">
        <v>11685</v>
      </c>
      <c r="AS696" t="s">
        <v>11686</v>
      </c>
      <c r="AT696" t="s">
        <v>6182</v>
      </c>
      <c r="AU696">
        <v>2022</v>
      </c>
      <c r="AV696">
        <v>76</v>
      </c>
      <c r="AW696">
        <v>3</v>
      </c>
      <c r="AX696" t="s">
        <v>74</v>
      </c>
      <c r="AY696" t="s">
        <v>74</v>
      </c>
      <c r="AZ696" t="s">
        <v>772</v>
      </c>
      <c r="BA696" t="s">
        <v>74</v>
      </c>
      <c r="BB696">
        <v>248</v>
      </c>
      <c r="BC696">
        <v>265</v>
      </c>
      <c r="BD696" t="s">
        <v>74</v>
      </c>
      <c r="BE696" t="s">
        <v>13857</v>
      </c>
      <c r="BF696" t="str">
        <f>HYPERLINK("http://dx.doi.org/10.1080/10357718.2022.2056875","http://dx.doi.org/10.1080/10357718.2022.2056875")</f>
        <v>http://dx.doi.org/10.1080/10357718.2022.2056875</v>
      </c>
      <c r="BG696" t="s">
        <v>74</v>
      </c>
      <c r="BH696" t="s">
        <v>12992</v>
      </c>
      <c r="BI696">
        <v>18</v>
      </c>
      <c r="BJ696" t="s">
        <v>11688</v>
      </c>
      <c r="BK696" t="s">
        <v>9665</v>
      </c>
      <c r="BL696" t="s">
        <v>11688</v>
      </c>
      <c r="BM696" t="s">
        <v>11689</v>
      </c>
      <c r="BN696" t="s">
        <v>74</v>
      </c>
      <c r="BO696" t="s">
        <v>74</v>
      </c>
      <c r="BP696" t="s">
        <v>74</v>
      </c>
      <c r="BQ696" t="s">
        <v>74</v>
      </c>
      <c r="BR696" t="s">
        <v>103</v>
      </c>
      <c r="BS696" t="s">
        <v>13858</v>
      </c>
      <c r="BT696" t="str">
        <f>HYPERLINK("https%3A%2F%2Fwww.webofscience.com%2Fwos%2Fwoscc%2Ffull-record%2FWOS:000773165000001","View Full Record in Web of Science")</f>
        <v>View Full Record in Web of Science</v>
      </c>
    </row>
    <row r="697" spans="1:72" x14ac:dyDescent="0.15">
      <c r="A697" t="s">
        <v>72</v>
      </c>
      <c r="B697" t="s">
        <v>13859</v>
      </c>
      <c r="C697" t="s">
        <v>74</v>
      </c>
      <c r="D697" t="s">
        <v>74</v>
      </c>
      <c r="E697" t="s">
        <v>74</v>
      </c>
      <c r="F697" t="s">
        <v>13860</v>
      </c>
      <c r="G697" t="s">
        <v>74</v>
      </c>
      <c r="H697" t="s">
        <v>74</v>
      </c>
      <c r="I697" t="s">
        <v>13861</v>
      </c>
      <c r="J697" t="s">
        <v>13862</v>
      </c>
      <c r="K697" t="s">
        <v>74</v>
      </c>
      <c r="L697" t="s">
        <v>74</v>
      </c>
      <c r="M697" t="s">
        <v>78</v>
      </c>
      <c r="N697" t="s">
        <v>79</v>
      </c>
      <c r="O697" t="s">
        <v>74</v>
      </c>
      <c r="P697" t="s">
        <v>74</v>
      </c>
      <c r="Q697" t="s">
        <v>74</v>
      </c>
      <c r="R697" t="s">
        <v>74</v>
      </c>
      <c r="S697" t="s">
        <v>74</v>
      </c>
      <c r="T697" t="s">
        <v>13863</v>
      </c>
      <c r="U697" t="s">
        <v>74</v>
      </c>
      <c r="V697" t="s">
        <v>74</v>
      </c>
      <c r="W697" t="s">
        <v>13864</v>
      </c>
      <c r="X697" t="s">
        <v>13865</v>
      </c>
      <c r="Y697" t="s">
        <v>13866</v>
      </c>
      <c r="Z697" t="s">
        <v>13867</v>
      </c>
      <c r="AA697" t="s">
        <v>74</v>
      </c>
      <c r="AB697" t="s">
        <v>74</v>
      </c>
      <c r="AC697" t="s">
        <v>13868</v>
      </c>
      <c r="AD697" t="s">
        <v>13869</v>
      </c>
      <c r="AE697" t="s">
        <v>13870</v>
      </c>
      <c r="AF697" t="s">
        <v>74</v>
      </c>
      <c r="AG697">
        <v>15</v>
      </c>
      <c r="AH697">
        <v>4</v>
      </c>
      <c r="AI697">
        <v>4</v>
      </c>
      <c r="AJ697">
        <v>0</v>
      </c>
      <c r="AK697">
        <v>3</v>
      </c>
      <c r="AL697" t="s">
        <v>257</v>
      </c>
      <c r="AM697" t="s">
        <v>258</v>
      </c>
      <c r="AN697" t="s">
        <v>259</v>
      </c>
      <c r="AO697" t="s">
        <v>13871</v>
      </c>
      <c r="AP697" t="s">
        <v>74</v>
      </c>
      <c r="AQ697" t="s">
        <v>74</v>
      </c>
      <c r="AR697" t="s">
        <v>13872</v>
      </c>
      <c r="AS697" t="s">
        <v>13873</v>
      </c>
      <c r="AT697" t="s">
        <v>537</v>
      </c>
      <c r="AU697">
        <v>2022</v>
      </c>
      <c r="AV697">
        <v>29</v>
      </c>
      <c r="AW697" t="s">
        <v>74</v>
      </c>
      <c r="AX697" t="s">
        <v>74</v>
      </c>
      <c r="AY697" t="s">
        <v>74</v>
      </c>
      <c r="AZ697" t="s">
        <v>74</v>
      </c>
      <c r="BA697" t="s">
        <v>74</v>
      </c>
      <c r="BB697" t="s">
        <v>74</v>
      </c>
      <c r="BC697" t="s">
        <v>74</v>
      </c>
      <c r="BD697" t="s">
        <v>13874</v>
      </c>
      <c r="BE697" t="s">
        <v>13875</v>
      </c>
      <c r="BF697" t="str">
        <f>HYPERLINK("http://dx.doi.org/10.1016/j.geodrs.2022.e00499","http://dx.doi.org/10.1016/j.geodrs.2022.e00499")</f>
        <v>http://dx.doi.org/10.1016/j.geodrs.2022.e00499</v>
      </c>
      <c r="BG697" t="s">
        <v>74</v>
      </c>
      <c r="BH697" t="s">
        <v>12992</v>
      </c>
      <c r="BI697">
        <v>4</v>
      </c>
      <c r="BJ697" t="s">
        <v>12172</v>
      </c>
      <c r="BK697" t="s">
        <v>101</v>
      </c>
      <c r="BL697" t="s">
        <v>12173</v>
      </c>
      <c r="BM697" t="s">
        <v>13876</v>
      </c>
      <c r="BN697" t="s">
        <v>74</v>
      </c>
      <c r="BO697" t="s">
        <v>74</v>
      </c>
      <c r="BP697" t="s">
        <v>74</v>
      </c>
      <c r="BQ697" t="s">
        <v>74</v>
      </c>
      <c r="BR697" t="s">
        <v>103</v>
      </c>
      <c r="BS697" t="s">
        <v>13877</v>
      </c>
      <c r="BT697" t="str">
        <f>HYPERLINK("https%3A%2F%2Fwww.webofscience.com%2Fwos%2Fwoscc%2Ffull-record%2FWOS:000795776300009","View Full Record in Web of Science")</f>
        <v>View Full Record in Web of Science</v>
      </c>
    </row>
    <row r="698" spans="1:72" x14ac:dyDescent="0.15">
      <c r="A698" t="s">
        <v>72</v>
      </c>
      <c r="B698" t="s">
        <v>13878</v>
      </c>
      <c r="C698" t="s">
        <v>74</v>
      </c>
      <c r="D698" t="s">
        <v>74</v>
      </c>
      <c r="E698" t="s">
        <v>74</v>
      </c>
      <c r="F698" t="s">
        <v>13879</v>
      </c>
      <c r="G698" t="s">
        <v>74</v>
      </c>
      <c r="H698" t="s">
        <v>74</v>
      </c>
      <c r="I698" t="s">
        <v>13880</v>
      </c>
      <c r="J698" t="s">
        <v>272</v>
      </c>
      <c r="K698" t="s">
        <v>74</v>
      </c>
      <c r="L698" t="s">
        <v>74</v>
      </c>
      <c r="M698" t="s">
        <v>78</v>
      </c>
      <c r="N698" t="s">
        <v>79</v>
      </c>
      <c r="O698" t="s">
        <v>74</v>
      </c>
      <c r="P698" t="s">
        <v>74</v>
      </c>
      <c r="Q698" t="s">
        <v>74</v>
      </c>
      <c r="R698" t="s">
        <v>74</v>
      </c>
      <c r="S698" t="s">
        <v>74</v>
      </c>
      <c r="T698" t="s">
        <v>13881</v>
      </c>
      <c r="U698" t="s">
        <v>13882</v>
      </c>
      <c r="V698" t="s">
        <v>13883</v>
      </c>
      <c r="W698" t="s">
        <v>13884</v>
      </c>
      <c r="X698" t="s">
        <v>13885</v>
      </c>
      <c r="Y698" t="s">
        <v>13886</v>
      </c>
      <c r="Z698" t="s">
        <v>13887</v>
      </c>
      <c r="AA698" t="s">
        <v>13888</v>
      </c>
      <c r="AB698" t="s">
        <v>13889</v>
      </c>
      <c r="AC698" t="s">
        <v>13890</v>
      </c>
      <c r="AD698" t="s">
        <v>13891</v>
      </c>
      <c r="AE698" t="s">
        <v>13892</v>
      </c>
      <c r="AF698" t="s">
        <v>74</v>
      </c>
      <c r="AG698">
        <v>67</v>
      </c>
      <c r="AH698">
        <v>4</v>
      </c>
      <c r="AI698">
        <v>6</v>
      </c>
      <c r="AJ698">
        <v>1</v>
      </c>
      <c r="AK698">
        <v>19</v>
      </c>
      <c r="AL698" t="s">
        <v>285</v>
      </c>
      <c r="AM698" t="s">
        <v>286</v>
      </c>
      <c r="AN698" t="s">
        <v>287</v>
      </c>
      <c r="AO698" t="s">
        <v>74</v>
      </c>
      <c r="AP698" t="s">
        <v>288</v>
      </c>
      <c r="AQ698" t="s">
        <v>74</v>
      </c>
      <c r="AR698" t="s">
        <v>289</v>
      </c>
      <c r="AS698" t="s">
        <v>290</v>
      </c>
      <c r="AT698" t="s">
        <v>13893</v>
      </c>
      <c r="AU698">
        <v>2022</v>
      </c>
      <c r="AV698">
        <v>13</v>
      </c>
      <c r="AW698" t="s">
        <v>74</v>
      </c>
      <c r="AX698" t="s">
        <v>74</v>
      </c>
      <c r="AY698" t="s">
        <v>74</v>
      </c>
      <c r="AZ698" t="s">
        <v>74</v>
      </c>
      <c r="BA698" t="s">
        <v>74</v>
      </c>
      <c r="BB698" t="s">
        <v>74</v>
      </c>
      <c r="BC698" t="s">
        <v>74</v>
      </c>
      <c r="BD698">
        <v>821902</v>
      </c>
      <c r="BE698" t="s">
        <v>13894</v>
      </c>
      <c r="BF698" t="str">
        <f>HYPERLINK("http://dx.doi.org/10.3389/fmicb.2022.821902","http://dx.doi.org/10.3389/fmicb.2022.821902")</f>
        <v>http://dx.doi.org/10.3389/fmicb.2022.821902</v>
      </c>
      <c r="BG698" t="s">
        <v>74</v>
      </c>
      <c r="BH698" t="s">
        <v>74</v>
      </c>
      <c r="BI698">
        <v>12</v>
      </c>
      <c r="BJ698" t="s">
        <v>293</v>
      </c>
      <c r="BK698" t="s">
        <v>101</v>
      </c>
      <c r="BL698" t="s">
        <v>293</v>
      </c>
      <c r="BM698" t="s">
        <v>13895</v>
      </c>
      <c r="BN698">
        <v>35401462</v>
      </c>
      <c r="BO698" t="s">
        <v>1533</v>
      </c>
      <c r="BP698" t="s">
        <v>74</v>
      </c>
      <c r="BQ698" t="s">
        <v>74</v>
      </c>
      <c r="BR698" t="s">
        <v>103</v>
      </c>
      <c r="BS698" t="s">
        <v>13896</v>
      </c>
      <c r="BT698" t="str">
        <f>HYPERLINK("https%3A%2F%2Fwww.webofscience.com%2Fwos%2Fwoscc%2Ffull-record%2FWOS:000782509500001","View Full Record in Web of Science")</f>
        <v>View Full Record in Web of Science</v>
      </c>
    </row>
    <row r="699" spans="1:72" x14ac:dyDescent="0.15">
      <c r="A699" t="s">
        <v>72</v>
      </c>
      <c r="B699" t="s">
        <v>13897</v>
      </c>
      <c r="C699" t="s">
        <v>74</v>
      </c>
      <c r="D699" t="s">
        <v>74</v>
      </c>
      <c r="E699" t="s">
        <v>74</v>
      </c>
      <c r="F699" t="s">
        <v>13898</v>
      </c>
      <c r="G699" t="s">
        <v>74</v>
      </c>
      <c r="H699" t="s">
        <v>74</v>
      </c>
      <c r="I699" t="s">
        <v>13899</v>
      </c>
      <c r="J699" t="s">
        <v>5117</v>
      </c>
      <c r="K699" t="s">
        <v>74</v>
      </c>
      <c r="L699" t="s">
        <v>74</v>
      </c>
      <c r="M699" t="s">
        <v>78</v>
      </c>
      <c r="N699" t="s">
        <v>79</v>
      </c>
      <c r="O699" t="s">
        <v>74</v>
      </c>
      <c r="P699" t="s">
        <v>74</v>
      </c>
      <c r="Q699" t="s">
        <v>74</v>
      </c>
      <c r="R699" t="s">
        <v>74</v>
      </c>
      <c r="S699" t="s">
        <v>74</v>
      </c>
      <c r="T699" t="s">
        <v>13900</v>
      </c>
      <c r="U699" t="s">
        <v>13901</v>
      </c>
      <c r="V699" t="s">
        <v>13902</v>
      </c>
      <c r="W699" t="s">
        <v>13903</v>
      </c>
      <c r="X699" t="s">
        <v>13904</v>
      </c>
      <c r="Y699" t="s">
        <v>13905</v>
      </c>
      <c r="Z699" t="s">
        <v>13906</v>
      </c>
      <c r="AA699" t="s">
        <v>13907</v>
      </c>
      <c r="AB699" t="s">
        <v>13908</v>
      </c>
      <c r="AC699" t="s">
        <v>13909</v>
      </c>
      <c r="AD699" t="s">
        <v>13910</v>
      </c>
      <c r="AE699" t="s">
        <v>13911</v>
      </c>
      <c r="AF699" t="s">
        <v>74</v>
      </c>
      <c r="AG699">
        <v>37</v>
      </c>
      <c r="AH699">
        <v>1</v>
      </c>
      <c r="AI699">
        <v>1</v>
      </c>
      <c r="AJ699">
        <v>1</v>
      </c>
      <c r="AK699">
        <v>7</v>
      </c>
      <c r="AL699" t="s">
        <v>5126</v>
      </c>
      <c r="AM699" t="s">
        <v>5127</v>
      </c>
      <c r="AN699" t="s">
        <v>5128</v>
      </c>
      <c r="AO699" t="s">
        <v>5129</v>
      </c>
      <c r="AP699" t="s">
        <v>5130</v>
      </c>
      <c r="AQ699" t="s">
        <v>74</v>
      </c>
      <c r="AR699" t="s">
        <v>5117</v>
      </c>
      <c r="AS699" t="s">
        <v>5131</v>
      </c>
      <c r="AT699" t="s">
        <v>13893</v>
      </c>
      <c r="AU699">
        <v>2022</v>
      </c>
      <c r="AV699">
        <v>541</v>
      </c>
      <c r="AW699">
        <v>2</v>
      </c>
      <c r="AX699" t="s">
        <v>74</v>
      </c>
      <c r="AY699" t="s">
        <v>74</v>
      </c>
      <c r="AZ699" t="s">
        <v>74</v>
      </c>
      <c r="BA699" t="s">
        <v>74</v>
      </c>
      <c r="BB699">
        <v>201</v>
      </c>
      <c r="BC699">
        <v>208</v>
      </c>
      <c r="BD699" t="s">
        <v>74</v>
      </c>
      <c r="BE699" t="s">
        <v>13912</v>
      </c>
      <c r="BF699" t="str">
        <f>HYPERLINK("http://dx.doi.org/10.11646/phytotaxa.541.2.10","http://dx.doi.org/10.11646/phytotaxa.541.2.10")</f>
        <v>http://dx.doi.org/10.11646/phytotaxa.541.2.10</v>
      </c>
      <c r="BG699" t="s">
        <v>74</v>
      </c>
      <c r="BH699" t="s">
        <v>74</v>
      </c>
      <c r="BI699">
        <v>8</v>
      </c>
      <c r="BJ699" t="s">
        <v>1649</v>
      </c>
      <c r="BK699" t="s">
        <v>101</v>
      </c>
      <c r="BL699" t="s">
        <v>1649</v>
      </c>
      <c r="BM699" t="s">
        <v>13913</v>
      </c>
      <c r="BN699" t="s">
        <v>74</v>
      </c>
      <c r="BO699" t="s">
        <v>74</v>
      </c>
      <c r="BP699" t="s">
        <v>74</v>
      </c>
      <c r="BQ699" t="s">
        <v>74</v>
      </c>
      <c r="BR699" t="s">
        <v>103</v>
      </c>
      <c r="BS699" t="s">
        <v>13914</v>
      </c>
      <c r="BT699" t="str">
        <f>HYPERLINK("https%3A%2F%2Fwww.webofscience.com%2Fwos%2Fwoscc%2Ffull-record%2FWOS:000778751600004","View Full Record in Web of Science")</f>
        <v>View Full Record in Web of Science</v>
      </c>
    </row>
    <row r="700" spans="1:72" x14ac:dyDescent="0.15">
      <c r="A700" t="s">
        <v>72</v>
      </c>
      <c r="B700" t="s">
        <v>13915</v>
      </c>
      <c r="C700" t="s">
        <v>74</v>
      </c>
      <c r="D700" t="s">
        <v>74</v>
      </c>
      <c r="E700" t="s">
        <v>74</v>
      </c>
      <c r="F700" t="s">
        <v>13916</v>
      </c>
      <c r="G700" t="s">
        <v>74</v>
      </c>
      <c r="H700" t="s">
        <v>74</v>
      </c>
      <c r="I700" t="s">
        <v>13917</v>
      </c>
      <c r="J700" t="s">
        <v>13918</v>
      </c>
      <c r="K700" t="s">
        <v>74</v>
      </c>
      <c r="L700" t="s">
        <v>74</v>
      </c>
      <c r="M700" t="s">
        <v>78</v>
      </c>
      <c r="N700" t="s">
        <v>79</v>
      </c>
      <c r="O700" t="s">
        <v>74</v>
      </c>
      <c r="P700" t="s">
        <v>74</v>
      </c>
      <c r="Q700" t="s">
        <v>74</v>
      </c>
      <c r="R700" t="s">
        <v>74</v>
      </c>
      <c r="S700" t="s">
        <v>74</v>
      </c>
      <c r="T700" t="s">
        <v>13919</v>
      </c>
      <c r="U700" t="s">
        <v>13920</v>
      </c>
      <c r="V700" t="s">
        <v>13921</v>
      </c>
      <c r="W700" t="s">
        <v>13922</v>
      </c>
      <c r="X700" t="s">
        <v>13923</v>
      </c>
      <c r="Y700" t="s">
        <v>13924</v>
      </c>
      <c r="Z700" t="s">
        <v>13925</v>
      </c>
      <c r="AA700" t="s">
        <v>13926</v>
      </c>
      <c r="AB700" t="s">
        <v>13927</v>
      </c>
      <c r="AC700" t="s">
        <v>13928</v>
      </c>
      <c r="AD700" t="s">
        <v>13929</v>
      </c>
      <c r="AE700" t="s">
        <v>13930</v>
      </c>
      <c r="AF700" t="s">
        <v>74</v>
      </c>
      <c r="AG700">
        <v>50</v>
      </c>
      <c r="AH700">
        <v>1</v>
      </c>
      <c r="AI700">
        <v>1</v>
      </c>
      <c r="AJ700">
        <v>0</v>
      </c>
      <c r="AK700">
        <v>1</v>
      </c>
      <c r="AL700" t="s">
        <v>530</v>
      </c>
      <c r="AM700" t="s">
        <v>1121</v>
      </c>
      <c r="AN700" t="s">
        <v>1122</v>
      </c>
      <c r="AO700" t="s">
        <v>13931</v>
      </c>
      <c r="AP700" t="s">
        <v>13932</v>
      </c>
      <c r="AQ700" t="s">
        <v>74</v>
      </c>
      <c r="AR700" t="s">
        <v>13933</v>
      </c>
      <c r="AS700" t="s">
        <v>13934</v>
      </c>
      <c r="AT700" t="s">
        <v>5076</v>
      </c>
      <c r="AU700">
        <v>2022</v>
      </c>
      <c r="AV700">
        <v>115</v>
      </c>
      <c r="AW700">
        <v>5</v>
      </c>
      <c r="AX700" t="s">
        <v>74</v>
      </c>
      <c r="AY700" t="s">
        <v>74</v>
      </c>
      <c r="AZ700" t="s">
        <v>74</v>
      </c>
      <c r="BA700" t="s">
        <v>74</v>
      </c>
      <c r="BB700">
        <v>635</v>
      </c>
      <c r="BC700">
        <v>644</v>
      </c>
      <c r="BD700" t="s">
        <v>74</v>
      </c>
      <c r="BE700" t="s">
        <v>13935</v>
      </c>
      <c r="BF700" t="str">
        <f>HYPERLINK("http://dx.doi.org/10.1007/s10482-022-01727-7","http://dx.doi.org/10.1007/s10482-022-01727-7")</f>
        <v>http://dx.doi.org/10.1007/s10482-022-01727-7</v>
      </c>
      <c r="BG700" t="s">
        <v>74</v>
      </c>
      <c r="BH700" t="s">
        <v>12992</v>
      </c>
      <c r="BI700">
        <v>10</v>
      </c>
      <c r="BJ700" t="s">
        <v>293</v>
      </c>
      <c r="BK700" t="s">
        <v>101</v>
      </c>
      <c r="BL700" t="s">
        <v>293</v>
      </c>
      <c r="BM700" t="s">
        <v>13936</v>
      </c>
      <c r="BN700">
        <v>35338420</v>
      </c>
      <c r="BO700" t="s">
        <v>74</v>
      </c>
      <c r="BP700" t="s">
        <v>74</v>
      </c>
      <c r="BQ700" t="s">
        <v>74</v>
      </c>
      <c r="BR700" t="s">
        <v>103</v>
      </c>
      <c r="BS700" t="s">
        <v>13937</v>
      </c>
      <c r="BT700" t="str">
        <f>HYPERLINK("https%3A%2F%2Fwww.webofscience.com%2Fwos%2Fwoscc%2Ffull-record%2FWOS:000780349200001","View Full Record in Web of Science")</f>
        <v>View Full Record in Web of Science</v>
      </c>
    </row>
    <row r="701" spans="1:72" x14ac:dyDescent="0.15">
      <c r="A701" t="s">
        <v>72</v>
      </c>
      <c r="B701" t="s">
        <v>13938</v>
      </c>
      <c r="C701" t="s">
        <v>74</v>
      </c>
      <c r="D701" t="s">
        <v>74</v>
      </c>
      <c r="E701" t="s">
        <v>74</v>
      </c>
      <c r="F701" t="s">
        <v>13939</v>
      </c>
      <c r="G701" t="s">
        <v>74</v>
      </c>
      <c r="H701" t="s">
        <v>74</v>
      </c>
      <c r="I701" t="s">
        <v>13940</v>
      </c>
      <c r="J701" t="s">
        <v>3837</v>
      </c>
      <c r="K701" t="s">
        <v>74</v>
      </c>
      <c r="L701" t="s">
        <v>74</v>
      </c>
      <c r="M701" t="s">
        <v>78</v>
      </c>
      <c r="N701" t="s">
        <v>79</v>
      </c>
      <c r="O701" t="s">
        <v>74</v>
      </c>
      <c r="P701" t="s">
        <v>74</v>
      </c>
      <c r="Q701" t="s">
        <v>74</v>
      </c>
      <c r="R701" t="s">
        <v>74</v>
      </c>
      <c r="S701" t="s">
        <v>74</v>
      </c>
      <c r="T701" t="s">
        <v>74</v>
      </c>
      <c r="U701" t="s">
        <v>13941</v>
      </c>
      <c r="V701" t="s">
        <v>13942</v>
      </c>
      <c r="W701" t="s">
        <v>13943</v>
      </c>
      <c r="X701" t="s">
        <v>13944</v>
      </c>
      <c r="Y701" t="s">
        <v>13945</v>
      </c>
      <c r="Z701" t="s">
        <v>13946</v>
      </c>
      <c r="AA701" t="s">
        <v>13947</v>
      </c>
      <c r="AB701" t="s">
        <v>13948</v>
      </c>
      <c r="AC701" t="s">
        <v>13949</v>
      </c>
      <c r="AD701" t="s">
        <v>13950</v>
      </c>
      <c r="AE701" t="s">
        <v>13951</v>
      </c>
      <c r="AF701" t="s">
        <v>74</v>
      </c>
      <c r="AG701">
        <v>58</v>
      </c>
      <c r="AH701">
        <v>2</v>
      </c>
      <c r="AI701">
        <v>2</v>
      </c>
      <c r="AJ701">
        <v>2</v>
      </c>
      <c r="AK701">
        <v>10</v>
      </c>
      <c r="AL701" t="s">
        <v>117</v>
      </c>
      <c r="AM701" t="s">
        <v>118</v>
      </c>
      <c r="AN701" t="s">
        <v>119</v>
      </c>
      <c r="AO701" t="s">
        <v>3849</v>
      </c>
      <c r="AP701" t="s">
        <v>3850</v>
      </c>
      <c r="AQ701" t="s">
        <v>74</v>
      </c>
      <c r="AR701" t="s">
        <v>3851</v>
      </c>
      <c r="AS701" t="s">
        <v>3852</v>
      </c>
      <c r="AT701" t="s">
        <v>13893</v>
      </c>
      <c r="AU701">
        <v>2022</v>
      </c>
      <c r="AV701">
        <v>22</v>
      </c>
      <c r="AW701">
        <v>6</v>
      </c>
      <c r="AX701" t="s">
        <v>74</v>
      </c>
      <c r="AY701" t="s">
        <v>74</v>
      </c>
      <c r="AZ701" t="s">
        <v>74</v>
      </c>
      <c r="BA701" t="s">
        <v>74</v>
      </c>
      <c r="BB701">
        <v>3911</v>
      </c>
      <c r="BC701">
        <v>3929</v>
      </c>
      <c r="BD701" t="s">
        <v>74</v>
      </c>
      <c r="BE701" t="s">
        <v>13952</v>
      </c>
      <c r="BF701" t="str">
        <f>HYPERLINK("http://dx.doi.org/10.5194/acp-22-3911-2022","http://dx.doi.org/10.5194/acp-22-3911-2022")</f>
        <v>http://dx.doi.org/10.5194/acp-22-3911-2022</v>
      </c>
      <c r="BG701" t="s">
        <v>74</v>
      </c>
      <c r="BH701" t="s">
        <v>74</v>
      </c>
      <c r="BI701">
        <v>19</v>
      </c>
      <c r="BJ701" t="s">
        <v>1797</v>
      </c>
      <c r="BK701" t="s">
        <v>101</v>
      </c>
      <c r="BL701" t="s">
        <v>957</v>
      </c>
      <c r="BM701" t="s">
        <v>13953</v>
      </c>
      <c r="BN701" t="s">
        <v>74</v>
      </c>
      <c r="BO701" t="s">
        <v>6363</v>
      </c>
      <c r="BP701" t="s">
        <v>74</v>
      </c>
      <c r="BQ701" t="s">
        <v>74</v>
      </c>
      <c r="BR701" t="s">
        <v>103</v>
      </c>
      <c r="BS701" t="s">
        <v>13954</v>
      </c>
      <c r="BT701" t="str">
        <f>HYPERLINK("https%3A%2F%2Fwww.webofscience.com%2Fwos%2Fwoscc%2Ffull-record%2FWOS:000774969500001","View Full Record in Web of Science")</f>
        <v>View Full Record in Web of Science</v>
      </c>
    </row>
    <row r="702" spans="1:72" x14ac:dyDescent="0.15">
      <c r="A702" t="s">
        <v>72</v>
      </c>
      <c r="B702" t="s">
        <v>13955</v>
      </c>
      <c r="C702" t="s">
        <v>74</v>
      </c>
      <c r="D702" t="s">
        <v>74</v>
      </c>
      <c r="E702" t="s">
        <v>74</v>
      </c>
      <c r="F702" t="s">
        <v>13956</v>
      </c>
      <c r="G702" t="s">
        <v>74</v>
      </c>
      <c r="H702" t="s">
        <v>74</v>
      </c>
      <c r="I702" t="s">
        <v>13957</v>
      </c>
      <c r="J702" t="s">
        <v>5515</v>
      </c>
      <c r="K702" t="s">
        <v>74</v>
      </c>
      <c r="L702" t="s">
        <v>74</v>
      </c>
      <c r="M702" t="s">
        <v>78</v>
      </c>
      <c r="N702" t="s">
        <v>79</v>
      </c>
      <c r="O702" t="s">
        <v>74</v>
      </c>
      <c r="P702" t="s">
        <v>74</v>
      </c>
      <c r="Q702" t="s">
        <v>74</v>
      </c>
      <c r="R702" t="s">
        <v>74</v>
      </c>
      <c r="S702" t="s">
        <v>74</v>
      </c>
      <c r="T702" t="s">
        <v>74</v>
      </c>
      <c r="U702" t="s">
        <v>13958</v>
      </c>
      <c r="V702" t="s">
        <v>13959</v>
      </c>
      <c r="W702" t="s">
        <v>13960</v>
      </c>
      <c r="X702" t="s">
        <v>13961</v>
      </c>
      <c r="Y702" t="s">
        <v>13962</v>
      </c>
      <c r="Z702" t="s">
        <v>13963</v>
      </c>
      <c r="AA702" t="s">
        <v>13964</v>
      </c>
      <c r="AB702" t="s">
        <v>13965</v>
      </c>
      <c r="AC702" t="s">
        <v>13966</v>
      </c>
      <c r="AD702" t="s">
        <v>13967</v>
      </c>
      <c r="AE702" t="s">
        <v>13968</v>
      </c>
      <c r="AF702" t="s">
        <v>74</v>
      </c>
      <c r="AG702">
        <v>44</v>
      </c>
      <c r="AH702">
        <v>2</v>
      </c>
      <c r="AI702">
        <v>2</v>
      </c>
      <c r="AJ702">
        <v>0</v>
      </c>
      <c r="AK702">
        <v>4</v>
      </c>
      <c r="AL702" t="s">
        <v>117</v>
      </c>
      <c r="AM702" t="s">
        <v>118</v>
      </c>
      <c r="AN702" t="s">
        <v>119</v>
      </c>
      <c r="AO702" t="s">
        <v>5526</v>
      </c>
      <c r="AP702" t="s">
        <v>5527</v>
      </c>
      <c r="AQ702" t="s">
        <v>74</v>
      </c>
      <c r="AR702" t="s">
        <v>5528</v>
      </c>
      <c r="AS702" t="s">
        <v>5529</v>
      </c>
      <c r="AT702" t="s">
        <v>13893</v>
      </c>
      <c r="AU702">
        <v>2022</v>
      </c>
      <c r="AV702">
        <v>15</v>
      </c>
      <c r="AW702">
        <v>6</v>
      </c>
      <c r="AX702" t="s">
        <v>74</v>
      </c>
      <c r="AY702" t="s">
        <v>74</v>
      </c>
      <c r="AZ702" t="s">
        <v>74</v>
      </c>
      <c r="BA702" t="s">
        <v>74</v>
      </c>
      <c r="BB702">
        <v>2489</v>
      </c>
      <c r="BC702">
        <v>2503</v>
      </c>
      <c r="BD702" t="s">
        <v>74</v>
      </c>
      <c r="BE702" t="s">
        <v>13969</v>
      </c>
      <c r="BF702" t="str">
        <f>HYPERLINK("http://dx.doi.org/10.5194/gmd-15-2489-2022","http://dx.doi.org/10.5194/gmd-15-2489-2022")</f>
        <v>http://dx.doi.org/10.5194/gmd-15-2489-2022</v>
      </c>
      <c r="BG702" t="s">
        <v>74</v>
      </c>
      <c r="BH702" t="s">
        <v>74</v>
      </c>
      <c r="BI702">
        <v>15</v>
      </c>
      <c r="BJ702" t="s">
        <v>265</v>
      </c>
      <c r="BK702" t="s">
        <v>101</v>
      </c>
      <c r="BL702" t="s">
        <v>100</v>
      </c>
      <c r="BM702" t="s">
        <v>13970</v>
      </c>
      <c r="BN702" t="s">
        <v>74</v>
      </c>
      <c r="BO702" t="s">
        <v>660</v>
      </c>
      <c r="BP702" t="s">
        <v>74</v>
      </c>
      <c r="BQ702" t="s">
        <v>74</v>
      </c>
      <c r="BR702" t="s">
        <v>103</v>
      </c>
      <c r="BS702" t="s">
        <v>13971</v>
      </c>
      <c r="BT702" t="str">
        <f>HYPERLINK("https%3A%2F%2Fwww.webofscience.com%2Fwos%2Fwoscc%2Ffull-record%2FWOS:000774974300001","View Full Record in Web of Science")</f>
        <v>View Full Record in Web of Science</v>
      </c>
    </row>
    <row r="703" spans="1:72" x14ac:dyDescent="0.15">
      <c r="A703" t="s">
        <v>72</v>
      </c>
      <c r="B703" t="s">
        <v>13972</v>
      </c>
      <c r="C703" t="s">
        <v>74</v>
      </c>
      <c r="D703" t="s">
        <v>74</v>
      </c>
      <c r="E703" t="s">
        <v>74</v>
      </c>
      <c r="F703" t="s">
        <v>13973</v>
      </c>
      <c r="G703" t="s">
        <v>74</v>
      </c>
      <c r="H703" t="s">
        <v>74</v>
      </c>
      <c r="I703" t="s">
        <v>13974</v>
      </c>
      <c r="J703" t="s">
        <v>8165</v>
      </c>
      <c r="K703" t="s">
        <v>74</v>
      </c>
      <c r="L703" t="s">
        <v>74</v>
      </c>
      <c r="M703" t="s">
        <v>78</v>
      </c>
      <c r="N703" t="s">
        <v>79</v>
      </c>
      <c r="O703" t="s">
        <v>74</v>
      </c>
      <c r="P703" t="s">
        <v>74</v>
      </c>
      <c r="Q703" t="s">
        <v>74</v>
      </c>
      <c r="R703" t="s">
        <v>74</v>
      </c>
      <c r="S703" t="s">
        <v>74</v>
      </c>
      <c r="T703" t="s">
        <v>13975</v>
      </c>
      <c r="U703" t="s">
        <v>13976</v>
      </c>
      <c r="V703" t="s">
        <v>13977</v>
      </c>
      <c r="W703" t="s">
        <v>13978</v>
      </c>
      <c r="X703" t="s">
        <v>13979</v>
      </c>
      <c r="Y703" t="s">
        <v>13980</v>
      </c>
      <c r="Z703" t="s">
        <v>13981</v>
      </c>
      <c r="AA703" t="s">
        <v>13982</v>
      </c>
      <c r="AB703" t="s">
        <v>74</v>
      </c>
      <c r="AC703" t="s">
        <v>13983</v>
      </c>
      <c r="AD703" t="s">
        <v>13984</v>
      </c>
      <c r="AE703" t="s">
        <v>13985</v>
      </c>
      <c r="AF703" t="s">
        <v>74</v>
      </c>
      <c r="AG703">
        <v>52</v>
      </c>
      <c r="AH703">
        <v>2</v>
      </c>
      <c r="AI703">
        <v>2</v>
      </c>
      <c r="AJ703">
        <v>7</v>
      </c>
      <c r="AK703">
        <v>41</v>
      </c>
      <c r="AL703" t="s">
        <v>7201</v>
      </c>
      <c r="AM703" t="s">
        <v>2859</v>
      </c>
      <c r="AN703" t="s">
        <v>8177</v>
      </c>
      <c r="AO703" t="s">
        <v>8178</v>
      </c>
      <c r="AP703" t="s">
        <v>8179</v>
      </c>
      <c r="AQ703" t="s">
        <v>74</v>
      </c>
      <c r="AR703" t="s">
        <v>8180</v>
      </c>
      <c r="AS703" t="s">
        <v>8181</v>
      </c>
      <c r="AT703" t="s">
        <v>206</v>
      </c>
      <c r="AU703">
        <v>2022</v>
      </c>
      <c r="AV703">
        <v>40</v>
      </c>
      <c r="AW703">
        <v>4</v>
      </c>
      <c r="AX703" t="s">
        <v>74</v>
      </c>
      <c r="AY703" t="s">
        <v>74</v>
      </c>
      <c r="AZ703" t="s">
        <v>74</v>
      </c>
      <c r="BA703" t="s">
        <v>74</v>
      </c>
      <c r="BB703">
        <v>1544</v>
      </c>
      <c r="BC703">
        <v>1555</v>
      </c>
      <c r="BD703" t="s">
        <v>74</v>
      </c>
      <c r="BE703" t="s">
        <v>13986</v>
      </c>
      <c r="BF703" t="str">
        <f>HYPERLINK("http://dx.doi.org/10.1007/s00343-021-1126-6","http://dx.doi.org/10.1007/s00343-021-1126-6")</f>
        <v>http://dx.doi.org/10.1007/s00343-021-1126-6</v>
      </c>
      <c r="BG703" t="s">
        <v>74</v>
      </c>
      <c r="BH703" t="s">
        <v>12992</v>
      </c>
      <c r="BI703">
        <v>12</v>
      </c>
      <c r="BJ703" t="s">
        <v>8183</v>
      </c>
      <c r="BK703" t="s">
        <v>101</v>
      </c>
      <c r="BL703" t="s">
        <v>641</v>
      </c>
      <c r="BM703" t="s">
        <v>8184</v>
      </c>
      <c r="BN703" t="s">
        <v>74</v>
      </c>
      <c r="BO703" t="s">
        <v>74</v>
      </c>
      <c r="BP703" t="s">
        <v>74</v>
      </c>
      <c r="BQ703" t="s">
        <v>74</v>
      </c>
      <c r="BR703" t="s">
        <v>103</v>
      </c>
      <c r="BS703" t="s">
        <v>13987</v>
      </c>
      <c r="BT703" t="str">
        <f>HYPERLINK("https%3A%2F%2Fwww.webofscience.com%2Fwos%2Fwoscc%2Ffull-record%2FWOS:000773850200002","View Full Record in Web of Science")</f>
        <v>View Full Record in Web of Science</v>
      </c>
    </row>
    <row r="704" spans="1:72" x14ac:dyDescent="0.15">
      <c r="A704" t="s">
        <v>72</v>
      </c>
      <c r="B704" t="s">
        <v>13988</v>
      </c>
      <c r="C704" t="s">
        <v>74</v>
      </c>
      <c r="D704" t="s">
        <v>74</v>
      </c>
      <c r="E704" t="s">
        <v>74</v>
      </c>
      <c r="F704" t="s">
        <v>13989</v>
      </c>
      <c r="G704" t="s">
        <v>74</v>
      </c>
      <c r="H704" t="s">
        <v>74</v>
      </c>
      <c r="I704" t="s">
        <v>13990</v>
      </c>
      <c r="J704" t="s">
        <v>517</v>
      </c>
      <c r="K704" t="s">
        <v>74</v>
      </c>
      <c r="L704" t="s">
        <v>74</v>
      </c>
      <c r="M704" t="s">
        <v>78</v>
      </c>
      <c r="N704" t="s">
        <v>79</v>
      </c>
      <c r="O704" t="s">
        <v>74</v>
      </c>
      <c r="P704" t="s">
        <v>74</v>
      </c>
      <c r="Q704" t="s">
        <v>74</v>
      </c>
      <c r="R704" t="s">
        <v>74</v>
      </c>
      <c r="S704" t="s">
        <v>74</v>
      </c>
      <c r="T704" t="s">
        <v>13991</v>
      </c>
      <c r="U704" t="s">
        <v>13992</v>
      </c>
      <c r="V704" t="s">
        <v>13993</v>
      </c>
      <c r="W704" t="s">
        <v>13994</v>
      </c>
      <c r="X704" t="s">
        <v>13995</v>
      </c>
      <c r="Y704" t="s">
        <v>13996</v>
      </c>
      <c r="Z704" t="s">
        <v>13997</v>
      </c>
      <c r="AA704" t="s">
        <v>74</v>
      </c>
      <c r="AB704" t="s">
        <v>13998</v>
      </c>
      <c r="AC704" t="s">
        <v>13999</v>
      </c>
      <c r="AD704" t="s">
        <v>14000</v>
      </c>
      <c r="AE704" t="s">
        <v>14001</v>
      </c>
      <c r="AF704" t="s">
        <v>74</v>
      </c>
      <c r="AG704">
        <v>69</v>
      </c>
      <c r="AH704">
        <v>1</v>
      </c>
      <c r="AI704">
        <v>1</v>
      </c>
      <c r="AJ704">
        <v>0</v>
      </c>
      <c r="AK704">
        <v>1</v>
      </c>
      <c r="AL704" t="s">
        <v>530</v>
      </c>
      <c r="AM704" t="s">
        <v>531</v>
      </c>
      <c r="AN704" t="s">
        <v>532</v>
      </c>
      <c r="AO704" t="s">
        <v>533</v>
      </c>
      <c r="AP704" t="s">
        <v>534</v>
      </c>
      <c r="AQ704" t="s">
        <v>74</v>
      </c>
      <c r="AR704" t="s">
        <v>535</v>
      </c>
      <c r="AS704" t="s">
        <v>536</v>
      </c>
      <c r="AT704" t="s">
        <v>5076</v>
      </c>
      <c r="AU704">
        <v>2022</v>
      </c>
      <c r="AV704">
        <v>45</v>
      </c>
      <c r="AW704">
        <v>5</v>
      </c>
      <c r="AX704" t="s">
        <v>74</v>
      </c>
      <c r="AY704" t="s">
        <v>74</v>
      </c>
      <c r="AZ704" t="s">
        <v>74</v>
      </c>
      <c r="BA704" t="s">
        <v>74</v>
      </c>
      <c r="BB704">
        <v>809</v>
      </c>
      <c r="BC704">
        <v>824</v>
      </c>
      <c r="BD704" t="s">
        <v>74</v>
      </c>
      <c r="BE704" t="s">
        <v>14002</v>
      </c>
      <c r="BF704" t="str">
        <f>HYPERLINK("http://dx.doi.org/10.1007/s00300-022-03029-0","http://dx.doi.org/10.1007/s00300-022-03029-0")</f>
        <v>http://dx.doi.org/10.1007/s00300-022-03029-0</v>
      </c>
      <c r="BG704" t="s">
        <v>74</v>
      </c>
      <c r="BH704" t="s">
        <v>12992</v>
      </c>
      <c r="BI704">
        <v>16</v>
      </c>
      <c r="BJ704" t="s">
        <v>539</v>
      </c>
      <c r="BK704" t="s">
        <v>101</v>
      </c>
      <c r="BL704" t="s">
        <v>540</v>
      </c>
      <c r="BM704" t="s">
        <v>8883</v>
      </c>
      <c r="BN704" t="s">
        <v>74</v>
      </c>
      <c r="BO704" t="s">
        <v>74</v>
      </c>
      <c r="BP704" t="s">
        <v>74</v>
      </c>
      <c r="BQ704" t="s">
        <v>74</v>
      </c>
      <c r="BR704" t="s">
        <v>103</v>
      </c>
      <c r="BS704" t="s">
        <v>14003</v>
      </c>
      <c r="BT704" t="str">
        <f>HYPERLINK("https%3A%2F%2Fwww.webofscience.com%2Fwos%2Fwoscc%2Ffull-record%2FWOS:000773166800001","View Full Record in Web of Science")</f>
        <v>View Full Record in Web of Science</v>
      </c>
    </row>
    <row r="705" spans="1:72" x14ac:dyDescent="0.15">
      <c r="A705" t="s">
        <v>72</v>
      </c>
      <c r="B705" t="s">
        <v>14004</v>
      </c>
      <c r="C705" t="s">
        <v>74</v>
      </c>
      <c r="D705" t="s">
        <v>74</v>
      </c>
      <c r="E705" t="s">
        <v>74</v>
      </c>
      <c r="F705" t="s">
        <v>14005</v>
      </c>
      <c r="G705" t="s">
        <v>74</v>
      </c>
      <c r="H705" t="s">
        <v>74</v>
      </c>
      <c r="I705" t="s">
        <v>14006</v>
      </c>
      <c r="J705" t="s">
        <v>13770</v>
      </c>
      <c r="K705" t="s">
        <v>74</v>
      </c>
      <c r="L705" t="s">
        <v>74</v>
      </c>
      <c r="M705" t="s">
        <v>78</v>
      </c>
      <c r="N705" t="s">
        <v>79</v>
      </c>
      <c r="O705" t="s">
        <v>74</v>
      </c>
      <c r="P705" t="s">
        <v>74</v>
      </c>
      <c r="Q705" t="s">
        <v>74</v>
      </c>
      <c r="R705" t="s">
        <v>74</v>
      </c>
      <c r="S705" t="s">
        <v>74</v>
      </c>
      <c r="T705" t="s">
        <v>14007</v>
      </c>
      <c r="U705" t="s">
        <v>14008</v>
      </c>
      <c r="V705" t="s">
        <v>14009</v>
      </c>
      <c r="W705" t="s">
        <v>14010</v>
      </c>
      <c r="X705" t="s">
        <v>14011</v>
      </c>
      <c r="Y705" t="s">
        <v>14012</v>
      </c>
      <c r="Z705" t="s">
        <v>14013</v>
      </c>
      <c r="AA705" t="s">
        <v>14014</v>
      </c>
      <c r="AB705" t="s">
        <v>14015</v>
      </c>
      <c r="AC705" t="s">
        <v>14016</v>
      </c>
      <c r="AD705" t="s">
        <v>14016</v>
      </c>
      <c r="AE705" t="s">
        <v>14017</v>
      </c>
      <c r="AF705" t="s">
        <v>74</v>
      </c>
      <c r="AG705">
        <v>98</v>
      </c>
      <c r="AH705">
        <v>11</v>
      </c>
      <c r="AI705">
        <v>11</v>
      </c>
      <c r="AJ705">
        <v>3</v>
      </c>
      <c r="AK705">
        <v>33</v>
      </c>
      <c r="AL705" t="s">
        <v>91</v>
      </c>
      <c r="AM705" t="s">
        <v>92</v>
      </c>
      <c r="AN705" t="s">
        <v>93</v>
      </c>
      <c r="AO705" t="s">
        <v>13782</v>
      </c>
      <c r="AP705" t="s">
        <v>13783</v>
      </c>
      <c r="AQ705" t="s">
        <v>74</v>
      </c>
      <c r="AR705" t="s">
        <v>13784</v>
      </c>
      <c r="AS705" t="s">
        <v>13785</v>
      </c>
      <c r="AT705" t="s">
        <v>5076</v>
      </c>
      <c r="AU705">
        <v>2022</v>
      </c>
      <c r="AV705">
        <v>49</v>
      </c>
      <c r="AW705">
        <v>5</v>
      </c>
      <c r="AX705" t="s">
        <v>74</v>
      </c>
      <c r="AY705" t="s">
        <v>74</v>
      </c>
      <c r="AZ705" t="s">
        <v>74</v>
      </c>
      <c r="BA705" t="s">
        <v>74</v>
      </c>
      <c r="BB705">
        <v>904</v>
      </c>
      <c r="BC705">
        <v>915</v>
      </c>
      <c r="BD705" t="s">
        <v>74</v>
      </c>
      <c r="BE705" t="s">
        <v>14018</v>
      </c>
      <c r="BF705" t="str">
        <f>HYPERLINK("http://dx.doi.org/10.1111/jbi.14355","http://dx.doi.org/10.1111/jbi.14355")</f>
        <v>http://dx.doi.org/10.1111/jbi.14355</v>
      </c>
      <c r="BG705" t="s">
        <v>74</v>
      </c>
      <c r="BH705" t="s">
        <v>12992</v>
      </c>
      <c r="BI705">
        <v>12</v>
      </c>
      <c r="BJ705" t="s">
        <v>4024</v>
      </c>
      <c r="BK705" t="s">
        <v>101</v>
      </c>
      <c r="BL705" t="s">
        <v>4025</v>
      </c>
      <c r="BM705" t="s">
        <v>13787</v>
      </c>
      <c r="BN705" t="s">
        <v>74</v>
      </c>
      <c r="BO705" t="s">
        <v>2438</v>
      </c>
      <c r="BP705" t="s">
        <v>74</v>
      </c>
      <c r="BQ705" t="s">
        <v>74</v>
      </c>
      <c r="BR705" t="s">
        <v>103</v>
      </c>
      <c r="BS705" t="s">
        <v>14019</v>
      </c>
      <c r="BT705" t="str">
        <f>HYPERLINK("https%3A%2F%2Fwww.webofscience.com%2Fwos%2Fwoscc%2Ffull-record%2FWOS:000772737100001","View Full Record in Web of Science")</f>
        <v>View Full Record in Web of Science</v>
      </c>
    </row>
    <row r="706" spans="1:72" x14ac:dyDescent="0.15">
      <c r="A706" t="s">
        <v>72</v>
      </c>
      <c r="B706" t="s">
        <v>14020</v>
      </c>
      <c r="C706" t="s">
        <v>74</v>
      </c>
      <c r="D706" t="s">
        <v>74</v>
      </c>
      <c r="E706" t="s">
        <v>74</v>
      </c>
      <c r="F706" t="s">
        <v>14021</v>
      </c>
      <c r="G706" t="s">
        <v>74</v>
      </c>
      <c r="H706" t="s">
        <v>74</v>
      </c>
      <c r="I706" t="s">
        <v>14022</v>
      </c>
      <c r="J706" t="s">
        <v>4255</v>
      </c>
      <c r="K706" t="s">
        <v>74</v>
      </c>
      <c r="L706" t="s">
        <v>74</v>
      </c>
      <c r="M706" t="s">
        <v>78</v>
      </c>
      <c r="N706" t="s">
        <v>79</v>
      </c>
      <c r="O706" t="s">
        <v>74</v>
      </c>
      <c r="P706" t="s">
        <v>74</v>
      </c>
      <c r="Q706" t="s">
        <v>74</v>
      </c>
      <c r="R706" t="s">
        <v>74</v>
      </c>
      <c r="S706" t="s">
        <v>74</v>
      </c>
      <c r="T706" t="s">
        <v>14023</v>
      </c>
      <c r="U706" t="s">
        <v>14024</v>
      </c>
      <c r="V706" t="s">
        <v>14025</v>
      </c>
      <c r="W706" t="s">
        <v>14026</v>
      </c>
      <c r="X706" t="s">
        <v>14027</v>
      </c>
      <c r="Y706" t="s">
        <v>14028</v>
      </c>
      <c r="Z706" t="s">
        <v>14029</v>
      </c>
      <c r="AA706" t="s">
        <v>14030</v>
      </c>
      <c r="AB706" t="s">
        <v>14031</v>
      </c>
      <c r="AC706" t="s">
        <v>14032</v>
      </c>
      <c r="AD706" t="s">
        <v>9191</v>
      </c>
      <c r="AE706" t="s">
        <v>14033</v>
      </c>
      <c r="AF706" t="s">
        <v>74</v>
      </c>
      <c r="AG706">
        <v>78</v>
      </c>
      <c r="AH706">
        <v>5</v>
      </c>
      <c r="AI706">
        <v>5</v>
      </c>
      <c r="AJ706">
        <v>2</v>
      </c>
      <c r="AK706">
        <v>24</v>
      </c>
      <c r="AL706" t="s">
        <v>91</v>
      </c>
      <c r="AM706" t="s">
        <v>92</v>
      </c>
      <c r="AN706" t="s">
        <v>93</v>
      </c>
      <c r="AO706" t="s">
        <v>4264</v>
      </c>
      <c r="AP706" t="s">
        <v>4265</v>
      </c>
      <c r="AQ706" t="s">
        <v>74</v>
      </c>
      <c r="AR706" t="s">
        <v>4266</v>
      </c>
      <c r="AS706" t="s">
        <v>4267</v>
      </c>
      <c r="AT706" t="s">
        <v>346</v>
      </c>
      <c r="AU706">
        <v>2022</v>
      </c>
      <c r="AV706">
        <v>36</v>
      </c>
      <c r="AW706">
        <v>4</v>
      </c>
      <c r="AX706" t="s">
        <v>74</v>
      </c>
      <c r="AY706" t="s">
        <v>74</v>
      </c>
      <c r="AZ706" t="s">
        <v>74</v>
      </c>
      <c r="BA706" t="s">
        <v>74</v>
      </c>
      <c r="BB706" t="s">
        <v>74</v>
      </c>
      <c r="BC706" t="s">
        <v>74</v>
      </c>
      <c r="BD706" t="s">
        <v>14034</v>
      </c>
      <c r="BE706" t="s">
        <v>14035</v>
      </c>
      <c r="BF706" t="str">
        <f>HYPERLINK("http://dx.doi.org/10.1111/cobi.13889","http://dx.doi.org/10.1111/cobi.13889")</f>
        <v>http://dx.doi.org/10.1111/cobi.13889</v>
      </c>
      <c r="BG706" t="s">
        <v>74</v>
      </c>
      <c r="BH706" t="s">
        <v>12992</v>
      </c>
      <c r="BI706">
        <v>12</v>
      </c>
      <c r="BJ706" t="s">
        <v>4270</v>
      </c>
      <c r="BK706" t="s">
        <v>101</v>
      </c>
      <c r="BL706" t="s">
        <v>540</v>
      </c>
      <c r="BM706" t="s">
        <v>13162</v>
      </c>
      <c r="BN706">
        <v>35023224</v>
      </c>
      <c r="BO706" t="s">
        <v>1483</v>
      </c>
      <c r="BP706" t="s">
        <v>74</v>
      </c>
      <c r="BQ706" t="s">
        <v>74</v>
      </c>
      <c r="BR706" t="s">
        <v>103</v>
      </c>
      <c r="BS706" t="s">
        <v>14036</v>
      </c>
      <c r="BT706" t="str">
        <f>HYPERLINK("https%3A%2F%2Fwww.webofscience.com%2Fwos%2Fwoscc%2Ffull-record%2FWOS:000778046000001","View Full Record in Web of Science")</f>
        <v>View Full Record in Web of Science</v>
      </c>
    </row>
    <row r="707" spans="1:72" x14ac:dyDescent="0.15">
      <c r="A707" t="s">
        <v>72</v>
      </c>
      <c r="B707" t="s">
        <v>14037</v>
      </c>
      <c r="C707" t="s">
        <v>74</v>
      </c>
      <c r="D707" t="s">
        <v>74</v>
      </c>
      <c r="E707" t="s">
        <v>74</v>
      </c>
      <c r="F707" t="s">
        <v>14038</v>
      </c>
      <c r="G707" t="s">
        <v>74</v>
      </c>
      <c r="H707" t="s">
        <v>74</v>
      </c>
      <c r="I707" t="s">
        <v>14039</v>
      </c>
      <c r="J707" t="s">
        <v>4415</v>
      </c>
      <c r="K707" t="s">
        <v>74</v>
      </c>
      <c r="L707" t="s">
        <v>74</v>
      </c>
      <c r="M707" t="s">
        <v>78</v>
      </c>
      <c r="N707" t="s">
        <v>79</v>
      </c>
      <c r="O707" t="s">
        <v>74</v>
      </c>
      <c r="P707" t="s">
        <v>74</v>
      </c>
      <c r="Q707" t="s">
        <v>74</v>
      </c>
      <c r="R707" t="s">
        <v>74</v>
      </c>
      <c r="S707" t="s">
        <v>74</v>
      </c>
      <c r="T707" t="s">
        <v>14040</v>
      </c>
      <c r="U707" t="s">
        <v>14041</v>
      </c>
      <c r="V707" t="s">
        <v>14042</v>
      </c>
      <c r="W707" t="s">
        <v>14043</v>
      </c>
      <c r="X707" t="s">
        <v>14044</v>
      </c>
      <c r="Y707" t="s">
        <v>14045</v>
      </c>
      <c r="Z707" t="s">
        <v>14046</v>
      </c>
      <c r="AA707" t="s">
        <v>14047</v>
      </c>
      <c r="AB707" t="s">
        <v>14048</v>
      </c>
      <c r="AC707" t="s">
        <v>14049</v>
      </c>
      <c r="AD707" t="s">
        <v>14050</v>
      </c>
      <c r="AE707" t="s">
        <v>14051</v>
      </c>
      <c r="AF707" t="s">
        <v>74</v>
      </c>
      <c r="AG707">
        <v>78</v>
      </c>
      <c r="AH707">
        <v>11</v>
      </c>
      <c r="AI707">
        <v>11</v>
      </c>
      <c r="AJ707">
        <v>4</v>
      </c>
      <c r="AK707">
        <v>42</v>
      </c>
      <c r="AL707" t="s">
        <v>3228</v>
      </c>
      <c r="AM707" t="s">
        <v>200</v>
      </c>
      <c r="AN707" t="s">
        <v>3229</v>
      </c>
      <c r="AO707" t="s">
        <v>4424</v>
      </c>
      <c r="AP707" t="s">
        <v>4425</v>
      </c>
      <c r="AQ707" t="s">
        <v>74</v>
      </c>
      <c r="AR707" t="s">
        <v>4426</v>
      </c>
      <c r="AS707" t="s">
        <v>4427</v>
      </c>
      <c r="AT707" t="s">
        <v>3234</v>
      </c>
      <c r="AU707">
        <v>2022</v>
      </c>
      <c r="AV707">
        <v>304</v>
      </c>
      <c r="AW707" t="s">
        <v>74</v>
      </c>
      <c r="AX707" t="s">
        <v>74</v>
      </c>
      <c r="AY707" t="s">
        <v>74</v>
      </c>
      <c r="AZ707" t="s">
        <v>74</v>
      </c>
      <c r="BA707" t="s">
        <v>74</v>
      </c>
      <c r="BB707" t="s">
        <v>74</v>
      </c>
      <c r="BC707" t="s">
        <v>74</v>
      </c>
      <c r="BD707">
        <v>119199</v>
      </c>
      <c r="BE707" t="s">
        <v>14052</v>
      </c>
      <c r="BF707" t="str">
        <f>HYPERLINK("http://dx.doi.org/10.1016/j.envpol.2022.119199","http://dx.doi.org/10.1016/j.envpol.2022.119199")</f>
        <v>http://dx.doi.org/10.1016/j.envpol.2022.119199</v>
      </c>
      <c r="BG707" t="s">
        <v>74</v>
      </c>
      <c r="BH707" t="s">
        <v>12992</v>
      </c>
      <c r="BI707">
        <v>8</v>
      </c>
      <c r="BJ707" t="s">
        <v>1104</v>
      </c>
      <c r="BK707" t="s">
        <v>101</v>
      </c>
      <c r="BL707" t="s">
        <v>840</v>
      </c>
      <c r="BM707" t="s">
        <v>14053</v>
      </c>
      <c r="BN707">
        <v>35337890</v>
      </c>
      <c r="BO707" t="s">
        <v>986</v>
      </c>
      <c r="BP707" t="s">
        <v>74</v>
      </c>
      <c r="BQ707" t="s">
        <v>74</v>
      </c>
      <c r="BR707" t="s">
        <v>103</v>
      </c>
      <c r="BS707" t="s">
        <v>14054</v>
      </c>
      <c r="BT707" t="str">
        <f>HYPERLINK("https%3A%2F%2Fwww.webofscience.com%2Fwos%2Fwoscc%2Ffull-record%2FWOS:000791331800004","View Full Record in Web of Science")</f>
        <v>View Full Record in Web of Science</v>
      </c>
    </row>
    <row r="708" spans="1:72" x14ac:dyDescent="0.15">
      <c r="A708" t="s">
        <v>72</v>
      </c>
      <c r="B708" t="s">
        <v>14055</v>
      </c>
      <c r="C708" t="s">
        <v>74</v>
      </c>
      <c r="D708" t="s">
        <v>74</v>
      </c>
      <c r="E708" t="s">
        <v>74</v>
      </c>
      <c r="F708" t="s">
        <v>14056</v>
      </c>
      <c r="G708" t="s">
        <v>74</v>
      </c>
      <c r="H708" t="s">
        <v>74</v>
      </c>
      <c r="I708" t="s">
        <v>14057</v>
      </c>
      <c r="J708" t="s">
        <v>6229</v>
      </c>
      <c r="K708" t="s">
        <v>74</v>
      </c>
      <c r="L708" t="s">
        <v>74</v>
      </c>
      <c r="M708" t="s">
        <v>78</v>
      </c>
      <c r="N708" t="s">
        <v>79</v>
      </c>
      <c r="O708" t="s">
        <v>74</v>
      </c>
      <c r="P708" t="s">
        <v>74</v>
      </c>
      <c r="Q708" t="s">
        <v>74</v>
      </c>
      <c r="R708" t="s">
        <v>74</v>
      </c>
      <c r="S708" t="s">
        <v>74</v>
      </c>
      <c r="T708" t="s">
        <v>14058</v>
      </c>
      <c r="U708" t="s">
        <v>14059</v>
      </c>
      <c r="V708" t="s">
        <v>14060</v>
      </c>
      <c r="W708" t="s">
        <v>14061</v>
      </c>
      <c r="X708" t="s">
        <v>14062</v>
      </c>
      <c r="Y708" t="s">
        <v>14063</v>
      </c>
      <c r="Z708" t="s">
        <v>14064</v>
      </c>
      <c r="AA708" t="s">
        <v>14065</v>
      </c>
      <c r="AB708" t="s">
        <v>14066</v>
      </c>
      <c r="AC708" t="s">
        <v>14067</v>
      </c>
      <c r="AD708" t="s">
        <v>14068</v>
      </c>
      <c r="AE708" t="s">
        <v>14069</v>
      </c>
      <c r="AF708" t="s">
        <v>74</v>
      </c>
      <c r="AG708">
        <v>115</v>
      </c>
      <c r="AH708">
        <v>5</v>
      </c>
      <c r="AI708">
        <v>5</v>
      </c>
      <c r="AJ708">
        <v>4</v>
      </c>
      <c r="AK708">
        <v>16</v>
      </c>
      <c r="AL708" t="s">
        <v>530</v>
      </c>
      <c r="AM708" t="s">
        <v>1121</v>
      </c>
      <c r="AN708" t="s">
        <v>1122</v>
      </c>
      <c r="AO708" t="s">
        <v>6242</v>
      </c>
      <c r="AP708" t="s">
        <v>6243</v>
      </c>
      <c r="AQ708" t="s">
        <v>74</v>
      </c>
      <c r="AR708" t="s">
        <v>6229</v>
      </c>
      <c r="AS708" t="s">
        <v>6244</v>
      </c>
      <c r="AT708" t="s">
        <v>537</v>
      </c>
      <c r="AU708">
        <v>2022</v>
      </c>
      <c r="AV708">
        <v>159</v>
      </c>
      <c r="AW708">
        <v>2</v>
      </c>
      <c r="AX708" t="s">
        <v>74</v>
      </c>
      <c r="AY708" t="s">
        <v>74</v>
      </c>
      <c r="AZ708" t="s">
        <v>74</v>
      </c>
      <c r="BA708" t="s">
        <v>74</v>
      </c>
      <c r="BB708">
        <v>139</v>
      </c>
      <c r="BC708">
        <v>158</v>
      </c>
      <c r="BD708" t="s">
        <v>74</v>
      </c>
      <c r="BE708" t="s">
        <v>14070</v>
      </c>
      <c r="BF708" t="str">
        <f>HYPERLINK("http://dx.doi.org/10.1007/s10533-022-00918-8","http://dx.doi.org/10.1007/s10533-022-00918-8")</f>
        <v>http://dx.doi.org/10.1007/s10533-022-00918-8</v>
      </c>
      <c r="BG708" t="s">
        <v>74</v>
      </c>
      <c r="BH708" t="s">
        <v>12992</v>
      </c>
      <c r="BI708">
        <v>20</v>
      </c>
      <c r="BJ708" t="s">
        <v>6246</v>
      </c>
      <c r="BK708" t="s">
        <v>101</v>
      </c>
      <c r="BL708" t="s">
        <v>3113</v>
      </c>
      <c r="BM708" t="s">
        <v>14071</v>
      </c>
      <c r="BN708" t="s">
        <v>74</v>
      </c>
      <c r="BO708" t="s">
        <v>74</v>
      </c>
      <c r="BP708" t="s">
        <v>74</v>
      </c>
      <c r="BQ708" t="s">
        <v>74</v>
      </c>
      <c r="BR708" t="s">
        <v>103</v>
      </c>
      <c r="BS708" t="s">
        <v>14072</v>
      </c>
      <c r="BT708" t="str">
        <f>HYPERLINK("https%3A%2F%2Fwww.webofscience.com%2Fwos%2Fwoscc%2Ffull-record%2FWOS:000772721500001","View Full Record in Web of Science")</f>
        <v>View Full Record in Web of Science</v>
      </c>
    </row>
    <row r="709" spans="1:72" x14ac:dyDescent="0.15">
      <c r="A709" t="s">
        <v>72</v>
      </c>
      <c r="B709" t="s">
        <v>14073</v>
      </c>
      <c r="C709" t="s">
        <v>74</v>
      </c>
      <c r="D709" t="s">
        <v>74</v>
      </c>
      <c r="E709" t="s">
        <v>74</v>
      </c>
      <c r="F709" t="s">
        <v>14074</v>
      </c>
      <c r="G709" t="s">
        <v>74</v>
      </c>
      <c r="H709" t="s">
        <v>74</v>
      </c>
      <c r="I709" t="s">
        <v>14075</v>
      </c>
      <c r="J709" t="s">
        <v>14076</v>
      </c>
      <c r="K709" t="s">
        <v>74</v>
      </c>
      <c r="L709" t="s">
        <v>74</v>
      </c>
      <c r="M709" t="s">
        <v>78</v>
      </c>
      <c r="N709" t="s">
        <v>79</v>
      </c>
      <c r="O709" t="s">
        <v>74</v>
      </c>
      <c r="P709" t="s">
        <v>74</v>
      </c>
      <c r="Q709" t="s">
        <v>74</v>
      </c>
      <c r="R709" t="s">
        <v>74</v>
      </c>
      <c r="S709" t="s">
        <v>74</v>
      </c>
      <c r="T709" t="s">
        <v>74</v>
      </c>
      <c r="U709" t="s">
        <v>14077</v>
      </c>
      <c r="V709" t="s">
        <v>14078</v>
      </c>
      <c r="W709" t="s">
        <v>14079</v>
      </c>
      <c r="X709" t="s">
        <v>14080</v>
      </c>
      <c r="Y709" t="s">
        <v>14081</v>
      </c>
      <c r="Z709" t="s">
        <v>14082</v>
      </c>
      <c r="AA709" t="s">
        <v>896</v>
      </c>
      <c r="AB709" t="s">
        <v>14083</v>
      </c>
      <c r="AC709" t="s">
        <v>14084</v>
      </c>
      <c r="AD709" t="s">
        <v>14085</v>
      </c>
      <c r="AE709" t="s">
        <v>14086</v>
      </c>
      <c r="AF709" t="s">
        <v>74</v>
      </c>
      <c r="AG709">
        <v>74</v>
      </c>
      <c r="AH709">
        <v>1</v>
      </c>
      <c r="AI709">
        <v>1</v>
      </c>
      <c r="AJ709">
        <v>0</v>
      </c>
      <c r="AK709">
        <v>5</v>
      </c>
      <c r="AL709" t="s">
        <v>1587</v>
      </c>
      <c r="AM709" t="s">
        <v>1588</v>
      </c>
      <c r="AN709" t="s">
        <v>1589</v>
      </c>
      <c r="AO709" t="s">
        <v>14087</v>
      </c>
      <c r="AP709" t="s">
        <v>74</v>
      </c>
      <c r="AQ709" t="s">
        <v>74</v>
      </c>
      <c r="AR709" t="s">
        <v>14076</v>
      </c>
      <c r="AS709" t="s">
        <v>14088</v>
      </c>
      <c r="AT709" t="s">
        <v>14089</v>
      </c>
      <c r="AU709">
        <v>2022</v>
      </c>
      <c r="AV709">
        <v>17</v>
      </c>
      <c r="AW709">
        <v>3</v>
      </c>
      <c r="AX709" t="s">
        <v>74</v>
      </c>
      <c r="AY709" t="s">
        <v>74</v>
      </c>
      <c r="AZ709" t="s">
        <v>74</v>
      </c>
      <c r="BA709" t="s">
        <v>74</v>
      </c>
      <c r="BB709" t="s">
        <v>74</v>
      </c>
      <c r="BC709" t="s">
        <v>74</v>
      </c>
      <c r="BD709" t="s">
        <v>14090</v>
      </c>
      <c r="BE709" t="s">
        <v>14091</v>
      </c>
      <c r="BF709" t="str">
        <f>HYPERLINK("http://dx.doi.org/10.1371/journal.pone.0265067","http://dx.doi.org/10.1371/journal.pone.0265067")</f>
        <v>http://dx.doi.org/10.1371/journal.pone.0265067</v>
      </c>
      <c r="BG709" t="s">
        <v>74</v>
      </c>
      <c r="BH709" t="s">
        <v>74</v>
      </c>
      <c r="BI709">
        <v>22</v>
      </c>
      <c r="BJ709" t="s">
        <v>657</v>
      </c>
      <c r="BK709" t="s">
        <v>101</v>
      </c>
      <c r="BL709" t="s">
        <v>658</v>
      </c>
      <c r="BM709" t="s">
        <v>14092</v>
      </c>
      <c r="BN709">
        <v>35324946</v>
      </c>
      <c r="BO709" t="s">
        <v>1533</v>
      </c>
      <c r="BP709" t="s">
        <v>74</v>
      </c>
      <c r="BQ709" t="s">
        <v>74</v>
      </c>
      <c r="BR709" t="s">
        <v>103</v>
      </c>
      <c r="BS709" t="s">
        <v>14093</v>
      </c>
      <c r="BT709" t="str">
        <f>HYPERLINK("https%3A%2F%2Fwww.webofscience.com%2Fwos%2Fwoscc%2Ffull-record%2FWOS:000780951300029","View Full Record in Web of Science")</f>
        <v>View Full Record in Web of Science</v>
      </c>
    </row>
    <row r="710" spans="1:72" x14ac:dyDescent="0.15">
      <c r="A710" t="s">
        <v>72</v>
      </c>
      <c r="B710" t="s">
        <v>14094</v>
      </c>
      <c r="C710" t="s">
        <v>74</v>
      </c>
      <c r="D710" t="s">
        <v>74</v>
      </c>
      <c r="E710" t="s">
        <v>74</v>
      </c>
      <c r="F710" t="s">
        <v>14095</v>
      </c>
      <c r="G710" t="s">
        <v>74</v>
      </c>
      <c r="H710" t="s">
        <v>74</v>
      </c>
      <c r="I710" t="s">
        <v>14096</v>
      </c>
      <c r="J710" t="s">
        <v>3837</v>
      </c>
      <c r="K710" t="s">
        <v>74</v>
      </c>
      <c r="L710" t="s">
        <v>74</v>
      </c>
      <c r="M710" t="s">
        <v>78</v>
      </c>
      <c r="N710" t="s">
        <v>79</v>
      </c>
      <c r="O710" t="s">
        <v>74</v>
      </c>
      <c r="P710" t="s">
        <v>74</v>
      </c>
      <c r="Q710" t="s">
        <v>74</v>
      </c>
      <c r="R710" t="s">
        <v>74</v>
      </c>
      <c r="S710" t="s">
        <v>74</v>
      </c>
      <c r="T710" t="s">
        <v>74</v>
      </c>
      <c r="U710" t="s">
        <v>14097</v>
      </c>
      <c r="V710" t="s">
        <v>14098</v>
      </c>
      <c r="W710" t="s">
        <v>14099</v>
      </c>
      <c r="X710" t="s">
        <v>14100</v>
      </c>
      <c r="Y710" t="s">
        <v>14101</v>
      </c>
      <c r="Z710" t="s">
        <v>14102</v>
      </c>
      <c r="AA710" t="s">
        <v>14103</v>
      </c>
      <c r="AB710" t="s">
        <v>14104</v>
      </c>
      <c r="AC710" t="s">
        <v>14105</v>
      </c>
      <c r="AD710" t="s">
        <v>4740</v>
      </c>
      <c r="AE710" t="s">
        <v>14106</v>
      </c>
      <c r="AF710" t="s">
        <v>74</v>
      </c>
      <c r="AG710">
        <v>62</v>
      </c>
      <c r="AH710">
        <v>0</v>
      </c>
      <c r="AI710">
        <v>0</v>
      </c>
      <c r="AJ710">
        <v>2</v>
      </c>
      <c r="AK710">
        <v>7</v>
      </c>
      <c r="AL710" t="s">
        <v>117</v>
      </c>
      <c r="AM710" t="s">
        <v>118</v>
      </c>
      <c r="AN710" t="s">
        <v>119</v>
      </c>
      <c r="AO710" t="s">
        <v>3849</v>
      </c>
      <c r="AP710" t="s">
        <v>3850</v>
      </c>
      <c r="AQ710" t="s">
        <v>74</v>
      </c>
      <c r="AR710" t="s">
        <v>3851</v>
      </c>
      <c r="AS710" t="s">
        <v>3852</v>
      </c>
      <c r="AT710" t="s">
        <v>14089</v>
      </c>
      <c r="AU710">
        <v>2022</v>
      </c>
      <c r="AV710">
        <v>22</v>
      </c>
      <c r="AW710">
        <v>6</v>
      </c>
      <c r="AX710" t="s">
        <v>74</v>
      </c>
      <c r="AY710" t="s">
        <v>74</v>
      </c>
      <c r="AZ710" t="s">
        <v>74</v>
      </c>
      <c r="BA710" t="s">
        <v>74</v>
      </c>
      <c r="BB710">
        <v>3875</v>
      </c>
      <c r="BC710">
        <v>3890</v>
      </c>
      <c r="BD710" t="s">
        <v>74</v>
      </c>
      <c r="BE710" t="s">
        <v>14107</v>
      </c>
      <c r="BF710" t="str">
        <f>HYPERLINK("http://dx.doi.org/10.5194/acp-22-3875-2022","http://dx.doi.org/10.5194/acp-22-3875-2022")</f>
        <v>http://dx.doi.org/10.5194/acp-22-3875-2022</v>
      </c>
      <c r="BG710" t="s">
        <v>74</v>
      </c>
      <c r="BH710" t="s">
        <v>74</v>
      </c>
      <c r="BI710">
        <v>16</v>
      </c>
      <c r="BJ710" t="s">
        <v>1797</v>
      </c>
      <c r="BK710" t="s">
        <v>101</v>
      </c>
      <c r="BL710" t="s">
        <v>957</v>
      </c>
      <c r="BM710" t="s">
        <v>14108</v>
      </c>
      <c r="BN710" t="s">
        <v>74</v>
      </c>
      <c r="BO710" t="s">
        <v>128</v>
      </c>
      <c r="BP710" t="s">
        <v>74</v>
      </c>
      <c r="BQ710" t="s">
        <v>74</v>
      </c>
      <c r="BR710" t="s">
        <v>103</v>
      </c>
      <c r="BS710" t="s">
        <v>14109</v>
      </c>
      <c r="BT710" t="str">
        <f>HYPERLINK("https%3A%2F%2Fwww.webofscience.com%2Fwos%2Fwoscc%2Ffull-record%2FWOS:000774566300001","View Full Record in Web of Science")</f>
        <v>View Full Record in Web of Science</v>
      </c>
    </row>
    <row r="711" spans="1:72" x14ac:dyDescent="0.15">
      <c r="A711" t="s">
        <v>72</v>
      </c>
      <c r="B711" t="s">
        <v>14110</v>
      </c>
      <c r="C711" t="s">
        <v>74</v>
      </c>
      <c r="D711" t="s">
        <v>74</v>
      </c>
      <c r="E711" t="s">
        <v>74</v>
      </c>
      <c r="F711" t="s">
        <v>14111</v>
      </c>
      <c r="G711" t="s">
        <v>74</v>
      </c>
      <c r="H711" t="s">
        <v>74</v>
      </c>
      <c r="I711" t="s">
        <v>14112</v>
      </c>
      <c r="J711" t="s">
        <v>14113</v>
      </c>
      <c r="K711" t="s">
        <v>74</v>
      </c>
      <c r="L711" t="s">
        <v>74</v>
      </c>
      <c r="M711" t="s">
        <v>78</v>
      </c>
      <c r="N711" t="s">
        <v>79</v>
      </c>
      <c r="O711" t="s">
        <v>74</v>
      </c>
      <c r="P711" t="s">
        <v>74</v>
      </c>
      <c r="Q711" t="s">
        <v>74</v>
      </c>
      <c r="R711" t="s">
        <v>74</v>
      </c>
      <c r="S711" t="s">
        <v>74</v>
      </c>
      <c r="T711" t="s">
        <v>74</v>
      </c>
      <c r="U711" t="s">
        <v>14114</v>
      </c>
      <c r="V711" t="s">
        <v>14115</v>
      </c>
      <c r="W711" t="s">
        <v>14116</v>
      </c>
      <c r="X711" t="s">
        <v>14117</v>
      </c>
      <c r="Y711" t="s">
        <v>14118</v>
      </c>
      <c r="Z711" t="s">
        <v>14119</v>
      </c>
      <c r="AA711" t="s">
        <v>74</v>
      </c>
      <c r="AB711" t="s">
        <v>14120</v>
      </c>
      <c r="AC711" t="s">
        <v>14121</v>
      </c>
      <c r="AD711" t="s">
        <v>14122</v>
      </c>
      <c r="AE711" t="s">
        <v>14123</v>
      </c>
      <c r="AF711" t="s">
        <v>74</v>
      </c>
      <c r="AG711">
        <v>83</v>
      </c>
      <c r="AH711">
        <v>1</v>
      </c>
      <c r="AI711">
        <v>2</v>
      </c>
      <c r="AJ711">
        <v>0</v>
      </c>
      <c r="AK711">
        <v>4</v>
      </c>
      <c r="AL711" t="s">
        <v>117</v>
      </c>
      <c r="AM711" t="s">
        <v>118</v>
      </c>
      <c r="AN711" t="s">
        <v>119</v>
      </c>
      <c r="AO711" t="s">
        <v>14124</v>
      </c>
      <c r="AP711" t="s">
        <v>14125</v>
      </c>
      <c r="AQ711" t="s">
        <v>74</v>
      </c>
      <c r="AR711" t="s">
        <v>14126</v>
      </c>
      <c r="AS711" t="s">
        <v>14127</v>
      </c>
      <c r="AT711" t="s">
        <v>14089</v>
      </c>
      <c r="AU711">
        <v>2022</v>
      </c>
      <c r="AV711">
        <v>34</v>
      </c>
      <c r="AW711">
        <v>2</v>
      </c>
      <c r="AX711" t="s">
        <v>74</v>
      </c>
      <c r="AY711" t="s">
        <v>74</v>
      </c>
      <c r="AZ711" t="s">
        <v>74</v>
      </c>
      <c r="BA711" t="s">
        <v>74</v>
      </c>
      <c r="BB711">
        <v>167</v>
      </c>
      <c r="BC711">
        <v>182</v>
      </c>
      <c r="BD711" t="s">
        <v>74</v>
      </c>
      <c r="BE711" t="s">
        <v>14128</v>
      </c>
      <c r="BF711" t="str">
        <f>HYPERLINK("http://dx.doi.org/10.5194/ejm-34-167-2022","http://dx.doi.org/10.5194/ejm-34-167-2022")</f>
        <v>http://dx.doi.org/10.5194/ejm-34-167-2022</v>
      </c>
      <c r="BG711" t="s">
        <v>74</v>
      </c>
      <c r="BH711" t="s">
        <v>74</v>
      </c>
      <c r="BI711">
        <v>16</v>
      </c>
      <c r="BJ711" t="s">
        <v>14129</v>
      </c>
      <c r="BK711" t="s">
        <v>101</v>
      </c>
      <c r="BL711" t="s">
        <v>14129</v>
      </c>
      <c r="BM711" t="s">
        <v>14130</v>
      </c>
      <c r="BN711" t="s">
        <v>74</v>
      </c>
      <c r="BO711" t="s">
        <v>128</v>
      </c>
      <c r="BP711" t="s">
        <v>74</v>
      </c>
      <c r="BQ711" t="s">
        <v>74</v>
      </c>
      <c r="BR711" t="s">
        <v>103</v>
      </c>
      <c r="BS711" t="s">
        <v>14131</v>
      </c>
      <c r="BT711" t="str">
        <f>HYPERLINK("https%3A%2F%2Fwww.webofscience.com%2Fwos%2Fwoscc%2Ffull-record%2FWOS:000774554300001","View Full Record in Web of Science")</f>
        <v>View Full Record in Web of Science</v>
      </c>
    </row>
    <row r="712" spans="1:72" x14ac:dyDescent="0.15">
      <c r="A712" t="s">
        <v>72</v>
      </c>
      <c r="B712" t="s">
        <v>14132</v>
      </c>
      <c r="C712" t="s">
        <v>74</v>
      </c>
      <c r="D712" t="s">
        <v>74</v>
      </c>
      <c r="E712" t="s">
        <v>74</v>
      </c>
      <c r="F712" t="s">
        <v>14133</v>
      </c>
      <c r="G712" t="s">
        <v>74</v>
      </c>
      <c r="H712" t="s">
        <v>74</v>
      </c>
      <c r="I712" t="s">
        <v>14134</v>
      </c>
      <c r="J712" t="s">
        <v>692</v>
      </c>
      <c r="K712" t="s">
        <v>74</v>
      </c>
      <c r="L712" t="s">
        <v>74</v>
      </c>
      <c r="M712" t="s">
        <v>78</v>
      </c>
      <c r="N712" t="s">
        <v>79</v>
      </c>
      <c r="O712" t="s">
        <v>74</v>
      </c>
      <c r="P712" t="s">
        <v>74</v>
      </c>
      <c r="Q712" t="s">
        <v>74</v>
      </c>
      <c r="R712" t="s">
        <v>74</v>
      </c>
      <c r="S712" t="s">
        <v>74</v>
      </c>
      <c r="T712" t="s">
        <v>14135</v>
      </c>
      <c r="U712" t="s">
        <v>14136</v>
      </c>
      <c r="V712" t="s">
        <v>14137</v>
      </c>
      <c r="W712" t="s">
        <v>14138</v>
      </c>
      <c r="X712" t="s">
        <v>14139</v>
      </c>
      <c r="Y712" t="s">
        <v>14140</v>
      </c>
      <c r="Z712" t="s">
        <v>14141</v>
      </c>
      <c r="AA712" t="s">
        <v>74</v>
      </c>
      <c r="AB712" t="s">
        <v>74</v>
      </c>
      <c r="AC712" t="s">
        <v>14142</v>
      </c>
      <c r="AD712" t="s">
        <v>14143</v>
      </c>
      <c r="AE712" t="s">
        <v>14144</v>
      </c>
      <c r="AF712" t="s">
        <v>74</v>
      </c>
      <c r="AG712">
        <v>24</v>
      </c>
      <c r="AH712">
        <v>1</v>
      </c>
      <c r="AI712">
        <v>1</v>
      </c>
      <c r="AJ712">
        <v>0</v>
      </c>
      <c r="AK712">
        <v>0</v>
      </c>
      <c r="AL712" t="s">
        <v>428</v>
      </c>
      <c r="AM712" t="s">
        <v>531</v>
      </c>
      <c r="AN712" t="s">
        <v>748</v>
      </c>
      <c r="AO712" t="s">
        <v>703</v>
      </c>
      <c r="AP712" t="s">
        <v>704</v>
      </c>
      <c r="AQ712" t="s">
        <v>74</v>
      </c>
      <c r="AR712" t="s">
        <v>705</v>
      </c>
      <c r="AS712" t="s">
        <v>706</v>
      </c>
      <c r="AT712" t="s">
        <v>8316</v>
      </c>
      <c r="AU712">
        <v>2022</v>
      </c>
      <c r="AV712">
        <v>34</v>
      </c>
      <c r="AW712">
        <v>2</v>
      </c>
      <c r="AX712" t="s">
        <v>74</v>
      </c>
      <c r="AY712" t="s">
        <v>74</v>
      </c>
      <c r="AZ712" t="s">
        <v>74</v>
      </c>
      <c r="BA712" t="s">
        <v>74</v>
      </c>
      <c r="BB712">
        <v>172</v>
      </c>
      <c r="BC712">
        <v>179</v>
      </c>
      <c r="BD712" t="s">
        <v>14145</v>
      </c>
      <c r="BE712" t="s">
        <v>14146</v>
      </c>
      <c r="BF712" t="str">
        <f>HYPERLINK("http://dx.doi.org/10.1017/S0954102022000013","http://dx.doi.org/10.1017/S0954102022000013")</f>
        <v>http://dx.doi.org/10.1017/S0954102022000013</v>
      </c>
      <c r="BG712" t="s">
        <v>74</v>
      </c>
      <c r="BH712" t="s">
        <v>12992</v>
      </c>
      <c r="BI712">
        <v>8</v>
      </c>
      <c r="BJ712" t="s">
        <v>708</v>
      </c>
      <c r="BK712" t="s">
        <v>101</v>
      </c>
      <c r="BL712" t="s">
        <v>709</v>
      </c>
      <c r="BM712" t="s">
        <v>9226</v>
      </c>
      <c r="BN712" t="s">
        <v>74</v>
      </c>
      <c r="BO712" t="s">
        <v>267</v>
      </c>
      <c r="BP712" t="s">
        <v>74</v>
      </c>
      <c r="BQ712" t="s">
        <v>74</v>
      </c>
      <c r="BR712" t="s">
        <v>103</v>
      </c>
      <c r="BS712" t="s">
        <v>14147</v>
      </c>
      <c r="BT712" t="str">
        <f>HYPERLINK("https%3A%2F%2Fwww.webofscience.com%2Fwos%2Fwoscc%2Ffull-record%2FWOS:000772681300001","View Full Record in Web of Science")</f>
        <v>View Full Record in Web of Science</v>
      </c>
    </row>
    <row r="713" spans="1:72" x14ac:dyDescent="0.15">
      <c r="A713" t="s">
        <v>72</v>
      </c>
      <c r="B713" t="s">
        <v>14148</v>
      </c>
      <c r="C713" t="s">
        <v>74</v>
      </c>
      <c r="D713" t="s">
        <v>74</v>
      </c>
      <c r="E713" t="s">
        <v>74</v>
      </c>
      <c r="F713" t="s">
        <v>14149</v>
      </c>
      <c r="G713" t="s">
        <v>74</v>
      </c>
      <c r="H713" t="s">
        <v>74</v>
      </c>
      <c r="I713" t="s">
        <v>14150</v>
      </c>
      <c r="J713" t="s">
        <v>5328</v>
      </c>
      <c r="K713" t="s">
        <v>74</v>
      </c>
      <c r="L713" t="s">
        <v>74</v>
      </c>
      <c r="M713" t="s">
        <v>78</v>
      </c>
      <c r="N713" t="s">
        <v>79</v>
      </c>
      <c r="O713" t="s">
        <v>74</v>
      </c>
      <c r="P713" t="s">
        <v>74</v>
      </c>
      <c r="Q713" t="s">
        <v>74</v>
      </c>
      <c r="R713" t="s">
        <v>74</v>
      </c>
      <c r="S713" t="s">
        <v>74</v>
      </c>
      <c r="T713" t="s">
        <v>14151</v>
      </c>
      <c r="U713" t="s">
        <v>14152</v>
      </c>
      <c r="V713" t="s">
        <v>14153</v>
      </c>
      <c r="W713" t="s">
        <v>14154</v>
      </c>
      <c r="X713" t="s">
        <v>14155</v>
      </c>
      <c r="Y713" t="s">
        <v>14156</v>
      </c>
      <c r="Z713" t="s">
        <v>14157</v>
      </c>
      <c r="AA713" t="s">
        <v>14158</v>
      </c>
      <c r="AB713" t="s">
        <v>14159</v>
      </c>
      <c r="AC713" t="s">
        <v>14160</v>
      </c>
      <c r="AD713" t="s">
        <v>14161</v>
      </c>
      <c r="AE713" t="s">
        <v>14162</v>
      </c>
      <c r="AF713" t="s">
        <v>74</v>
      </c>
      <c r="AG713">
        <v>32</v>
      </c>
      <c r="AH713">
        <v>1</v>
      </c>
      <c r="AI713">
        <v>1</v>
      </c>
      <c r="AJ713">
        <v>0</v>
      </c>
      <c r="AK713">
        <v>7</v>
      </c>
      <c r="AL713" t="s">
        <v>530</v>
      </c>
      <c r="AM713" t="s">
        <v>1121</v>
      </c>
      <c r="AN713" t="s">
        <v>1122</v>
      </c>
      <c r="AO713" t="s">
        <v>5341</v>
      </c>
      <c r="AP713" t="s">
        <v>5342</v>
      </c>
      <c r="AQ713" t="s">
        <v>74</v>
      </c>
      <c r="AR713" t="s">
        <v>5343</v>
      </c>
      <c r="AS713" t="s">
        <v>5344</v>
      </c>
      <c r="AT713" t="s">
        <v>206</v>
      </c>
      <c r="AU713">
        <v>2022</v>
      </c>
      <c r="AV713">
        <v>24</v>
      </c>
      <c r="AW713">
        <v>7</v>
      </c>
      <c r="AX713" t="s">
        <v>74</v>
      </c>
      <c r="AY713" t="s">
        <v>74</v>
      </c>
      <c r="AZ713" t="s">
        <v>772</v>
      </c>
      <c r="BA713" t="s">
        <v>74</v>
      </c>
      <c r="BB713">
        <v>2103</v>
      </c>
      <c r="BC713">
        <v>2112</v>
      </c>
      <c r="BD713" t="s">
        <v>74</v>
      </c>
      <c r="BE713" t="s">
        <v>14163</v>
      </c>
      <c r="BF713" t="str">
        <f>HYPERLINK("http://dx.doi.org/10.1007/s10530-022-02765-y","http://dx.doi.org/10.1007/s10530-022-02765-y")</f>
        <v>http://dx.doi.org/10.1007/s10530-022-02765-y</v>
      </c>
      <c r="BG713" t="s">
        <v>74</v>
      </c>
      <c r="BH713" t="s">
        <v>12992</v>
      </c>
      <c r="BI713">
        <v>10</v>
      </c>
      <c r="BJ713" t="s">
        <v>539</v>
      </c>
      <c r="BK713" t="s">
        <v>101</v>
      </c>
      <c r="BL713" t="s">
        <v>540</v>
      </c>
      <c r="BM713" t="s">
        <v>14164</v>
      </c>
      <c r="BN713" t="s">
        <v>74</v>
      </c>
      <c r="BO713" t="s">
        <v>74</v>
      </c>
      <c r="BP713" t="s">
        <v>74</v>
      </c>
      <c r="BQ713" t="s">
        <v>74</v>
      </c>
      <c r="BR713" t="s">
        <v>103</v>
      </c>
      <c r="BS713" t="s">
        <v>14165</v>
      </c>
      <c r="BT713" t="str">
        <f>HYPERLINK("https%3A%2F%2Fwww.webofscience.com%2Fwos%2Fwoscc%2Ffull-record%2FWOS:000772726700001","View Full Record in Web of Science")</f>
        <v>View Full Record in Web of Science</v>
      </c>
    </row>
    <row r="714" spans="1:72" x14ac:dyDescent="0.15">
      <c r="A714" t="s">
        <v>72</v>
      </c>
      <c r="B714" t="s">
        <v>14166</v>
      </c>
      <c r="C714" t="s">
        <v>74</v>
      </c>
      <c r="D714" t="s">
        <v>74</v>
      </c>
      <c r="E714" t="s">
        <v>74</v>
      </c>
      <c r="F714" t="s">
        <v>14167</v>
      </c>
      <c r="G714" t="s">
        <v>74</v>
      </c>
      <c r="H714" t="s">
        <v>74</v>
      </c>
      <c r="I714" t="s">
        <v>14168</v>
      </c>
      <c r="J714" t="s">
        <v>6252</v>
      </c>
      <c r="K714" t="s">
        <v>74</v>
      </c>
      <c r="L714" t="s">
        <v>74</v>
      </c>
      <c r="M714" t="s">
        <v>78</v>
      </c>
      <c r="N714" t="s">
        <v>79</v>
      </c>
      <c r="O714" t="s">
        <v>74</v>
      </c>
      <c r="P714" t="s">
        <v>74</v>
      </c>
      <c r="Q714" t="s">
        <v>74</v>
      </c>
      <c r="R714" t="s">
        <v>74</v>
      </c>
      <c r="S714" t="s">
        <v>74</v>
      </c>
      <c r="T714" t="s">
        <v>74</v>
      </c>
      <c r="U714" t="s">
        <v>14169</v>
      </c>
      <c r="V714" t="s">
        <v>14170</v>
      </c>
      <c r="W714" t="s">
        <v>14171</v>
      </c>
      <c r="X714" t="s">
        <v>14172</v>
      </c>
      <c r="Y714" t="s">
        <v>14173</v>
      </c>
      <c r="Z714" t="s">
        <v>5389</v>
      </c>
      <c r="AA714" t="s">
        <v>14174</v>
      </c>
      <c r="AB714" t="s">
        <v>14175</v>
      </c>
      <c r="AC714" t="s">
        <v>14176</v>
      </c>
      <c r="AD714" t="s">
        <v>14177</v>
      </c>
      <c r="AE714" t="s">
        <v>14178</v>
      </c>
      <c r="AF714" t="s">
        <v>74</v>
      </c>
      <c r="AG714">
        <v>76</v>
      </c>
      <c r="AH714">
        <v>3</v>
      </c>
      <c r="AI714">
        <v>3</v>
      </c>
      <c r="AJ714">
        <v>1</v>
      </c>
      <c r="AK714">
        <v>13</v>
      </c>
      <c r="AL714" t="s">
        <v>91</v>
      </c>
      <c r="AM714" t="s">
        <v>92</v>
      </c>
      <c r="AN714" t="s">
        <v>93</v>
      </c>
      <c r="AO714" t="s">
        <v>6264</v>
      </c>
      <c r="AP714" t="s">
        <v>6265</v>
      </c>
      <c r="AQ714" t="s">
        <v>74</v>
      </c>
      <c r="AR714" t="s">
        <v>6266</v>
      </c>
      <c r="AS714" t="s">
        <v>6267</v>
      </c>
      <c r="AT714" t="s">
        <v>8316</v>
      </c>
      <c r="AU714">
        <v>2022</v>
      </c>
      <c r="AV714">
        <v>24</v>
      </c>
      <c r="AW714">
        <v>4</v>
      </c>
      <c r="AX714" t="s">
        <v>74</v>
      </c>
      <c r="AY714" t="s">
        <v>74</v>
      </c>
      <c r="AZ714" t="s">
        <v>74</v>
      </c>
      <c r="BA714" t="s">
        <v>74</v>
      </c>
      <c r="BB714">
        <v>1988</v>
      </c>
      <c r="BC714">
        <v>1999</v>
      </c>
      <c r="BD714" t="s">
        <v>74</v>
      </c>
      <c r="BE714" t="s">
        <v>14179</v>
      </c>
      <c r="BF714" t="str">
        <f>HYPERLINK("http://dx.doi.org/10.1111/1462-2920.15969","http://dx.doi.org/10.1111/1462-2920.15969")</f>
        <v>http://dx.doi.org/10.1111/1462-2920.15969</v>
      </c>
      <c r="BG714" t="s">
        <v>74</v>
      </c>
      <c r="BH714" t="s">
        <v>12992</v>
      </c>
      <c r="BI714">
        <v>12</v>
      </c>
      <c r="BJ714" t="s">
        <v>293</v>
      </c>
      <c r="BK714" t="s">
        <v>101</v>
      </c>
      <c r="BL714" t="s">
        <v>293</v>
      </c>
      <c r="BM714" t="s">
        <v>14180</v>
      </c>
      <c r="BN714">
        <v>35324062</v>
      </c>
      <c r="BO714" t="s">
        <v>590</v>
      </c>
      <c r="BP714" t="s">
        <v>74</v>
      </c>
      <c r="BQ714" t="s">
        <v>74</v>
      </c>
      <c r="BR714" t="s">
        <v>103</v>
      </c>
      <c r="BS714" t="s">
        <v>14181</v>
      </c>
      <c r="BT714" t="str">
        <f>HYPERLINK("https%3A%2F%2Fwww.webofscience.com%2Fwos%2Fwoscc%2Ffull-record%2FWOS:000772487000001","View Full Record in Web of Science")</f>
        <v>View Full Record in Web of Science</v>
      </c>
    </row>
    <row r="715" spans="1:72" x14ac:dyDescent="0.15">
      <c r="A715" t="s">
        <v>72</v>
      </c>
      <c r="B715" t="s">
        <v>1381</v>
      </c>
      <c r="C715" t="s">
        <v>74</v>
      </c>
      <c r="D715" t="s">
        <v>74</v>
      </c>
      <c r="E715" t="s">
        <v>74</v>
      </c>
      <c r="F715" t="s">
        <v>1381</v>
      </c>
      <c r="G715" t="s">
        <v>74</v>
      </c>
      <c r="H715" t="s">
        <v>74</v>
      </c>
      <c r="I715" t="s">
        <v>14182</v>
      </c>
      <c r="J715" t="s">
        <v>3730</v>
      </c>
      <c r="K715" t="s">
        <v>74</v>
      </c>
      <c r="L715" t="s">
        <v>74</v>
      </c>
      <c r="M715" t="s">
        <v>78</v>
      </c>
      <c r="N715" t="s">
        <v>1385</v>
      </c>
      <c r="O715" t="s">
        <v>74</v>
      </c>
      <c r="P715" t="s">
        <v>74</v>
      </c>
      <c r="Q715" t="s">
        <v>74</v>
      </c>
      <c r="R715" t="s">
        <v>74</v>
      </c>
      <c r="S715" t="s">
        <v>74</v>
      </c>
      <c r="T715" t="s">
        <v>74</v>
      </c>
      <c r="U715" t="s">
        <v>74</v>
      </c>
      <c r="V715" t="s">
        <v>74</v>
      </c>
      <c r="W715" t="s">
        <v>74</v>
      </c>
      <c r="X715" t="s">
        <v>74</v>
      </c>
      <c r="Y715" t="s">
        <v>74</v>
      </c>
      <c r="Z715" t="s">
        <v>74</v>
      </c>
      <c r="AA715" t="s">
        <v>74</v>
      </c>
      <c r="AB715" t="s">
        <v>74</v>
      </c>
      <c r="AC715" t="s">
        <v>74</v>
      </c>
      <c r="AD715" t="s">
        <v>74</v>
      </c>
      <c r="AE715" t="s">
        <v>74</v>
      </c>
      <c r="AF715" t="s">
        <v>74</v>
      </c>
      <c r="AG715">
        <v>0</v>
      </c>
      <c r="AH715">
        <v>0</v>
      </c>
      <c r="AI715">
        <v>0</v>
      </c>
      <c r="AJ715">
        <v>0</v>
      </c>
      <c r="AK715">
        <v>5</v>
      </c>
      <c r="AL715" t="s">
        <v>455</v>
      </c>
      <c r="AM715" t="s">
        <v>456</v>
      </c>
      <c r="AN715" t="s">
        <v>457</v>
      </c>
      <c r="AO715" t="s">
        <v>3742</v>
      </c>
      <c r="AP715" t="s">
        <v>3743</v>
      </c>
      <c r="AQ715" t="s">
        <v>74</v>
      </c>
      <c r="AR715" t="s">
        <v>3730</v>
      </c>
      <c r="AS715" t="s">
        <v>3744</v>
      </c>
      <c r="AT715" t="s">
        <v>14089</v>
      </c>
      <c r="AU715">
        <v>2022</v>
      </c>
      <c r="AV715">
        <v>603</v>
      </c>
      <c r="AW715">
        <v>7902</v>
      </c>
      <c r="AX715" t="s">
        <v>74</v>
      </c>
      <c r="AY715" t="s">
        <v>74</v>
      </c>
      <c r="AZ715" t="s">
        <v>74</v>
      </c>
      <c r="BA715" t="s">
        <v>74</v>
      </c>
      <c r="BB715">
        <v>555</v>
      </c>
      <c r="BC715">
        <v>555</v>
      </c>
      <c r="BD715" t="s">
        <v>74</v>
      </c>
      <c r="BE715" t="s">
        <v>74</v>
      </c>
      <c r="BF715" t="s">
        <v>74</v>
      </c>
      <c r="BG715" t="s">
        <v>74</v>
      </c>
      <c r="BH715" t="s">
        <v>74</v>
      </c>
      <c r="BI715">
        <v>1</v>
      </c>
      <c r="BJ715" t="s">
        <v>657</v>
      </c>
      <c r="BK715" t="s">
        <v>101</v>
      </c>
      <c r="BL715" t="s">
        <v>658</v>
      </c>
      <c r="BM715" t="s">
        <v>14183</v>
      </c>
      <c r="BN715" t="s">
        <v>74</v>
      </c>
      <c r="BO715" t="s">
        <v>74</v>
      </c>
      <c r="BP715" t="s">
        <v>74</v>
      </c>
      <c r="BQ715" t="s">
        <v>74</v>
      </c>
      <c r="BR715" t="s">
        <v>103</v>
      </c>
      <c r="BS715" t="s">
        <v>14184</v>
      </c>
      <c r="BT715" t="str">
        <f>HYPERLINK("https%3A%2F%2Fwww.webofscience.com%2Fwos%2Fwoscc%2Ffull-record%2FWOS:000772661800008","View Full Record in Web of Science")</f>
        <v>View Full Record in Web of Science</v>
      </c>
    </row>
    <row r="716" spans="1:72" x14ac:dyDescent="0.15">
      <c r="A716" t="s">
        <v>72</v>
      </c>
      <c r="B716" t="s">
        <v>14185</v>
      </c>
      <c r="C716" t="s">
        <v>74</v>
      </c>
      <c r="D716" t="s">
        <v>74</v>
      </c>
      <c r="E716" t="s">
        <v>74</v>
      </c>
      <c r="F716" t="s">
        <v>14186</v>
      </c>
      <c r="G716" t="s">
        <v>74</v>
      </c>
      <c r="H716" t="s">
        <v>74</v>
      </c>
      <c r="I716" t="s">
        <v>14187</v>
      </c>
      <c r="J716" t="s">
        <v>14188</v>
      </c>
      <c r="K716" t="s">
        <v>74</v>
      </c>
      <c r="L716" t="s">
        <v>74</v>
      </c>
      <c r="M716" t="s">
        <v>78</v>
      </c>
      <c r="N716" t="s">
        <v>79</v>
      </c>
      <c r="O716" t="s">
        <v>74</v>
      </c>
      <c r="P716" t="s">
        <v>74</v>
      </c>
      <c r="Q716" t="s">
        <v>74</v>
      </c>
      <c r="R716" t="s">
        <v>74</v>
      </c>
      <c r="S716" t="s">
        <v>74</v>
      </c>
      <c r="T716" t="s">
        <v>14189</v>
      </c>
      <c r="U716" t="s">
        <v>14190</v>
      </c>
      <c r="V716" t="s">
        <v>14191</v>
      </c>
      <c r="W716" t="s">
        <v>14192</v>
      </c>
      <c r="X716" t="s">
        <v>14193</v>
      </c>
      <c r="Y716" t="s">
        <v>14194</v>
      </c>
      <c r="Z716" t="s">
        <v>14195</v>
      </c>
      <c r="AA716" t="s">
        <v>14196</v>
      </c>
      <c r="AB716" t="s">
        <v>14197</v>
      </c>
      <c r="AC716" t="s">
        <v>74</v>
      </c>
      <c r="AD716" t="s">
        <v>74</v>
      </c>
      <c r="AE716" t="s">
        <v>74</v>
      </c>
      <c r="AF716" t="s">
        <v>74</v>
      </c>
      <c r="AG716">
        <v>33</v>
      </c>
      <c r="AH716">
        <v>1</v>
      </c>
      <c r="AI716">
        <v>1</v>
      </c>
      <c r="AJ716">
        <v>1</v>
      </c>
      <c r="AK716">
        <v>2</v>
      </c>
      <c r="AL716" t="s">
        <v>91</v>
      </c>
      <c r="AM716" t="s">
        <v>92</v>
      </c>
      <c r="AN716" t="s">
        <v>93</v>
      </c>
      <c r="AO716" t="s">
        <v>14198</v>
      </c>
      <c r="AP716" t="s">
        <v>14199</v>
      </c>
      <c r="AQ716" t="s">
        <v>74</v>
      </c>
      <c r="AR716" t="s">
        <v>14200</v>
      </c>
      <c r="AS716" t="s">
        <v>14201</v>
      </c>
      <c r="AT716" t="s">
        <v>537</v>
      </c>
      <c r="AU716">
        <v>2022</v>
      </c>
      <c r="AV716">
        <v>2022</v>
      </c>
      <c r="AW716">
        <v>6</v>
      </c>
      <c r="AX716" t="s">
        <v>74</v>
      </c>
      <c r="AY716" t="s">
        <v>74</v>
      </c>
      <c r="AZ716" t="s">
        <v>74</v>
      </c>
      <c r="BA716" t="s">
        <v>74</v>
      </c>
      <c r="BB716" t="s">
        <v>74</v>
      </c>
      <c r="BC716" t="s">
        <v>74</v>
      </c>
      <c r="BD716" t="s">
        <v>14202</v>
      </c>
      <c r="BE716" t="s">
        <v>14203</v>
      </c>
      <c r="BF716" t="str">
        <f>HYPERLINK("http://dx.doi.org/10.1111/njb.03326","http://dx.doi.org/10.1111/njb.03326")</f>
        <v>http://dx.doi.org/10.1111/njb.03326</v>
      </c>
      <c r="BG716" t="s">
        <v>74</v>
      </c>
      <c r="BH716" t="s">
        <v>12992</v>
      </c>
      <c r="BI716">
        <v>12</v>
      </c>
      <c r="BJ716" t="s">
        <v>1649</v>
      </c>
      <c r="BK716" t="s">
        <v>101</v>
      </c>
      <c r="BL716" t="s">
        <v>1649</v>
      </c>
      <c r="BM716" t="s">
        <v>14204</v>
      </c>
      <c r="BN716" t="s">
        <v>74</v>
      </c>
      <c r="BO716" t="s">
        <v>74</v>
      </c>
      <c r="BP716" t="s">
        <v>74</v>
      </c>
      <c r="BQ716" t="s">
        <v>74</v>
      </c>
      <c r="BR716" t="s">
        <v>103</v>
      </c>
      <c r="BS716" t="s">
        <v>14205</v>
      </c>
      <c r="BT716" t="str">
        <f>HYPERLINK("https%3A%2F%2Fwww.webofscience.com%2Fwos%2Fwoscc%2Ffull-record%2FWOS:000772365200001","View Full Record in Web of Science")</f>
        <v>View Full Record in Web of Science</v>
      </c>
    </row>
    <row r="717" spans="1:72" x14ac:dyDescent="0.15">
      <c r="A717" t="s">
        <v>72</v>
      </c>
      <c r="B717" t="s">
        <v>14206</v>
      </c>
      <c r="C717" t="s">
        <v>74</v>
      </c>
      <c r="D717" t="s">
        <v>74</v>
      </c>
      <c r="E717" t="s">
        <v>74</v>
      </c>
      <c r="F717" t="s">
        <v>14207</v>
      </c>
      <c r="G717" t="s">
        <v>74</v>
      </c>
      <c r="H717" t="s">
        <v>74</v>
      </c>
      <c r="I717" t="s">
        <v>14208</v>
      </c>
      <c r="J717" t="s">
        <v>14209</v>
      </c>
      <c r="K717" t="s">
        <v>74</v>
      </c>
      <c r="L717" t="s">
        <v>74</v>
      </c>
      <c r="M717" t="s">
        <v>78</v>
      </c>
      <c r="N717" t="s">
        <v>649</v>
      </c>
      <c r="O717" t="s">
        <v>74</v>
      </c>
      <c r="P717" t="s">
        <v>74</v>
      </c>
      <c r="Q717" t="s">
        <v>74</v>
      </c>
      <c r="R717" t="s">
        <v>74</v>
      </c>
      <c r="S717" t="s">
        <v>74</v>
      </c>
      <c r="T717" t="s">
        <v>74</v>
      </c>
      <c r="U717" t="s">
        <v>74</v>
      </c>
      <c r="V717" t="s">
        <v>74</v>
      </c>
      <c r="W717" t="s">
        <v>14210</v>
      </c>
      <c r="X717" t="s">
        <v>14211</v>
      </c>
      <c r="Y717" t="s">
        <v>14212</v>
      </c>
      <c r="Z717" t="s">
        <v>9591</v>
      </c>
      <c r="AA717" t="s">
        <v>14213</v>
      </c>
      <c r="AB717" t="s">
        <v>14214</v>
      </c>
      <c r="AC717" t="s">
        <v>74</v>
      </c>
      <c r="AD717" t="s">
        <v>74</v>
      </c>
      <c r="AE717" t="s">
        <v>74</v>
      </c>
      <c r="AF717" t="s">
        <v>74</v>
      </c>
      <c r="AG717">
        <v>1</v>
      </c>
      <c r="AH717">
        <v>0</v>
      </c>
      <c r="AI717">
        <v>0</v>
      </c>
      <c r="AJ717">
        <v>0</v>
      </c>
      <c r="AK717">
        <v>3</v>
      </c>
      <c r="AL717" t="s">
        <v>5856</v>
      </c>
      <c r="AM717" t="s">
        <v>401</v>
      </c>
      <c r="AN717" t="s">
        <v>5857</v>
      </c>
      <c r="AO717" t="s">
        <v>14215</v>
      </c>
      <c r="AP717" t="s">
        <v>74</v>
      </c>
      <c r="AQ717" t="s">
        <v>74</v>
      </c>
      <c r="AR717" t="s">
        <v>14216</v>
      </c>
      <c r="AS717" t="s">
        <v>14217</v>
      </c>
      <c r="AT717" t="s">
        <v>14089</v>
      </c>
      <c r="AU717">
        <v>2022</v>
      </c>
      <c r="AV717">
        <v>10</v>
      </c>
      <c r="AW717">
        <v>1</v>
      </c>
      <c r="AX717" t="s">
        <v>74</v>
      </c>
      <c r="AY717" t="s">
        <v>74</v>
      </c>
      <c r="AZ717" t="s">
        <v>74</v>
      </c>
      <c r="BA717" t="s">
        <v>74</v>
      </c>
      <c r="BB717" t="s">
        <v>74</v>
      </c>
      <c r="BC717" t="s">
        <v>74</v>
      </c>
      <c r="BD717">
        <v>15</v>
      </c>
      <c r="BE717" t="s">
        <v>14218</v>
      </c>
      <c r="BF717" t="str">
        <f>HYPERLINK("http://dx.doi.org/10.1186/s40462-022-00317-6","http://dx.doi.org/10.1186/s40462-022-00317-6")</f>
        <v>http://dx.doi.org/10.1186/s40462-022-00317-6</v>
      </c>
      <c r="BG717" t="s">
        <v>74</v>
      </c>
      <c r="BH717" t="s">
        <v>74</v>
      </c>
      <c r="BI717">
        <v>1</v>
      </c>
      <c r="BJ717" t="s">
        <v>2647</v>
      </c>
      <c r="BK717" t="s">
        <v>101</v>
      </c>
      <c r="BL717" t="s">
        <v>840</v>
      </c>
      <c r="BM717" t="s">
        <v>14219</v>
      </c>
      <c r="BN717">
        <v>35331336</v>
      </c>
      <c r="BO717" t="s">
        <v>1533</v>
      </c>
      <c r="BP717" t="s">
        <v>74</v>
      </c>
      <c r="BQ717" t="s">
        <v>74</v>
      </c>
      <c r="BR717" t="s">
        <v>103</v>
      </c>
      <c r="BS717" t="s">
        <v>14220</v>
      </c>
      <c r="BT717" t="str">
        <f>HYPERLINK("https%3A%2F%2Fwww.webofscience.com%2Fwos%2Fwoscc%2Ffull-record%2FWOS:000772813900001","View Full Record in Web of Science")</f>
        <v>View Full Record in Web of Science</v>
      </c>
    </row>
    <row r="718" spans="1:72" x14ac:dyDescent="0.15">
      <c r="A718" t="s">
        <v>72</v>
      </c>
      <c r="B718" t="s">
        <v>14221</v>
      </c>
      <c r="C718" t="s">
        <v>74</v>
      </c>
      <c r="D718" t="s">
        <v>74</v>
      </c>
      <c r="E718" t="s">
        <v>74</v>
      </c>
      <c r="F718" t="s">
        <v>14222</v>
      </c>
      <c r="G718" t="s">
        <v>74</v>
      </c>
      <c r="H718" t="s">
        <v>74</v>
      </c>
      <c r="I718" t="s">
        <v>14223</v>
      </c>
      <c r="J718" t="s">
        <v>4294</v>
      </c>
      <c r="K718" t="s">
        <v>74</v>
      </c>
      <c r="L718" t="s">
        <v>74</v>
      </c>
      <c r="M718" t="s">
        <v>78</v>
      </c>
      <c r="N718" t="s">
        <v>79</v>
      </c>
      <c r="O718" t="s">
        <v>74</v>
      </c>
      <c r="P718" t="s">
        <v>74</v>
      </c>
      <c r="Q718" t="s">
        <v>74</v>
      </c>
      <c r="R718" t="s">
        <v>74</v>
      </c>
      <c r="S718" t="s">
        <v>74</v>
      </c>
      <c r="T718" t="s">
        <v>74</v>
      </c>
      <c r="U718" t="s">
        <v>14224</v>
      </c>
      <c r="V718" t="s">
        <v>14225</v>
      </c>
      <c r="W718" t="s">
        <v>14226</v>
      </c>
      <c r="X718" t="s">
        <v>14227</v>
      </c>
      <c r="Y718" t="s">
        <v>14228</v>
      </c>
      <c r="Z718" t="s">
        <v>14229</v>
      </c>
      <c r="AA718" t="s">
        <v>14230</v>
      </c>
      <c r="AB718" t="s">
        <v>14231</v>
      </c>
      <c r="AC718" t="s">
        <v>14232</v>
      </c>
      <c r="AD718" t="s">
        <v>14233</v>
      </c>
      <c r="AE718" t="s">
        <v>14234</v>
      </c>
      <c r="AF718" t="s">
        <v>74</v>
      </c>
      <c r="AG718">
        <v>71</v>
      </c>
      <c r="AH718">
        <v>14</v>
      </c>
      <c r="AI718">
        <v>14</v>
      </c>
      <c r="AJ718">
        <v>0</v>
      </c>
      <c r="AK718">
        <v>9</v>
      </c>
      <c r="AL718" t="s">
        <v>455</v>
      </c>
      <c r="AM718" t="s">
        <v>456</v>
      </c>
      <c r="AN718" t="s">
        <v>457</v>
      </c>
      <c r="AO718" t="s">
        <v>4306</v>
      </c>
      <c r="AP718" t="s">
        <v>74</v>
      </c>
      <c r="AQ718" t="s">
        <v>74</v>
      </c>
      <c r="AR718" t="s">
        <v>4307</v>
      </c>
      <c r="AS718" t="s">
        <v>4308</v>
      </c>
      <c r="AT718" t="s">
        <v>14235</v>
      </c>
      <c r="AU718">
        <v>2022</v>
      </c>
      <c r="AV718">
        <v>12</v>
      </c>
      <c r="AW718">
        <v>1</v>
      </c>
      <c r="AX718" t="s">
        <v>74</v>
      </c>
      <c r="AY718" t="s">
        <v>74</v>
      </c>
      <c r="AZ718" t="s">
        <v>74</v>
      </c>
      <c r="BA718" t="s">
        <v>74</v>
      </c>
      <c r="BB718" t="s">
        <v>74</v>
      </c>
      <c r="BC718" t="s">
        <v>74</v>
      </c>
      <c r="BD718">
        <v>4975</v>
      </c>
      <c r="BE718" t="s">
        <v>14236</v>
      </c>
      <c r="BF718" t="str">
        <f>HYPERLINK("http://dx.doi.org/10.1038/s41598-022-07886-x","http://dx.doi.org/10.1038/s41598-022-07886-x")</f>
        <v>http://dx.doi.org/10.1038/s41598-022-07886-x</v>
      </c>
      <c r="BG718" t="s">
        <v>74</v>
      </c>
      <c r="BH718" t="s">
        <v>74</v>
      </c>
      <c r="BI718">
        <v>10</v>
      </c>
      <c r="BJ718" t="s">
        <v>657</v>
      </c>
      <c r="BK718" t="s">
        <v>101</v>
      </c>
      <c r="BL718" t="s">
        <v>658</v>
      </c>
      <c r="BM718" t="s">
        <v>14237</v>
      </c>
      <c r="BN718">
        <v>35322043</v>
      </c>
      <c r="BO718" t="s">
        <v>14238</v>
      </c>
      <c r="BP718" t="s">
        <v>74</v>
      </c>
      <c r="BQ718" t="s">
        <v>74</v>
      </c>
      <c r="BR718" t="s">
        <v>103</v>
      </c>
      <c r="BS718" t="s">
        <v>14239</v>
      </c>
      <c r="BT718" t="str">
        <f>HYPERLINK("https%3A%2F%2Fwww.webofscience.com%2Fwos%2Fwoscc%2Ffull-record%2FWOS:000772605500038","View Full Record in Web of Science")</f>
        <v>View Full Record in Web of Science</v>
      </c>
    </row>
    <row r="719" spans="1:72" x14ac:dyDescent="0.15">
      <c r="A719" t="s">
        <v>72</v>
      </c>
      <c r="B719" t="s">
        <v>14240</v>
      </c>
      <c r="C719" t="s">
        <v>74</v>
      </c>
      <c r="D719" t="s">
        <v>74</v>
      </c>
      <c r="E719" t="s">
        <v>74</v>
      </c>
      <c r="F719" t="s">
        <v>14241</v>
      </c>
      <c r="G719" t="s">
        <v>74</v>
      </c>
      <c r="H719" t="s">
        <v>74</v>
      </c>
      <c r="I719" t="s">
        <v>14242</v>
      </c>
      <c r="J719" t="s">
        <v>4294</v>
      </c>
      <c r="K719" t="s">
        <v>74</v>
      </c>
      <c r="L719" t="s">
        <v>74</v>
      </c>
      <c r="M719" t="s">
        <v>78</v>
      </c>
      <c r="N719" t="s">
        <v>79</v>
      </c>
      <c r="O719" t="s">
        <v>74</v>
      </c>
      <c r="P719" t="s">
        <v>74</v>
      </c>
      <c r="Q719" t="s">
        <v>74</v>
      </c>
      <c r="R719" t="s">
        <v>74</v>
      </c>
      <c r="S719" t="s">
        <v>74</v>
      </c>
      <c r="T719" t="s">
        <v>74</v>
      </c>
      <c r="U719" t="s">
        <v>14243</v>
      </c>
      <c r="V719" t="s">
        <v>14244</v>
      </c>
      <c r="W719" t="s">
        <v>14245</v>
      </c>
      <c r="X719" t="s">
        <v>14246</v>
      </c>
      <c r="Y719" t="s">
        <v>14247</v>
      </c>
      <c r="Z719" t="s">
        <v>14248</v>
      </c>
      <c r="AA719" t="s">
        <v>14249</v>
      </c>
      <c r="AB719" t="s">
        <v>14250</v>
      </c>
      <c r="AC719" t="s">
        <v>14251</v>
      </c>
      <c r="AD719" t="s">
        <v>14252</v>
      </c>
      <c r="AE719" t="s">
        <v>14253</v>
      </c>
      <c r="AF719" t="s">
        <v>74</v>
      </c>
      <c r="AG719">
        <v>70</v>
      </c>
      <c r="AH719">
        <v>12</v>
      </c>
      <c r="AI719">
        <v>13</v>
      </c>
      <c r="AJ719">
        <v>0</v>
      </c>
      <c r="AK719">
        <v>4</v>
      </c>
      <c r="AL719" t="s">
        <v>455</v>
      </c>
      <c r="AM719" t="s">
        <v>456</v>
      </c>
      <c r="AN719" t="s">
        <v>457</v>
      </c>
      <c r="AO719" t="s">
        <v>4306</v>
      </c>
      <c r="AP719" t="s">
        <v>74</v>
      </c>
      <c r="AQ719" t="s">
        <v>74</v>
      </c>
      <c r="AR719" t="s">
        <v>4307</v>
      </c>
      <c r="AS719" t="s">
        <v>4308</v>
      </c>
      <c r="AT719" t="s">
        <v>14235</v>
      </c>
      <c r="AU719">
        <v>2022</v>
      </c>
      <c r="AV719">
        <v>12</v>
      </c>
      <c r="AW719">
        <v>1</v>
      </c>
      <c r="AX719" t="s">
        <v>74</v>
      </c>
      <c r="AY719" t="s">
        <v>74</v>
      </c>
      <c r="AZ719" t="s">
        <v>74</v>
      </c>
      <c r="BA719" t="s">
        <v>74</v>
      </c>
      <c r="BB719" t="s">
        <v>74</v>
      </c>
      <c r="BC719" t="s">
        <v>74</v>
      </c>
      <c r="BD719">
        <v>5020</v>
      </c>
      <c r="BE719" t="s">
        <v>14254</v>
      </c>
      <c r="BF719" t="str">
        <f>HYPERLINK("http://dx.doi.org/10.1038/s41598-022-08264-3","http://dx.doi.org/10.1038/s41598-022-08264-3")</f>
        <v>http://dx.doi.org/10.1038/s41598-022-08264-3</v>
      </c>
      <c r="BG719" t="s">
        <v>74</v>
      </c>
      <c r="BH719" t="s">
        <v>74</v>
      </c>
      <c r="BI719">
        <v>10</v>
      </c>
      <c r="BJ719" t="s">
        <v>657</v>
      </c>
      <c r="BK719" t="s">
        <v>101</v>
      </c>
      <c r="BL719" t="s">
        <v>658</v>
      </c>
      <c r="BM719" t="s">
        <v>14237</v>
      </c>
      <c r="BN719">
        <v>35322059</v>
      </c>
      <c r="BO719" t="s">
        <v>295</v>
      </c>
      <c r="BP719" t="s">
        <v>74</v>
      </c>
      <c r="BQ719" t="s">
        <v>74</v>
      </c>
      <c r="BR719" t="s">
        <v>103</v>
      </c>
      <c r="BS719" t="s">
        <v>14255</v>
      </c>
      <c r="BT719" t="str">
        <f>HYPERLINK("https%3A%2F%2Fwww.webofscience.com%2Fwos%2Fwoscc%2Ffull-record%2FWOS:000772605500020","View Full Record in Web of Science")</f>
        <v>View Full Record in Web of Science</v>
      </c>
    </row>
    <row r="720" spans="1:72" x14ac:dyDescent="0.15">
      <c r="A720" t="s">
        <v>72</v>
      </c>
      <c r="B720" t="s">
        <v>14256</v>
      </c>
      <c r="C720" t="s">
        <v>74</v>
      </c>
      <c r="D720" t="s">
        <v>74</v>
      </c>
      <c r="E720" t="s">
        <v>74</v>
      </c>
      <c r="F720" t="s">
        <v>14257</v>
      </c>
      <c r="G720" t="s">
        <v>74</v>
      </c>
      <c r="H720" t="s">
        <v>74</v>
      </c>
      <c r="I720" t="s">
        <v>14258</v>
      </c>
      <c r="J720" t="s">
        <v>4294</v>
      </c>
      <c r="K720" t="s">
        <v>74</v>
      </c>
      <c r="L720" t="s">
        <v>74</v>
      </c>
      <c r="M720" t="s">
        <v>78</v>
      </c>
      <c r="N720" t="s">
        <v>79</v>
      </c>
      <c r="O720" t="s">
        <v>74</v>
      </c>
      <c r="P720" t="s">
        <v>74</v>
      </c>
      <c r="Q720" t="s">
        <v>74</v>
      </c>
      <c r="R720" t="s">
        <v>74</v>
      </c>
      <c r="S720" t="s">
        <v>74</v>
      </c>
      <c r="T720" t="s">
        <v>74</v>
      </c>
      <c r="U720" t="s">
        <v>14259</v>
      </c>
      <c r="V720" t="s">
        <v>14260</v>
      </c>
      <c r="W720" t="s">
        <v>14261</v>
      </c>
      <c r="X720" t="s">
        <v>14262</v>
      </c>
      <c r="Y720" t="s">
        <v>14263</v>
      </c>
      <c r="Z720" t="s">
        <v>14264</v>
      </c>
      <c r="AA720" t="s">
        <v>14265</v>
      </c>
      <c r="AB720" t="s">
        <v>14266</v>
      </c>
      <c r="AC720" t="s">
        <v>14267</v>
      </c>
      <c r="AD720" t="s">
        <v>14267</v>
      </c>
      <c r="AE720" t="s">
        <v>14268</v>
      </c>
      <c r="AF720" t="s">
        <v>74</v>
      </c>
      <c r="AG720">
        <v>60</v>
      </c>
      <c r="AH720">
        <v>4</v>
      </c>
      <c r="AI720">
        <v>4</v>
      </c>
      <c r="AJ720">
        <v>0</v>
      </c>
      <c r="AK720">
        <v>6</v>
      </c>
      <c r="AL720" t="s">
        <v>455</v>
      </c>
      <c r="AM720" t="s">
        <v>456</v>
      </c>
      <c r="AN720" t="s">
        <v>457</v>
      </c>
      <c r="AO720" t="s">
        <v>4306</v>
      </c>
      <c r="AP720" t="s">
        <v>74</v>
      </c>
      <c r="AQ720" t="s">
        <v>74</v>
      </c>
      <c r="AR720" t="s">
        <v>4307</v>
      </c>
      <c r="AS720" t="s">
        <v>4308</v>
      </c>
      <c r="AT720" t="s">
        <v>14235</v>
      </c>
      <c r="AU720">
        <v>2022</v>
      </c>
      <c r="AV720">
        <v>12</v>
      </c>
      <c r="AW720">
        <v>1</v>
      </c>
      <c r="AX720" t="s">
        <v>74</v>
      </c>
      <c r="AY720" t="s">
        <v>74</v>
      </c>
      <c r="AZ720" t="s">
        <v>74</v>
      </c>
      <c r="BA720" t="s">
        <v>74</v>
      </c>
      <c r="BB720" t="s">
        <v>74</v>
      </c>
      <c r="BC720" t="s">
        <v>74</v>
      </c>
      <c r="BD720">
        <v>5040</v>
      </c>
      <c r="BE720" t="s">
        <v>14269</v>
      </c>
      <c r="BF720" t="str">
        <f>HYPERLINK("http://dx.doi.org/10.1038/s41598-022-07920-y","http://dx.doi.org/10.1038/s41598-022-07920-y")</f>
        <v>http://dx.doi.org/10.1038/s41598-022-07920-y</v>
      </c>
      <c r="BG720" t="s">
        <v>74</v>
      </c>
      <c r="BH720" t="s">
        <v>74</v>
      </c>
      <c r="BI720">
        <v>14</v>
      </c>
      <c r="BJ720" t="s">
        <v>657</v>
      </c>
      <c r="BK720" t="s">
        <v>101</v>
      </c>
      <c r="BL720" t="s">
        <v>658</v>
      </c>
      <c r="BM720" t="s">
        <v>14237</v>
      </c>
      <c r="BN720">
        <v>35322034</v>
      </c>
      <c r="BO720" t="s">
        <v>295</v>
      </c>
      <c r="BP720" t="s">
        <v>74</v>
      </c>
      <c r="BQ720" t="s">
        <v>74</v>
      </c>
      <c r="BR720" t="s">
        <v>103</v>
      </c>
      <c r="BS720" t="s">
        <v>14270</v>
      </c>
      <c r="BT720" t="str">
        <f>HYPERLINK("https%3A%2F%2Fwww.webofscience.com%2Fwos%2Fwoscc%2Ffull-record%2FWOS:000772605500037","View Full Record in Web of Science")</f>
        <v>View Full Record in Web of Science</v>
      </c>
    </row>
    <row r="721" spans="1:72" x14ac:dyDescent="0.15">
      <c r="A721" t="s">
        <v>72</v>
      </c>
      <c r="B721" t="s">
        <v>14271</v>
      </c>
      <c r="C721" t="s">
        <v>74</v>
      </c>
      <c r="D721" t="s">
        <v>74</v>
      </c>
      <c r="E721" t="s">
        <v>74</v>
      </c>
      <c r="F721" t="s">
        <v>14272</v>
      </c>
      <c r="G721" t="s">
        <v>74</v>
      </c>
      <c r="H721" t="s">
        <v>74</v>
      </c>
      <c r="I721" t="s">
        <v>14273</v>
      </c>
      <c r="J721" t="s">
        <v>546</v>
      </c>
      <c r="K721" t="s">
        <v>74</v>
      </c>
      <c r="L721" t="s">
        <v>74</v>
      </c>
      <c r="M721" t="s">
        <v>78</v>
      </c>
      <c r="N721" t="s">
        <v>79</v>
      </c>
      <c r="O721" t="s">
        <v>74</v>
      </c>
      <c r="P721" t="s">
        <v>74</v>
      </c>
      <c r="Q721" t="s">
        <v>74</v>
      </c>
      <c r="R721" t="s">
        <v>74</v>
      </c>
      <c r="S721" t="s">
        <v>74</v>
      </c>
      <c r="T721" t="s">
        <v>14274</v>
      </c>
      <c r="U721" t="s">
        <v>14275</v>
      </c>
      <c r="V721" t="s">
        <v>14276</v>
      </c>
      <c r="W721" t="s">
        <v>14277</v>
      </c>
      <c r="X721" t="s">
        <v>14278</v>
      </c>
      <c r="Y721" t="s">
        <v>14279</v>
      </c>
      <c r="Z721" t="s">
        <v>14280</v>
      </c>
      <c r="AA721" t="s">
        <v>14281</v>
      </c>
      <c r="AB721" t="s">
        <v>14282</v>
      </c>
      <c r="AC721" t="s">
        <v>14283</v>
      </c>
      <c r="AD721" t="s">
        <v>14283</v>
      </c>
      <c r="AE721" t="s">
        <v>14284</v>
      </c>
      <c r="AF721" t="s">
        <v>74</v>
      </c>
      <c r="AG721">
        <v>83</v>
      </c>
      <c r="AH721">
        <v>0</v>
      </c>
      <c r="AI721">
        <v>0</v>
      </c>
      <c r="AJ721">
        <v>2</v>
      </c>
      <c r="AK721">
        <v>9</v>
      </c>
      <c r="AL721" t="s">
        <v>285</v>
      </c>
      <c r="AM721" t="s">
        <v>286</v>
      </c>
      <c r="AN721" t="s">
        <v>287</v>
      </c>
      <c r="AO721" t="s">
        <v>74</v>
      </c>
      <c r="AP721" t="s">
        <v>558</v>
      </c>
      <c r="AQ721" t="s">
        <v>74</v>
      </c>
      <c r="AR721" t="s">
        <v>559</v>
      </c>
      <c r="AS721" t="s">
        <v>560</v>
      </c>
      <c r="AT721" t="s">
        <v>14235</v>
      </c>
      <c r="AU721">
        <v>2022</v>
      </c>
      <c r="AV721">
        <v>9</v>
      </c>
      <c r="AW721" t="s">
        <v>74</v>
      </c>
      <c r="AX721" t="s">
        <v>74</v>
      </c>
      <c r="AY721" t="s">
        <v>74</v>
      </c>
      <c r="AZ721" t="s">
        <v>74</v>
      </c>
      <c r="BA721" t="s">
        <v>74</v>
      </c>
      <c r="BB721" t="s">
        <v>74</v>
      </c>
      <c r="BC721" t="s">
        <v>74</v>
      </c>
      <c r="BD721">
        <v>809852</v>
      </c>
      <c r="BE721" t="s">
        <v>14285</v>
      </c>
      <c r="BF721" t="str">
        <f>HYPERLINK("http://dx.doi.org/10.3389/fmars.2022.809852","http://dx.doi.org/10.3389/fmars.2022.809852")</f>
        <v>http://dx.doi.org/10.3389/fmars.2022.809852</v>
      </c>
      <c r="BG721" t="s">
        <v>74</v>
      </c>
      <c r="BH721" t="s">
        <v>74</v>
      </c>
      <c r="BI721">
        <v>11</v>
      </c>
      <c r="BJ721" t="s">
        <v>563</v>
      </c>
      <c r="BK721" t="s">
        <v>101</v>
      </c>
      <c r="BL721" t="s">
        <v>564</v>
      </c>
      <c r="BM721" t="s">
        <v>14286</v>
      </c>
      <c r="BN721" t="s">
        <v>74</v>
      </c>
      <c r="BO721" t="s">
        <v>295</v>
      </c>
      <c r="BP721" t="s">
        <v>74</v>
      </c>
      <c r="BQ721" t="s">
        <v>74</v>
      </c>
      <c r="BR721" t="s">
        <v>103</v>
      </c>
      <c r="BS721" t="s">
        <v>14287</v>
      </c>
      <c r="BT721" t="str">
        <f>HYPERLINK("https%3A%2F%2Fwww.webofscience.com%2Fwos%2Fwoscc%2Ffull-record%2FWOS:000781300600001","View Full Record in Web of Science")</f>
        <v>View Full Record in Web of Science</v>
      </c>
    </row>
    <row r="722" spans="1:72" x14ac:dyDescent="0.15">
      <c r="A722" t="s">
        <v>72</v>
      </c>
      <c r="B722" t="s">
        <v>14288</v>
      </c>
      <c r="C722" t="s">
        <v>74</v>
      </c>
      <c r="D722" t="s">
        <v>74</v>
      </c>
      <c r="E722" t="s">
        <v>74</v>
      </c>
      <c r="F722" t="s">
        <v>14289</v>
      </c>
      <c r="G722" t="s">
        <v>74</v>
      </c>
      <c r="H722" t="s">
        <v>74</v>
      </c>
      <c r="I722" t="s">
        <v>14290</v>
      </c>
      <c r="J722" t="s">
        <v>14291</v>
      </c>
      <c r="K722" t="s">
        <v>74</v>
      </c>
      <c r="L722" t="s">
        <v>74</v>
      </c>
      <c r="M722" t="s">
        <v>78</v>
      </c>
      <c r="N722" t="s">
        <v>79</v>
      </c>
      <c r="O722" t="s">
        <v>74</v>
      </c>
      <c r="P722" t="s">
        <v>74</v>
      </c>
      <c r="Q722" t="s">
        <v>74</v>
      </c>
      <c r="R722" t="s">
        <v>74</v>
      </c>
      <c r="S722" t="s">
        <v>74</v>
      </c>
      <c r="T722" t="s">
        <v>14292</v>
      </c>
      <c r="U722" t="s">
        <v>14293</v>
      </c>
      <c r="V722" t="s">
        <v>14294</v>
      </c>
      <c r="W722" t="s">
        <v>14295</v>
      </c>
      <c r="X722" t="s">
        <v>14296</v>
      </c>
      <c r="Y722" t="s">
        <v>14297</v>
      </c>
      <c r="Z722" t="s">
        <v>14298</v>
      </c>
      <c r="AA722" t="s">
        <v>14299</v>
      </c>
      <c r="AB722" t="s">
        <v>14300</v>
      </c>
      <c r="AC722" t="s">
        <v>74</v>
      </c>
      <c r="AD722" t="s">
        <v>74</v>
      </c>
      <c r="AE722" t="s">
        <v>74</v>
      </c>
      <c r="AF722" t="s">
        <v>74</v>
      </c>
      <c r="AG722">
        <v>51</v>
      </c>
      <c r="AH722">
        <v>6</v>
      </c>
      <c r="AI722">
        <v>7</v>
      </c>
      <c r="AJ722">
        <v>1</v>
      </c>
      <c r="AK722">
        <v>6</v>
      </c>
      <c r="AL722" t="s">
        <v>633</v>
      </c>
      <c r="AM722" t="s">
        <v>200</v>
      </c>
      <c r="AN722" t="s">
        <v>634</v>
      </c>
      <c r="AO722" t="s">
        <v>14301</v>
      </c>
      <c r="AP722" t="s">
        <v>14302</v>
      </c>
      <c r="AQ722" t="s">
        <v>74</v>
      </c>
      <c r="AR722" t="s">
        <v>14303</v>
      </c>
      <c r="AS722" t="s">
        <v>14304</v>
      </c>
      <c r="AT722" t="s">
        <v>14235</v>
      </c>
      <c r="AU722">
        <v>2022</v>
      </c>
      <c r="AV722">
        <v>229</v>
      </c>
      <c r="AW722">
        <v>3</v>
      </c>
      <c r="AX722" t="s">
        <v>74</v>
      </c>
      <c r="AY722" t="s">
        <v>74</v>
      </c>
      <c r="AZ722" t="s">
        <v>74</v>
      </c>
      <c r="BA722" t="s">
        <v>74</v>
      </c>
      <c r="BB722">
        <v>2147</v>
      </c>
      <c r="BC722">
        <v>2161</v>
      </c>
      <c r="BD722" t="s">
        <v>74</v>
      </c>
      <c r="BE722" t="s">
        <v>14305</v>
      </c>
      <c r="BF722" t="str">
        <f>HYPERLINK("http://dx.doi.org/10.1093/gji/ggac036","http://dx.doi.org/10.1093/gji/ggac036")</f>
        <v>http://dx.doi.org/10.1093/gji/ggac036</v>
      </c>
      <c r="BG722" t="s">
        <v>74</v>
      </c>
      <c r="BH722" t="s">
        <v>74</v>
      </c>
      <c r="BI722">
        <v>15</v>
      </c>
      <c r="BJ722" t="s">
        <v>2144</v>
      </c>
      <c r="BK722" t="s">
        <v>101</v>
      </c>
      <c r="BL722" t="s">
        <v>2144</v>
      </c>
      <c r="BM722" t="s">
        <v>14306</v>
      </c>
      <c r="BN722" t="s">
        <v>74</v>
      </c>
      <c r="BO722" t="s">
        <v>74</v>
      </c>
      <c r="BP722" t="s">
        <v>74</v>
      </c>
      <c r="BQ722" t="s">
        <v>74</v>
      </c>
      <c r="BR722" t="s">
        <v>103</v>
      </c>
      <c r="BS722" t="s">
        <v>14307</v>
      </c>
      <c r="BT722" t="str">
        <f>HYPERLINK("https%3A%2F%2Fwww.webofscience.com%2Fwos%2Fwoscc%2Ffull-record%2FWOS:000772624200006","View Full Record in Web of Science")</f>
        <v>View Full Record in Web of Science</v>
      </c>
    </row>
    <row r="723" spans="1:72" x14ac:dyDescent="0.15">
      <c r="A723" t="s">
        <v>72</v>
      </c>
      <c r="B723" t="s">
        <v>14308</v>
      </c>
      <c r="C723" t="s">
        <v>74</v>
      </c>
      <c r="D723" t="s">
        <v>74</v>
      </c>
      <c r="E723" t="s">
        <v>74</v>
      </c>
      <c r="F723" t="s">
        <v>14309</v>
      </c>
      <c r="G723" t="s">
        <v>74</v>
      </c>
      <c r="H723" t="s">
        <v>74</v>
      </c>
      <c r="I723" t="s">
        <v>14310</v>
      </c>
      <c r="J723" t="s">
        <v>11653</v>
      </c>
      <c r="K723" t="s">
        <v>74</v>
      </c>
      <c r="L723" t="s">
        <v>74</v>
      </c>
      <c r="M723" t="s">
        <v>78</v>
      </c>
      <c r="N723" t="s">
        <v>79</v>
      </c>
      <c r="O723" t="s">
        <v>74</v>
      </c>
      <c r="P723" t="s">
        <v>74</v>
      </c>
      <c r="Q723" t="s">
        <v>74</v>
      </c>
      <c r="R723" t="s">
        <v>74</v>
      </c>
      <c r="S723" t="s">
        <v>74</v>
      </c>
      <c r="T723" t="s">
        <v>14311</v>
      </c>
      <c r="U723" t="s">
        <v>14312</v>
      </c>
      <c r="V723" t="s">
        <v>14313</v>
      </c>
      <c r="W723" t="s">
        <v>14314</v>
      </c>
      <c r="X723" t="s">
        <v>14315</v>
      </c>
      <c r="Y723" t="s">
        <v>14316</v>
      </c>
      <c r="Z723" t="s">
        <v>14317</v>
      </c>
      <c r="AA723" t="s">
        <v>14318</v>
      </c>
      <c r="AB723" t="s">
        <v>14319</v>
      </c>
      <c r="AC723" t="s">
        <v>14320</v>
      </c>
      <c r="AD723" t="s">
        <v>14321</v>
      </c>
      <c r="AE723" t="s">
        <v>14322</v>
      </c>
      <c r="AF723" t="s">
        <v>74</v>
      </c>
      <c r="AG723">
        <v>106</v>
      </c>
      <c r="AH723">
        <v>3</v>
      </c>
      <c r="AI723">
        <v>4</v>
      </c>
      <c r="AJ723">
        <v>1</v>
      </c>
      <c r="AK723">
        <v>12</v>
      </c>
      <c r="AL723" t="s">
        <v>530</v>
      </c>
      <c r="AM723" t="s">
        <v>1121</v>
      </c>
      <c r="AN723" t="s">
        <v>1122</v>
      </c>
      <c r="AO723" t="s">
        <v>11666</v>
      </c>
      <c r="AP723" t="s">
        <v>11667</v>
      </c>
      <c r="AQ723" t="s">
        <v>74</v>
      </c>
      <c r="AR723" t="s">
        <v>11653</v>
      </c>
      <c r="AS723" t="s">
        <v>11668</v>
      </c>
      <c r="AT723" t="s">
        <v>5076</v>
      </c>
      <c r="AU723">
        <v>2022</v>
      </c>
      <c r="AV723">
        <v>849</v>
      </c>
      <c r="AW723">
        <v>8</v>
      </c>
      <c r="AX723" t="s">
        <v>74</v>
      </c>
      <c r="AY723" t="s">
        <v>74</v>
      </c>
      <c r="AZ723" t="s">
        <v>74</v>
      </c>
      <c r="BA723" t="s">
        <v>74</v>
      </c>
      <c r="BB723">
        <v>1947</v>
      </c>
      <c r="BC723">
        <v>1968</v>
      </c>
      <c r="BD723" t="s">
        <v>74</v>
      </c>
      <c r="BE723" t="s">
        <v>14323</v>
      </c>
      <c r="BF723" t="str">
        <f>HYPERLINK("http://dx.doi.org/10.1007/s10750-022-04837-5","http://dx.doi.org/10.1007/s10750-022-04837-5")</f>
        <v>http://dx.doi.org/10.1007/s10750-022-04837-5</v>
      </c>
      <c r="BG723" t="s">
        <v>74</v>
      </c>
      <c r="BH723" t="s">
        <v>12992</v>
      </c>
      <c r="BI723">
        <v>22</v>
      </c>
      <c r="BJ723" t="s">
        <v>1696</v>
      </c>
      <c r="BK723" t="s">
        <v>101</v>
      </c>
      <c r="BL723" t="s">
        <v>1696</v>
      </c>
      <c r="BM723" t="s">
        <v>14324</v>
      </c>
      <c r="BN723" t="s">
        <v>74</v>
      </c>
      <c r="BO723" t="s">
        <v>74</v>
      </c>
      <c r="BP723" t="s">
        <v>74</v>
      </c>
      <c r="BQ723" t="s">
        <v>74</v>
      </c>
      <c r="BR723" t="s">
        <v>103</v>
      </c>
      <c r="BS723" t="s">
        <v>14325</v>
      </c>
      <c r="BT723" t="str">
        <f>HYPERLINK("https%3A%2F%2Fwww.webofscience.com%2Fwos%2Fwoscc%2Ffull-record%2FWOS:000772258100001","View Full Record in Web of Science")</f>
        <v>View Full Record in Web of Science</v>
      </c>
    </row>
    <row r="724" spans="1:72" x14ac:dyDescent="0.15">
      <c r="A724" t="s">
        <v>72</v>
      </c>
      <c r="B724" t="s">
        <v>14326</v>
      </c>
      <c r="C724" t="s">
        <v>74</v>
      </c>
      <c r="D724" t="s">
        <v>74</v>
      </c>
      <c r="E724" t="s">
        <v>74</v>
      </c>
      <c r="F724" t="s">
        <v>14327</v>
      </c>
      <c r="G724" t="s">
        <v>74</v>
      </c>
      <c r="H724" t="s">
        <v>74</v>
      </c>
      <c r="I724" t="s">
        <v>14328</v>
      </c>
      <c r="J724" t="s">
        <v>14329</v>
      </c>
      <c r="K724" t="s">
        <v>74</v>
      </c>
      <c r="L724" t="s">
        <v>74</v>
      </c>
      <c r="M724" t="s">
        <v>78</v>
      </c>
      <c r="N724" t="s">
        <v>79</v>
      </c>
      <c r="O724" t="s">
        <v>74</v>
      </c>
      <c r="P724" t="s">
        <v>74</v>
      </c>
      <c r="Q724" t="s">
        <v>74</v>
      </c>
      <c r="R724" t="s">
        <v>74</v>
      </c>
      <c r="S724" t="s">
        <v>74</v>
      </c>
      <c r="T724" t="s">
        <v>14330</v>
      </c>
      <c r="U724" t="s">
        <v>14331</v>
      </c>
      <c r="V724" t="s">
        <v>14332</v>
      </c>
      <c r="W724" t="s">
        <v>14333</v>
      </c>
      <c r="X724" t="s">
        <v>14334</v>
      </c>
      <c r="Y724" t="s">
        <v>14335</v>
      </c>
      <c r="Z724" t="s">
        <v>14336</v>
      </c>
      <c r="AA724" t="s">
        <v>74</v>
      </c>
      <c r="AB724" t="s">
        <v>14337</v>
      </c>
      <c r="AC724" t="s">
        <v>14338</v>
      </c>
      <c r="AD724" t="s">
        <v>14339</v>
      </c>
      <c r="AE724" t="s">
        <v>14340</v>
      </c>
      <c r="AF724" t="s">
        <v>74</v>
      </c>
      <c r="AG724">
        <v>104</v>
      </c>
      <c r="AH724">
        <v>1</v>
      </c>
      <c r="AI724">
        <v>1</v>
      </c>
      <c r="AJ724">
        <v>1</v>
      </c>
      <c r="AK724">
        <v>7</v>
      </c>
      <c r="AL724" t="s">
        <v>530</v>
      </c>
      <c r="AM724" t="s">
        <v>531</v>
      </c>
      <c r="AN724" t="s">
        <v>532</v>
      </c>
      <c r="AO724" t="s">
        <v>14341</v>
      </c>
      <c r="AP724" t="s">
        <v>14342</v>
      </c>
      <c r="AQ724" t="s">
        <v>74</v>
      </c>
      <c r="AR724" t="s">
        <v>14343</v>
      </c>
      <c r="AS724" t="s">
        <v>14344</v>
      </c>
      <c r="AT724" t="s">
        <v>537</v>
      </c>
      <c r="AU724">
        <v>2022</v>
      </c>
      <c r="AV724">
        <v>111</v>
      </c>
      <c r="AW724">
        <v>4</v>
      </c>
      <c r="AX724" t="s">
        <v>74</v>
      </c>
      <c r="AY724" t="s">
        <v>74</v>
      </c>
      <c r="AZ724" t="s">
        <v>74</v>
      </c>
      <c r="BA724" t="s">
        <v>74</v>
      </c>
      <c r="BB724">
        <v>1289</v>
      </c>
      <c r="BC724">
        <v>1305</v>
      </c>
      <c r="BD724" t="s">
        <v>74</v>
      </c>
      <c r="BE724" t="s">
        <v>14345</v>
      </c>
      <c r="BF724" t="str">
        <f>HYPERLINK("http://dx.doi.org/10.1007/s00531-022-02180-7","http://dx.doi.org/10.1007/s00531-022-02180-7")</f>
        <v>http://dx.doi.org/10.1007/s00531-022-02180-7</v>
      </c>
      <c r="BG724" t="s">
        <v>74</v>
      </c>
      <c r="BH724" t="s">
        <v>12992</v>
      </c>
      <c r="BI724">
        <v>17</v>
      </c>
      <c r="BJ724" t="s">
        <v>265</v>
      </c>
      <c r="BK724" t="s">
        <v>101</v>
      </c>
      <c r="BL724" t="s">
        <v>100</v>
      </c>
      <c r="BM724" t="s">
        <v>14346</v>
      </c>
      <c r="BN724" t="s">
        <v>74</v>
      </c>
      <c r="BO724" t="s">
        <v>74</v>
      </c>
      <c r="BP724" t="s">
        <v>74</v>
      </c>
      <c r="BQ724" t="s">
        <v>74</v>
      </c>
      <c r="BR724" t="s">
        <v>103</v>
      </c>
      <c r="BS724" t="s">
        <v>14347</v>
      </c>
      <c r="BT724" t="str">
        <f>HYPERLINK("https%3A%2F%2Fwww.webofscience.com%2Fwos%2Fwoscc%2Ffull-record%2FWOS:000772332800001","View Full Record in Web of Science")</f>
        <v>View Full Record in Web of Science</v>
      </c>
    </row>
    <row r="725" spans="1:72" x14ac:dyDescent="0.15">
      <c r="A725" t="s">
        <v>72</v>
      </c>
      <c r="B725" t="s">
        <v>14348</v>
      </c>
      <c r="C725" t="s">
        <v>74</v>
      </c>
      <c r="D725" t="s">
        <v>74</v>
      </c>
      <c r="E725" t="s">
        <v>74</v>
      </c>
      <c r="F725" t="s">
        <v>14349</v>
      </c>
      <c r="G725" t="s">
        <v>74</v>
      </c>
      <c r="H725" t="s">
        <v>74</v>
      </c>
      <c r="I725" t="s">
        <v>14350</v>
      </c>
      <c r="J725" t="s">
        <v>692</v>
      </c>
      <c r="K725" t="s">
        <v>74</v>
      </c>
      <c r="L725" t="s">
        <v>74</v>
      </c>
      <c r="M725" t="s">
        <v>78</v>
      </c>
      <c r="N725" t="s">
        <v>79</v>
      </c>
      <c r="O725" t="s">
        <v>74</v>
      </c>
      <c r="P725" t="s">
        <v>74</v>
      </c>
      <c r="Q725" t="s">
        <v>74</v>
      </c>
      <c r="R725" t="s">
        <v>74</v>
      </c>
      <c r="S725" t="s">
        <v>74</v>
      </c>
      <c r="T725" t="s">
        <v>14351</v>
      </c>
      <c r="U725" t="s">
        <v>14352</v>
      </c>
      <c r="V725" t="s">
        <v>14353</v>
      </c>
      <c r="W725" t="s">
        <v>14354</v>
      </c>
      <c r="X725" t="s">
        <v>14355</v>
      </c>
      <c r="Y725" t="s">
        <v>14356</v>
      </c>
      <c r="Z725" t="s">
        <v>14357</v>
      </c>
      <c r="AA725" t="s">
        <v>14358</v>
      </c>
      <c r="AB725" t="s">
        <v>14359</v>
      </c>
      <c r="AC725" t="s">
        <v>14360</v>
      </c>
      <c r="AD725" t="s">
        <v>14361</v>
      </c>
      <c r="AE725" t="s">
        <v>14362</v>
      </c>
      <c r="AF725" t="s">
        <v>74</v>
      </c>
      <c r="AG725">
        <v>43</v>
      </c>
      <c r="AH725">
        <v>3</v>
      </c>
      <c r="AI725">
        <v>3</v>
      </c>
      <c r="AJ725">
        <v>1</v>
      </c>
      <c r="AK725">
        <v>7</v>
      </c>
      <c r="AL725" t="s">
        <v>428</v>
      </c>
      <c r="AM725" t="s">
        <v>531</v>
      </c>
      <c r="AN725" t="s">
        <v>748</v>
      </c>
      <c r="AO725" t="s">
        <v>703</v>
      </c>
      <c r="AP725" t="s">
        <v>704</v>
      </c>
      <c r="AQ725" t="s">
        <v>74</v>
      </c>
      <c r="AR725" t="s">
        <v>705</v>
      </c>
      <c r="AS725" t="s">
        <v>706</v>
      </c>
      <c r="AT725" t="s">
        <v>537</v>
      </c>
      <c r="AU725">
        <v>2022</v>
      </c>
      <c r="AV725">
        <v>34</v>
      </c>
      <c r="AW725">
        <v>3</v>
      </c>
      <c r="AX725" t="s">
        <v>74</v>
      </c>
      <c r="AY725" t="s">
        <v>74</v>
      </c>
      <c r="AZ725" t="s">
        <v>74</v>
      </c>
      <c r="BA725" t="s">
        <v>74</v>
      </c>
      <c r="BB725">
        <v>256</v>
      </c>
      <c r="BC725">
        <v>265</v>
      </c>
      <c r="BD725" t="s">
        <v>14363</v>
      </c>
      <c r="BE725" t="s">
        <v>14364</v>
      </c>
      <c r="BF725" t="str">
        <f>HYPERLINK("http://dx.doi.org/10.1017/S0954102022000050","http://dx.doi.org/10.1017/S0954102022000050")</f>
        <v>http://dx.doi.org/10.1017/S0954102022000050</v>
      </c>
      <c r="BG725" t="s">
        <v>74</v>
      </c>
      <c r="BH725" t="s">
        <v>12992</v>
      </c>
      <c r="BI725">
        <v>10</v>
      </c>
      <c r="BJ725" t="s">
        <v>708</v>
      </c>
      <c r="BK725" t="s">
        <v>101</v>
      </c>
      <c r="BL725" t="s">
        <v>709</v>
      </c>
      <c r="BM725" t="s">
        <v>1570</v>
      </c>
      <c r="BN725" t="s">
        <v>74</v>
      </c>
      <c r="BO725" t="s">
        <v>14365</v>
      </c>
      <c r="BP725" t="s">
        <v>74</v>
      </c>
      <c r="BQ725" t="s">
        <v>74</v>
      </c>
      <c r="BR725" t="s">
        <v>103</v>
      </c>
      <c r="BS725" t="s">
        <v>14366</v>
      </c>
      <c r="BT725" t="str">
        <f>HYPERLINK("https%3A%2F%2Fwww.webofscience.com%2Fwos%2Fwoscc%2Ffull-record%2FWOS:000772217100001","View Full Record in Web of Science")</f>
        <v>View Full Record in Web of Science</v>
      </c>
    </row>
    <row r="726" spans="1:72" x14ac:dyDescent="0.15">
      <c r="A726" t="s">
        <v>72</v>
      </c>
      <c r="B726" t="s">
        <v>14367</v>
      </c>
      <c r="C726" t="s">
        <v>74</v>
      </c>
      <c r="D726" t="s">
        <v>74</v>
      </c>
      <c r="E726" t="s">
        <v>74</v>
      </c>
      <c r="F726" t="s">
        <v>14368</v>
      </c>
      <c r="G726" t="s">
        <v>74</v>
      </c>
      <c r="H726" t="s">
        <v>74</v>
      </c>
      <c r="I726" t="s">
        <v>14369</v>
      </c>
      <c r="J726" t="s">
        <v>5844</v>
      </c>
      <c r="K726" t="s">
        <v>74</v>
      </c>
      <c r="L726" t="s">
        <v>74</v>
      </c>
      <c r="M726" t="s">
        <v>78</v>
      </c>
      <c r="N726" t="s">
        <v>79</v>
      </c>
      <c r="O726" t="s">
        <v>74</v>
      </c>
      <c r="P726" t="s">
        <v>74</v>
      </c>
      <c r="Q726" t="s">
        <v>74</v>
      </c>
      <c r="R726" t="s">
        <v>74</v>
      </c>
      <c r="S726" t="s">
        <v>74</v>
      </c>
      <c r="T726" t="s">
        <v>14370</v>
      </c>
      <c r="U726" t="s">
        <v>14371</v>
      </c>
      <c r="V726" t="s">
        <v>14372</v>
      </c>
      <c r="W726" t="s">
        <v>14373</v>
      </c>
      <c r="X726" t="s">
        <v>14374</v>
      </c>
      <c r="Y726" t="s">
        <v>14375</v>
      </c>
      <c r="Z726" t="s">
        <v>14376</v>
      </c>
      <c r="AA726" t="s">
        <v>14377</v>
      </c>
      <c r="AB726" t="s">
        <v>14378</v>
      </c>
      <c r="AC726" t="s">
        <v>14379</v>
      </c>
      <c r="AD726" t="s">
        <v>14380</v>
      </c>
      <c r="AE726" t="s">
        <v>14381</v>
      </c>
      <c r="AF726" t="s">
        <v>74</v>
      </c>
      <c r="AG726">
        <v>79</v>
      </c>
      <c r="AH726">
        <v>8</v>
      </c>
      <c r="AI726">
        <v>8</v>
      </c>
      <c r="AJ726">
        <v>11</v>
      </c>
      <c r="AK726">
        <v>54</v>
      </c>
      <c r="AL726" t="s">
        <v>5856</v>
      </c>
      <c r="AM726" t="s">
        <v>401</v>
      </c>
      <c r="AN726" t="s">
        <v>5857</v>
      </c>
      <c r="AO726" t="s">
        <v>5858</v>
      </c>
      <c r="AP726" t="s">
        <v>74</v>
      </c>
      <c r="AQ726" t="s">
        <v>74</v>
      </c>
      <c r="AR726" t="s">
        <v>5844</v>
      </c>
      <c r="AS726" t="s">
        <v>5859</v>
      </c>
      <c r="AT726" t="s">
        <v>14235</v>
      </c>
      <c r="AU726">
        <v>2022</v>
      </c>
      <c r="AV726">
        <v>10</v>
      </c>
      <c r="AW726">
        <v>1</v>
      </c>
      <c r="AX726" t="s">
        <v>74</v>
      </c>
      <c r="AY726" t="s">
        <v>74</v>
      </c>
      <c r="AZ726" t="s">
        <v>74</v>
      </c>
      <c r="BA726" t="s">
        <v>74</v>
      </c>
      <c r="BB726" t="s">
        <v>74</v>
      </c>
      <c r="BC726" t="s">
        <v>74</v>
      </c>
      <c r="BD726">
        <v>50</v>
      </c>
      <c r="BE726" t="s">
        <v>14382</v>
      </c>
      <c r="BF726" t="str">
        <f>HYPERLINK("http://dx.doi.org/10.1186/s40168-022-01238-7","http://dx.doi.org/10.1186/s40168-022-01238-7")</f>
        <v>http://dx.doi.org/10.1186/s40168-022-01238-7</v>
      </c>
      <c r="BG726" t="s">
        <v>74</v>
      </c>
      <c r="BH726" t="s">
        <v>74</v>
      </c>
      <c r="BI726">
        <v>14</v>
      </c>
      <c r="BJ726" t="s">
        <v>293</v>
      </c>
      <c r="BK726" t="s">
        <v>101</v>
      </c>
      <c r="BL726" t="s">
        <v>293</v>
      </c>
      <c r="BM726" t="s">
        <v>14383</v>
      </c>
      <c r="BN726">
        <v>35317857</v>
      </c>
      <c r="BO726" t="s">
        <v>295</v>
      </c>
      <c r="BP726" t="s">
        <v>74</v>
      </c>
      <c r="BQ726" t="s">
        <v>74</v>
      </c>
      <c r="BR726" t="s">
        <v>103</v>
      </c>
      <c r="BS726" t="s">
        <v>14384</v>
      </c>
      <c r="BT726" t="str">
        <f>HYPERLINK("https%3A%2F%2Fwww.webofscience.com%2Fwos%2Fwoscc%2Ffull-record%2FWOS:000772080100001","View Full Record in Web of Science")</f>
        <v>View Full Record in Web of Science</v>
      </c>
    </row>
    <row r="727" spans="1:72" x14ac:dyDescent="0.15">
      <c r="A727" t="s">
        <v>72</v>
      </c>
      <c r="B727" t="s">
        <v>14385</v>
      </c>
      <c r="C727" t="s">
        <v>74</v>
      </c>
      <c r="D727" t="s">
        <v>74</v>
      </c>
      <c r="E727" t="s">
        <v>74</v>
      </c>
      <c r="F727" t="s">
        <v>14386</v>
      </c>
      <c r="G727" t="s">
        <v>74</v>
      </c>
      <c r="H727" t="s">
        <v>74</v>
      </c>
      <c r="I727" t="s">
        <v>14387</v>
      </c>
      <c r="J727" t="s">
        <v>4415</v>
      </c>
      <c r="K727" t="s">
        <v>74</v>
      </c>
      <c r="L727" t="s">
        <v>74</v>
      </c>
      <c r="M727" t="s">
        <v>78</v>
      </c>
      <c r="N727" t="s">
        <v>79</v>
      </c>
      <c r="O727" t="s">
        <v>74</v>
      </c>
      <c r="P727" t="s">
        <v>74</v>
      </c>
      <c r="Q727" t="s">
        <v>74</v>
      </c>
      <c r="R727" t="s">
        <v>74</v>
      </c>
      <c r="S727" t="s">
        <v>74</v>
      </c>
      <c r="T727" t="s">
        <v>14388</v>
      </c>
      <c r="U727" t="s">
        <v>14389</v>
      </c>
      <c r="V727" t="s">
        <v>14390</v>
      </c>
      <c r="W727" t="s">
        <v>14391</v>
      </c>
      <c r="X727" t="s">
        <v>14392</v>
      </c>
      <c r="Y727" t="s">
        <v>14393</v>
      </c>
      <c r="Z727" t="s">
        <v>14394</v>
      </c>
      <c r="AA727" t="s">
        <v>14395</v>
      </c>
      <c r="AB727" t="s">
        <v>14396</v>
      </c>
      <c r="AC727" t="s">
        <v>14397</v>
      </c>
      <c r="AD727" t="s">
        <v>14398</v>
      </c>
      <c r="AE727" t="s">
        <v>14399</v>
      </c>
      <c r="AF727" t="s">
        <v>74</v>
      </c>
      <c r="AG727">
        <v>42</v>
      </c>
      <c r="AH727">
        <v>18</v>
      </c>
      <c r="AI727">
        <v>19</v>
      </c>
      <c r="AJ727">
        <v>16</v>
      </c>
      <c r="AK727">
        <v>93</v>
      </c>
      <c r="AL727" t="s">
        <v>3228</v>
      </c>
      <c r="AM727" t="s">
        <v>200</v>
      </c>
      <c r="AN727" t="s">
        <v>3229</v>
      </c>
      <c r="AO727" t="s">
        <v>4424</v>
      </c>
      <c r="AP727" t="s">
        <v>4425</v>
      </c>
      <c r="AQ727" t="s">
        <v>74</v>
      </c>
      <c r="AR727" t="s">
        <v>4426</v>
      </c>
      <c r="AS727" t="s">
        <v>4427</v>
      </c>
      <c r="AT727" t="s">
        <v>3234</v>
      </c>
      <c r="AU727">
        <v>2022</v>
      </c>
      <c r="AV727">
        <v>304</v>
      </c>
      <c r="AW727" t="s">
        <v>74</v>
      </c>
      <c r="AX727" t="s">
        <v>74</v>
      </c>
      <c r="AY727" t="s">
        <v>74</v>
      </c>
      <c r="AZ727" t="s">
        <v>74</v>
      </c>
      <c r="BA727" t="s">
        <v>74</v>
      </c>
      <c r="BB727" t="s">
        <v>74</v>
      </c>
      <c r="BC727" t="s">
        <v>74</v>
      </c>
      <c r="BD727">
        <v>119133</v>
      </c>
      <c r="BE727" t="s">
        <v>14400</v>
      </c>
      <c r="BF727" t="str">
        <f>HYPERLINK("http://dx.doi.org/10.1016/j.envpol.2022.119133","http://dx.doi.org/10.1016/j.envpol.2022.119133")</f>
        <v>http://dx.doi.org/10.1016/j.envpol.2022.119133</v>
      </c>
      <c r="BG727" t="s">
        <v>74</v>
      </c>
      <c r="BH727" t="s">
        <v>12992</v>
      </c>
      <c r="BI727">
        <v>8</v>
      </c>
      <c r="BJ727" t="s">
        <v>1104</v>
      </c>
      <c r="BK727" t="s">
        <v>101</v>
      </c>
      <c r="BL727" t="s">
        <v>840</v>
      </c>
      <c r="BM727" t="s">
        <v>14401</v>
      </c>
      <c r="BN727">
        <v>35334348</v>
      </c>
      <c r="BO727" t="s">
        <v>74</v>
      </c>
      <c r="BP727" t="s">
        <v>74</v>
      </c>
      <c r="BQ727" t="s">
        <v>74</v>
      </c>
      <c r="BR727" t="s">
        <v>103</v>
      </c>
      <c r="BS727" t="s">
        <v>14402</v>
      </c>
      <c r="BT727" t="str">
        <f>HYPERLINK("https%3A%2F%2Fwww.webofscience.com%2Fwos%2Fwoscc%2Ffull-record%2FWOS:000791328000003","View Full Record in Web of Science")</f>
        <v>View Full Record in Web of Science</v>
      </c>
    </row>
    <row r="728" spans="1:72" x14ac:dyDescent="0.15">
      <c r="A728" t="s">
        <v>72</v>
      </c>
      <c r="B728" t="s">
        <v>14403</v>
      </c>
      <c r="C728" t="s">
        <v>74</v>
      </c>
      <c r="D728" t="s">
        <v>74</v>
      </c>
      <c r="E728" t="s">
        <v>74</v>
      </c>
      <c r="F728" t="s">
        <v>14404</v>
      </c>
      <c r="G728" t="s">
        <v>74</v>
      </c>
      <c r="H728" t="s">
        <v>74</v>
      </c>
      <c r="I728" t="s">
        <v>14405</v>
      </c>
      <c r="J728" t="s">
        <v>272</v>
      </c>
      <c r="K728" t="s">
        <v>74</v>
      </c>
      <c r="L728" t="s">
        <v>74</v>
      </c>
      <c r="M728" t="s">
        <v>78</v>
      </c>
      <c r="N728" t="s">
        <v>79</v>
      </c>
      <c r="O728" t="s">
        <v>74</v>
      </c>
      <c r="P728" t="s">
        <v>74</v>
      </c>
      <c r="Q728" t="s">
        <v>74</v>
      </c>
      <c r="R728" t="s">
        <v>74</v>
      </c>
      <c r="S728" t="s">
        <v>74</v>
      </c>
      <c r="T728" t="s">
        <v>14406</v>
      </c>
      <c r="U728" t="s">
        <v>14407</v>
      </c>
      <c r="V728" t="s">
        <v>14408</v>
      </c>
      <c r="W728" t="s">
        <v>14409</v>
      </c>
      <c r="X728" t="s">
        <v>14410</v>
      </c>
      <c r="Y728" t="s">
        <v>14411</v>
      </c>
      <c r="Z728" t="s">
        <v>14412</v>
      </c>
      <c r="AA728" t="s">
        <v>14413</v>
      </c>
      <c r="AB728" t="s">
        <v>14414</v>
      </c>
      <c r="AC728" t="s">
        <v>14415</v>
      </c>
      <c r="AD728" t="s">
        <v>14416</v>
      </c>
      <c r="AE728" t="s">
        <v>14417</v>
      </c>
      <c r="AF728" t="s">
        <v>74</v>
      </c>
      <c r="AG728">
        <v>92</v>
      </c>
      <c r="AH728">
        <v>5</v>
      </c>
      <c r="AI728">
        <v>5</v>
      </c>
      <c r="AJ728">
        <v>2</v>
      </c>
      <c r="AK728">
        <v>28</v>
      </c>
      <c r="AL728" t="s">
        <v>285</v>
      </c>
      <c r="AM728" t="s">
        <v>286</v>
      </c>
      <c r="AN728" t="s">
        <v>287</v>
      </c>
      <c r="AO728" t="s">
        <v>74</v>
      </c>
      <c r="AP728" t="s">
        <v>288</v>
      </c>
      <c r="AQ728" t="s">
        <v>74</v>
      </c>
      <c r="AR728" t="s">
        <v>289</v>
      </c>
      <c r="AS728" t="s">
        <v>290</v>
      </c>
      <c r="AT728" t="s">
        <v>14418</v>
      </c>
      <c r="AU728">
        <v>2022</v>
      </c>
      <c r="AV728">
        <v>13</v>
      </c>
      <c r="AW728" t="s">
        <v>74</v>
      </c>
      <c r="AX728" t="s">
        <v>74</v>
      </c>
      <c r="AY728" t="s">
        <v>74</v>
      </c>
      <c r="AZ728" t="s">
        <v>74</v>
      </c>
      <c r="BA728" t="s">
        <v>74</v>
      </c>
      <c r="BB728" t="s">
        <v>74</v>
      </c>
      <c r="BC728" t="s">
        <v>74</v>
      </c>
      <c r="BD728">
        <v>755014</v>
      </c>
      <c r="BE728" t="s">
        <v>14419</v>
      </c>
      <c r="BF728" t="str">
        <f>HYPERLINK("http://dx.doi.org/10.3389/fmicb.2022.755014","http://dx.doi.org/10.3389/fmicb.2022.755014")</f>
        <v>http://dx.doi.org/10.3389/fmicb.2022.755014</v>
      </c>
      <c r="BG728" t="s">
        <v>74</v>
      </c>
      <c r="BH728" t="s">
        <v>74</v>
      </c>
      <c r="BI728">
        <v>12</v>
      </c>
      <c r="BJ728" t="s">
        <v>293</v>
      </c>
      <c r="BK728" t="s">
        <v>101</v>
      </c>
      <c r="BL728" t="s">
        <v>293</v>
      </c>
      <c r="BM728" t="s">
        <v>14420</v>
      </c>
      <c r="BN728">
        <v>35391734</v>
      </c>
      <c r="BO728" t="s">
        <v>295</v>
      </c>
      <c r="BP728" t="s">
        <v>74</v>
      </c>
      <c r="BQ728" t="s">
        <v>74</v>
      </c>
      <c r="BR728" t="s">
        <v>103</v>
      </c>
      <c r="BS728" t="s">
        <v>14421</v>
      </c>
      <c r="BT728" t="str">
        <f>HYPERLINK("https%3A%2F%2Fwww.webofscience.com%2Fwos%2Fwoscc%2Ffull-record%2FWOS:000780623100001","View Full Record in Web of Science")</f>
        <v>View Full Record in Web of Science</v>
      </c>
    </row>
    <row r="729" spans="1:72" x14ac:dyDescent="0.15">
      <c r="A729" t="s">
        <v>72</v>
      </c>
      <c r="B729" t="s">
        <v>14422</v>
      </c>
      <c r="C729" t="s">
        <v>74</v>
      </c>
      <c r="D729" t="s">
        <v>74</v>
      </c>
      <c r="E729" t="s">
        <v>74</v>
      </c>
      <c r="F729" t="s">
        <v>14423</v>
      </c>
      <c r="G729" t="s">
        <v>74</v>
      </c>
      <c r="H729" t="s">
        <v>74</v>
      </c>
      <c r="I729" t="s">
        <v>14424</v>
      </c>
      <c r="J729" t="s">
        <v>9250</v>
      </c>
      <c r="K729" t="s">
        <v>74</v>
      </c>
      <c r="L729" t="s">
        <v>74</v>
      </c>
      <c r="M729" t="s">
        <v>78</v>
      </c>
      <c r="N729" t="s">
        <v>79</v>
      </c>
      <c r="O729" t="s">
        <v>74</v>
      </c>
      <c r="P729" t="s">
        <v>74</v>
      </c>
      <c r="Q729" t="s">
        <v>74</v>
      </c>
      <c r="R729" t="s">
        <v>74</v>
      </c>
      <c r="S729" t="s">
        <v>74</v>
      </c>
      <c r="T729" t="s">
        <v>74</v>
      </c>
      <c r="U729" t="s">
        <v>14425</v>
      </c>
      <c r="V729" t="s">
        <v>14426</v>
      </c>
      <c r="W729" t="s">
        <v>14427</v>
      </c>
      <c r="X729" t="s">
        <v>14428</v>
      </c>
      <c r="Y729" t="s">
        <v>14429</v>
      </c>
      <c r="Z729" t="s">
        <v>14430</v>
      </c>
      <c r="AA729" t="s">
        <v>14431</v>
      </c>
      <c r="AB729" t="s">
        <v>14432</v>
      </c>
      <c r="AC729" t="s">
        <v>14433</v>
      </c>
      <c r="AD729" t="s">
        <v>14434</v>
      </c>
      <c r="AE729" t="s">
        <v>14435</v>
      </c>
      <c r="AF729" t="s">
        <v>74</v>
      </c>
      <c r="AG729">
        <v>147</v>
      </c>
      <c r="AH729">
        <v>4</v>
      </c>
      <c r="AI729">
        <v>4</v>
      </c>
      <c r="AJ729">
        <v>1</v>
      </c>
      <c r="AK729">
        <v>7</v>
      </c>
      <c r="AL729" t="s">
        <v>117</v>
      </c>
      <c r="AM729" t="s">
        <v>118</v>
      </c>
      <c r="AN729" t="s">
        <v>119</v>
      </c>
      <c r="AO729" t="s">
        <v>9262</v>
      </c>
      <c r="AP729" t="s">
        <v>9263</v>
      </c>
      <c r="AQ729" t="s">
        <v>74</v>
      </c>
      <c r="AR729" t="s">
        <v>9264</v>
      </c>
      <c r="AS729" t="s">
        <v>9265</v>
      </c>
      <c r="AT729" t="s">
        <v>14418</v>
      </c>
      <c r="AU729">
        <v>2022</v>
      </c>
      <c r="AV729">
        <v>18</v>
      </c>
      <c r="AW729">
        <v>3</v>
      </c>
      <c r="AX729" t="s">
        <v>74</v>
      </c>
      <c r="AY729" t="s">
        <v>74</v>
      </c>
      <c r="AZ729" t="s">
        <v>74</v>
      </c>
      <c r="BA729" t="s">
        <v>74</v>
      </c>
      <c r="BB729">
        <v>525</v>
      </c>
      <c r="BC729">
        <v>546</v>
      </c>
      <c r="BD729" t="s">
        <v>74</v>
      </c>
      <c r="BE729" t="s">
        <v>14436</v>
      </c>
      <c r="BF729" t="str">
        <f>HYPERLINK("http://dx.doi.org/10.5194/cp-18-525-2022","http://dx.doi.org/10.5194/cp-18-525-2022")</f>
        <v>http://dx.doi.org/10.5194/cp-18-525-2022</v>
      </c>
      <c r="BG729" t="s">
        <v>74</v>
      </c>
      <c r="BH729" t="s">
        <v>74</v>
      </c>
      <c r="BI729">
        <v>22</v>
      </c>
      <c r="BJ729" t="s">
        <v>613</v>
      </c>
      <c r="BK729" t="s">
        <v>101</v>
      </c>
      <c r="BL729" t="s">
        <v>614</v>
      </c>
      <c r="BM729" t="s">
        <v>14437</v>
      </c>
      <c r="BN729" t="s">
        <v>74</v>
      </c>
      <c r="BO729" t="s">
        <v>2841</v>
      </c>
      <c r="BP729" t="s">
        <v>74</v>
      </c>
      <c r="BQ729" t="s">
        <v>74</v>
      </c>
      <c r="BR729" t="s">
        <v>103</v>
      </c>
      <c r="BS729" t="s">
        <v>14438</v>
      </c>
      <c r="BT729" t="str">
        <f>HYPERLINK("https%3A%2F%2Fwww.webofscience.com%2Fwos%2Fwoscc%2Ffull-record%2FWOS:000773394200001","View Full Record in Web of Science")</f>
        <v>View Full Record in Web of Science</v>
      </c>
    </row>
    <row r="730" spans="1:72" x14ac:dyDescent="0.15">
      <c r="A730" t="s">
        <v>72</v>
      </c>
      <c r="B730" t="s">
        <v>14439</v>
      </c>
      <c r="C730" t="s">
        <v>74</v>
      </c>
      <c r="D730" t="s">
        <v>74</v>
      </c>
      <c r="E730" t="s">
        <v>74</v>
      </c>
      <c r="F730" t="s">
        <v>14440</v>
      </c>
      <c r="G730" t="s">
        <v>74</v>
      </c>
      <c r="H730" t="s">
        <v>74</v>
      </c>
      <c r="I730" t="s">
        <v>14441</v>
      </c>
      <c r="J730" t="s">
        <v>13525</v>
      </c>
      <c r="K730" t="s">
        <v>74</v>
      </c>
      <c r="L730" t="s">
        <v>74</v>
      </c>
      <c r="M730" t="s">
        <v>78</v>
      </c>
      <c r="N730" t="s">
        <v>79</v>
      </c>
      <c r="O730" t="s">
        <v>74</v>
      </c>
      <c r="P730" t="s">
        <v>74</v>
      </c>
      <c r="Q730" t="s">
        <v>74</v>
      </c>
      <c r="R730" t="s">
        <v>74</v>
      </c>
      <c r="S730" t="s">
        <v>74</v>
      </c>
      <c r="T730" t="s">
        <v>14442</v>
      </c>
      <c r="U730" t="s">
        <v>14443</v>
      </c>
      <c r="V730" t="s">
        <v>14444</v>
      </c>
      <c r="W730" t="s">
        <v>14445</v>
      </c>
      <c r="X730" t="s">
        <v>14446</v>
      </c>
      <c r="Y730" t="s">
        <v>14447</v>
      </c>
      <c r="Z730" t="s">
        <v>14448</v>
      </c>
      <c r="AA730" t="s">
        <v>14449</v>
      </c>
      <c r="AB730" t="s">
        <v>14450</v>
      </c>
      <c r="AC730" t="s">
        <v>74</v>
      </c>
      <c r="AD730" t="s">
        <v>74</v>
      </c>
      <c r="AE730" t="s">
        <v>74</v>
      </c>
      <c r="AF730" t="s">
        <v>74</v>
      </c>
      <c r="AG730">
        <v>76</v>
      </c>
      <c r="AH730">
        <v>8</v>
      </c>
      <c r="AI730">
        <v>8</v>
      </c>
      <c r="AJ730">
        <v>1</v>
      </c>
      <c r="AK730">
        <v>4</v>
      </c>
      <c r="AL730" t="s">
        <v>91</v>
      </c>
      <c r="AM730" t="s">
        <v>92</v>
      </c>
      <c r="AN730" t="s">
        <v>93</v>
      </c>
      <c r="AO730" t="s">
        <v>13532</v>
      </c>
      <c r="AP730" t="s">
        <v>13533</v>
      </c>
      <c r="AQ730" t="s">
        <v>74</v>
      </c>
      <c r="AR730" t="s">
        <v>13534</v>
      </c>
      <c r="AS730" t="s">
        <v>13535</v>
      </c>
      <c r="AT730" t="s">
        <v>5076</v>
      </c>
      <c r="AU730">
        <v>2022</v>
      </c>
      <c r="AV730">
        <v>100</v>
      </c>
      <c r="AW730">
        <v>5</v>
      </c>
      <c r="AX730" t="s">
        <v>74</v>
      </c>
      <c r="AY730" t="s">
        <v>74</v>
      </c>
      <c r="AZ730" t="s">
        <v>74</v>
      </c>
      <c r="BA730" t="s">
        <v>74</v>
      </c>
      <c r="BB730">
        <v>1158</v>
      </c>
      <c r="BC730">
        <v>1170</v>
      </c>
      <c r="BD730" t="s">
        <v>74</v>
      </c>
      <c r="BE730" t="s">
        <v>14451</v>
      </c>
      <c r="BF730" t="str">
        <f>HYPERLINK("http://dx.doi.org/10.1111/jfb.15013","http://dx.doi.org/10.1111/jfb.15013")</f>
        <v>http://dx.doi.org/10.1111/jfb.15013</v>
      </c>
      <c r="BG730" t="s">
        <v>74</v>
      </c>
      <c r="BH730" t="s">
        <v>12992</v>
      </c>
      <c r="BI730">
        <v>13</v>
      </c>
      <c r="BJ730" t="s">
        <v>10842</v>
      </c>
      <c r="BK730" t="s">
        <v>101</v>
      </c>
      <c r="BL730" t="s">
        <v>10842</v>
      </c>
      <c r="BM730" t="s">
        <v>13537</v>
      </c>
      <c r="BN730">
        <v>35174488</v>
      </c>
      <c r="BO730" t="s">
        <v>74</v>
      </c>
      <c r="BP730" t="s">
        <v>74</v>
      </c>
      <c r="BQ730" t="s">
        <v>74</v>
      </c>
      <c r="BR730" t="s">
        <v>103</v>
      </c>
      <c r="BS730" t="s">
        <v>14452</v>
      </c>
      <c r="BT730" t="str">
        <f>HYPERLINK("https%3A%2F%2Fwww.webofscience.com%2Fwos%2Fwoscc%2Ffull-record%2FWOS:000771712600001","View Full Record in Web of Science")</f>
        <v>View Full Record in Web of Science</v>
      </c>
    </row>
    <row r="731" spans="1:72" x14ac:dyDescent="0.15">
      <c r="A731" t="s">
        <v>72</v>
      </c>
      <c r="B731" t="s">
        <v>14453</v>
      </c>
      <c r="C731" t="s">
        <v>74</v>
      </c>
      <c r="D731" t="s">
        <v>74</v>
      </c>
      <c r="E731" t="s">
        <v>74</v>
      </c>
      <c r="F731" t="s">
        <v>14454</v>
      </c>
      <c r="G731" t="s">
        <v>74</v>
      </c>
      <c r="H731" t="s">
        <v>74</v>
      </c>
      <c r="I731" t="s">
        <v>14455</v>
      </c>
      <c r="J731" t="s">
        <v>14456</v>
      </c>
      <c r="K731" t="s">
        <v>74</v>
      </c>
      <c r="L731" t="s">
        <v>74</v>
      </c>
      <c r="M731" t="s">
        <v>78</v>
      </c>
      <c r="N731" t="s">
        <v>79</v>
      </c>
      <c r="O731" t="s">
        <v>74</v>
      </c>
      <c r="P731" t="s">
        <v>74</v>
      </c>
      <c r="Q731" t="s">
        <v>74</v>
      </c>
      <c r="R731" t="s">
        <v>74</v>
      </c>
      <c r="S731" t="s">
        <v>74</v>
      </c>
      <c r="T731" t="s">
        <v>14457</v>
      </c>
      <c r="U731" t="s">
        <v>14458</v>
      </c>
      <c r="V731" t="s">
        <v>14459</v>
      </c>
      <c r="W731" t="s">
        <v>14460</v>
      </c>
      <c r="X731" t="s">
        <v>14461</v>
      </c>
      <c r="Y731" t="s">
        <v>14462</v>
      </c>
      <c r="Z731" t="s">
        <v>14463</v>
      </c>
      <c r="AA731" t="s">
        <v>14464</v>
      </c>
      <c r="AB731" t="s">
        <v>14465</v>
      </c>
      <c r="AC731" t="s">
        <v>74</v>
      </c>
      <c r="AD731" t="s">
        <v>74</v>
      </c>
      <c r="AE731" t="s">
        <v>74</v>
      </c>
      <c r="AF731" t="s">
        <v>74</v>
      </c>
      <c r="AG731">
        <v>93</v>
      </c>
      <c r="AH731">
        <v>2</v>
      </c>
      <c r="AI731">
        <v>2</v>
      </c>
      <c r="AJ731">
        <v>2</v>
      </c>
      <c r="AK731">
        <v>13</v>
      </c>
      <c r="AL731" t="s">
        <v>5485</v>
      </c>
      <c r="AM731" t="s">
        <v>401</v>
      </c>
      <c r="AN731" t="s">
        <v>5486</v>
      </c>
      <c r="AO731" t="s">
        <v>14466</v>
      </c>
      <c r="AP731" t="s">
        <v>14467</v>
      </c>
      <c r="AQ731" t="s">
        <v>74</v>
      </c>
      <c r="AR731" t="s">
        <v>14468</v>
      </c>
      <c r="AS731" t="s">
        <v>14469</v>
      </c>
      <c r="AT731" t="s">
        <v>3018</v>
      </c>
      <c r="AU731">
        <v>2022</v>
      </c>
      <c r="AV731">
        <v>269</v>
      </c>
      <c r="AW731" t="s">
        <v>74</v>
      </c>
      <c r="AX731" t="s">
        <v>74</v>
      </c>
      <c r="AY731" t="s">
        <v>74</v>
      </c>
      <c r="AZ731" t="s">
        <v>74</v>
      </c>
      <c r="BA731" t="s">
        <v>74</v>
      </c>
      <c r="BB731" t="s">
        <v>74</v>
      </c>
      <c r="BC731" t="s">
        <v>74</v>
      </c>
      <c r="BD731">
        <v>107813</v>
      </c>
      <c r="BE731" t="s">
        <v>14470</v>
      </c>
      <c r="BF731" t="str">
        <f>HYPERLINK("http://dx.doi.org/10.1016/j.ecss.2022.107813","http://dx.doi.org/10.1016/j.ecss.2022.107813")</f>
        <v>http://dx.doi.org/10.1016/j.ecss.2022.107813</v>
      </c>
      <c r="BG731" t="s">
        <v>74</v>
      </c>
      <c r="BH731" t="s">
        <v>12992</v>
      </c>
      <c r="BI731">
        <v>11</v>
      </c>
      <c r="BJ731" t="s">
        <v>641</v>
      </c>
      <c r="BK731" t="s">
        <v>101</v>
      </c>
      <c r="BL731" t="s">
        <v>641</v>
      </c>
      <c r="BM731" t="s">
        <v>14471</v>
      </c>
      <c r="BN731" t="s">
        <v>74</v>
      </c>
      <c r="BO731" t="s">
        <v>74</v>
      </c>
      <c r="BP731" t="s">
        <v>74</v>
      </c>
      <c r="BQ731" t="s">
        <v>74</v>
      </c>
      <c r="BR731" t="s">
        <v>103</v>
      </c>
      <c r="BS731" t="s">
        <v>14472</v>
      </c>
      <c r="BT731" t="str">
        <f>HYPERLINK("https%3A%2F%2Fwww.webofscience.com%2Fwos%2Fwoscc%2Ffull-record%2FWOS:000795146700007","View Full Record in Web of Science")</f>
        <v>View Full Record in Web of Science</v>
      </c>
    </row>
    <row r="732" spans="1:72" x14ac:dyDescent="0.15">
      <c r="A732" t="s">
        <v>72</v>
      </c>
      <c r="B732" t="s">
        <v>14473</v>
      </c>
      <c r="C732" t="s">
        <v>74</v>
      </c>
      <c r="D732" t="s">
        <v>74</v>
      </c>
      <c r="E732" t="s">
        <v>74</v>
      </c>
      <c r="F732" t="s">
        <v>14474</v>
      </c>
      <c r="G732" t="s">
        <v>74</v>
      </c>
      <c r="H732" t="s">
        <v>74</v>
      </c>
      <c r="I732" t="s">
        <v>14475</v>
      </c>
      <c r="J732" t="s">
        <v>14476</v>
      </c>
      <c r="K732" t="s">
        <v>74</v>
      </c>
      <c r="L732" t="s">
        <v>74</v>
      </c>
      <c r="M732" t="s">
        <v>78</v>
      </c>
      <c r="N732" t="s">
        <v>79</v>
      </c>
      <c r="O732" t="s">
        <v>74</v>
      </c>
      <c r="P732" t="s">
        <v>74</v>
      </c>
      <c r="Q732" t="s">
        <v>74</v>
      </c>
      <c r="R732" t="s">
        <v>74</v>
      </c>
      <c r="S732" t="s">
        <v>74</v>
      </c>
      <c r="T732" t="s">
        <v>14477</v>
      </c>
      <c r="U732" t="s">
        <v>14478</v>
      </c>
      <c r="V732" t="s">
        <v>14479</v>
      </c>
      <c r="W732" t="s">
        <v>14480</v>
      </c>
      <c r="X732" t="s">
        <v>14481</v>
      </c>
      <c r="Y732" t="s">
        <v>14482</v>
      </c>
      <c r="Z732" t="s">
        <v>14483</v>
      </c>
      <c r="AA732" t="s">
        <v>74</v>
      </c>
      <c r="AB732" t="s">
        <v>74</v>
      </c>
      <c r="AC732" t="s">
        <v>14484</v>
      </c>
      <c r="AD732" t="s">
        <v>14485</v>
      </c>
      <c r="AE732" t="s">
        <v>14486</v>
      </c>
      <c r="AF732" t="s">
        <v>74</v>
      </c>
      <c r="AG732">
        <v>27</v>
      </c>
      <c r="AH732">
        <v>5</v>
      </c>
      <c r="AI732">
        <v>5</v>
      </c>
      <c r="AJ732">
        <v>0</v>
      </c>
      <c r="AK732">
        <v>14</v>
      </c>
      <c r="AL732" t="s">
        <v>313</v>
      </c>
      <c r="AM732" t="s">
        <v>314</v>
      </c>
      <c r="AN732" t="s">
        <v>315</v>
      </c>
      <c r="AO732" t="s">
        <v>14487</v>
      </c>
      <c r="AP732" t="s">
        <v>14488</v>
      </c>
      <c r="AQ732" t="s">
        <v>74</v>
      </c>
      <c r="AR732" t="s">
        <v>14489</v>
      </c>
      <c r="AS732" t="s">
        <v>14490</v>
      </c>
      <c r="AT732" t="s">
        <v>346</v>
      </c>
      <c r="AU732">
        <v>2022</v>
      </c>
      <c r="AV732">
        <v>195</v>
      </c>
      <c r="AW732" t="s">
        <v>74</v>
      </c>
      <c r="AX732" t="s">
        <v>74</v>
      </c>
      <c r="AY732" t="s">
        <v>74</v>
      </c>
      <c r="AZ732" t="s">
        <v>74</v>
      </c>
      <c r="BA732" t="s">
        <v>74</v>
      </c>
      <c r="BB732" t="s">
        <v>74</v>
      </c>
      <c r="BC732" t="s">
        <v>74</v>
      </c>
      <c r="BD732">
        <v>106077</v>
      </c>
      <c r="BE732" t="s">
        <v>14491</v>
      </c>
      <c r="BF732" t="str">
        <f>HYPERLINK("http://dx.doi.org/10.1016/j.pep.2022.106077","http://dx.doi.org/10.1016/j.pep.2022.106077")</f>
        <v>http://dx.doi.org/10.1016/j.pep.2022.106077</v>
      </c>
      <c r="BG732" t="s">
        <v>74</v>
      </c>
      <c r="BH732" t="s">
        <v>12992</v>
      </c>
      <c r="BI732">
        <v>10</v>
      </c>
      <c r="BJ732" t="s">
        <v>14492</v>
      </c>
      <c r="BK732" t="s">
        <v>101</v>
      </c>
      <c r="BL732" t="s">
        <v>5059</v>
      </c>
      <c r="BM732" t="s">
        <v>14493</v>
      </c>
      <c r="BN732">
        <v>35314296</v>
      </c>
      <c r="BO732" t="s">
        <v>74</v>
      </c>
      <c r="BP732" t="s">
        <v>74</v>
      </c>
      <c r="BQ732" t="s">
        <v>74</v>
      </c>
      <c r="BR732" t="s">
        <v>103</v>
      </c>
      <c r="BS732" t="s">
        <v>14494</v>
      </c>
      <c r="BT732" t="str">
        <f>HYPERLINK("https%3A%2F%2Fwww.webofscience.com%2Fwos%2Fwoscc%2Ffull-record%2FWOS:000792882100003","View Full Record in Web of Science")</f>
        <v>View Full Record in Web of Science</v>
      </c>
    </row>
    <row r="733" spans="1:72" x14ac:dyDescent="0.15">
      <c r="A733" t="s">
        <v>72</v>
      </c>
      <c r="B733" t="s">
        <v>14495</v>
      </c>
      <c r="C733" t="s">
        <v>74</v>
      </c>
      <c r="D733" t="s">
        <v>74</v>
      </c>
      <c r="E733" t="s">
        <v>74</v>
      </c>
      <c r="F733" t="s">
        <v>14496</v>
      </c>
      <c r="G733" t="s">
        <v>74</v>
      </c>
      <c r="H733" t="s">
        <v>74</v>
      </c>
      <c r="I733" t="s">
        <v>14497</v>
      </c>
      <c r="J733" t="s">
        <v>546</v>
      </c>
      <c r="K733" t="s">
        <v>74</v>
      </c>
      <c r="L733" t="s">
        <v>74</v>
      </c>
      <c r="M733" t="s">
        <v>78</v>
      </c>
      <c r="N733" t="s">
        <v>79</v>
      </c>
      <c r="O733" t="s">
        <v>74</v>
      </c>
      <c r="P733" t="s">
        <v>74</v>
      </c>
      <c r="Q733" t="s">
        <v>74</v>
      </c>
      <c r="R733" t="s">
        <v>74</v>
      </c>
      <c r="S733" t="s">
        <v>74</v>
      </c>
      <c r="T733" t="s">
        <v>14498</v>
      </c>
      <c r="U733" t="s">
        <v>14499</v>
      </c>
      <c r="V733" t="s">
        <v>14500</v>
      </c>
      <c r="W733" t="s">
        <v>14501</v>
      </c>
      <c r="X733" t="s">
        <v>14502</v>
      </c>
      <c r="Y733" t="s">
        <v>14503</v>
      </c>
      <c r="Z733" t="s">
        <v>14504</v>
      </c>
      <c r="AA733" t="s">
        <v>74</v>
      </c>
      <c r="AB733" t="s">
        <v>14505</v>
      </c>
      <c r="AC733" t="s">
        <v>74</v>
      </c>
      <c r="AD733" t="s">
        <v>74</v>
      </c>
      <c r="AE733" t="s">
        <v>74</v>
      </c>
      <c r="AF733" t="s">
        <v>74</v>
      </c>
      <c r="AG733">
        <v>68</v>
      </c>
      <c r="AH733">
        <v>3</v>
      </c>
      <c r="AI733">
        <v>3</v>
      </c>
      <c r="AJ733">
        <v>3</v>
      </c>
      <c r="AK733">
        <v>17</v>
      </c>
      <c r="AL733" t="s">
        <v>285</v>
      </c>
      <c r="AM733" t="s">
        <v>286</v>
      </c>
      <c r="AN733" t="s">
        <v>287</v>
      </c>
      <c r="AO733" t="s">
        <v>74</v>
      </c>
      <c r="AP733" t="s">
        <v>558</v>
      </c>
      <c r="AQ733" t="s">
        <v>74</v>
      </c>
      <c r="AR733" t="s">
        <v>559</v>
      </c>
      <c r="AS733" t="s">
        <v>560</v>
      </c>
      <c r="AT733" t="s">
        <v>14506</v>
      </c>
      <c r="AU733">
        <v>2022</v>
      </c>
      <c r="AV733">
        <v>9</v>
      </c>
      <c r="AW733" t="s">
        <v>74</v>
      </c>
      <c r="AX733" t="s">
        <v>74</v>
      </c>
      <c r="AY733" t="s">
        <v>74</v>
      </c>
      <c r="AZ733" t="s">
        <v>74</v>
      </c>
      <c r="BA733" t="s">
        <v>74</v>
      </c>
      <c r="BB733" t="s">
        <v>74</v>
      </c>
      <c r="BC733" t="s">
        <v>74</v>
      </c>
      <c r="BD733">
        <v>832075</v>
      </c>
      <c r="BE733" t="s">
        <v>14507</v>
      </c>
      <c r="BF733" t="str">
        <f>HYPERLINK("http://dx.doi.org/10.3389/fmars.2022.832075","http://dx.doi.org/10.3389/fmars.2022.832075")</f>
        <v>http://dx.doi.org/10.3389/fmars.2022.832075</v>
      </c>
      <c r="BG733" t="s">
        <v>74</v>
      </c>
      <c r="BH733" t="s">
        <v>74</v>
      </c>
      <c r="BI733">
        <v>15</v>
      </c>
      <c r="BJ733" t="s">
        <v>563</v>
      </c>
      <c r="BK733" t="s">
        <v>101</v>
      </c>
      <c r="BL733" t="s">
        <v>564</v>
      </c>
      <c r="BM733" t="s">
        <v>14508</v>
      </c>
      <c r="BN733" t="s">
        <v>74</v>
      </c>
      <c r="BO733" t="s">
        <v>438</v>
      </c>
      <c r="BP733" t="s">
        <v>74</v>
      </c>
      <c r="BQ733" t="s">
        <v>74</v>
      </c>
      <c r="BR733" t="s">
        <v>103</v>
      </c>
      <c r="BS733" t="s">
        <v>14509</v>
      </c>
      <c r="BT733" t="str">
        <f>HYPERLINK("https%3A%2F%2Fwww.webofscience.com%2Fwos%2Fwoscc%2Ffull-record%2FWOS:000779327100001","View Full Record in Web of Science")</f>
        <v>View Full Record in Web of Science</v>
      </c>
    </row>
    <row r="734" spans="1:72" x14ac:dyDescent="0.15">
      <c r="A734" t="s">
        <v>72</v>
      </c>
      <c r="B734" t="s">
        <v>14510</v>
      </c>
      <c r="C734" t="s">
        <v>74</v>
      </c>
      <c r="D734" t="s">
        <v>74</v>
      </c>
      <c r="E734" t="s">
        <v>74</v>
      </c>
      <c r="F734" t="s">
        <v>14511</v>
      </c>
      <c r="G734" t="s">
        <v>74</v>
      </c>
      <c r="H734" t="s">
        <v>74</v>
      </c>
      <c r="I734" t="s">
        <v>14512</v>
      </c>
      <c r="J734" t="s">
        <v>4294</v>
      </c>
      <c r="K734" t="s">
        <v>74</v>
      </c>
      <c r="L734" t="s">
        <v>74</v>
      </c>
      <c r="M734" t="s">
        <v>78</v>
      </c>
      <c r="N734" t="s">
        <v>79</v>
      </c>
      <c r="O734" t="s">
        <v>74</v>
      </c>
      <c r="P734" t="s">
        <v>74</v>
      </c>
      <c r="Q734" t="s">
        <v>74</v>
      </c>
      <c r="R734" t="s">
        <v>74</v>
      </c>
      <c r="S734" t="s">
        <v>74</v>
      </c>
      <c r="T734" t="s">
        <v>74</v>
      </c>
      <c r="U734" t="s">
        <v>14513</v>
      </c>
      <c r="V734" t="s">
        <v>14514</v>
      </c>
      <c r="W734" t="s">
        <v>14515</v>
      </c>
      <c r="X734" t="s">
        <v>14516</v>
      </c>
      <c r="Y734" t="s">
        <v>14517</v>
      </c>
      <c r="Z734" t="s">
        <v>14518</v>
      </c>
      <c r="AA734" t="s">
        <v>14519</v>
      </c>
      <c r="AB734" t="s">
        <v>14520</v>
      </c>
      <c r="AC734" t="s">
        <v>14521</v>
      </c>
      <c r="AD734" t="s">
        <v>14522</v>
      </c>
      <c r="AE734" t="s">
        <v>14523</v>
      </c>
      <c r="AF734" t="s">
        <v>74</v>
      </c>
      <c r="AG734">
        <v>85</v>
      </c>
      <c r="AH734">
        <v>9</v>
      </c>
      <c r="AI734">
        <v>9</v>
      </c>
      <c r="AJ734">
        <v>7</v>
      </c>
      <c r="AK734">
        <v>19</v>
      </c>
      <c r="AL734" t="s">
        <v>455</v>
      </c>
      <c r="AM734" t="s">
        <v>456</v>
      </c>
      <c r="AN734" t="s">
        <v>457</v>
      </c>
      <c r="AO734" t="s">
        <v>4306</v>
      </c>
      <c r="AP734" t="s">
        <v>74</v>
      </c>
      <c r="AQ734" t="s">
        <v>74</v>
      </c>
      <c r="AR734" t="s">
        <v>4307</v>
      </c>
      <c r="AS734" t="s">
        <v>4308</v>
      </c>
      <c r="AT734" t="s">
        <v>14506</v>
      </c>
      <c r="AU734">
        <v>2022</v>
      </c>
      <c r="AV734">
        <v>12</v>
      </c>
      <c r="AW734">
        <v>1</v>
      </c>
      <c r="AX734" t="s">
        <v>74</v>
      </c>
      <c r="AY734" t="s">
        <v>74</v>
      </c>
      <c r="AZ734" t="s">
        <v>74</v>
      </c>
      <c r="BA734" t="s">
        <v>74</v>
      </c>
      <c r="BB734" t="s">
        <v>74</v>
      </c>
      <c r="BC734" t="s">
        <v>74</v>
      </c>
      <c r="BD734">
        <v>4800</v>
      </c>
      <c r="BE734" t="s">
        <v>14524</v>
      </c>
      <c r="BF734" t="str">
        <f>HYPERLINK("http://dx.doi.org/10.1038/s41598-022-08818-5","http://dx.doi.org/10.1038/s41598-022-08818-5")</f>
        <v>http://dx.doi.org/10.1038/s41598-022-08818-5</v>
      </c>
      <c r="BG734" t="s">
        <v>74</v>
      </c>
      <c r="BH734" t="s">
        <v>74</v>
      </c>
      <c r="BI734">
        <v>16</v>
      </c>
      <c r="BJ734" t="s">
        <v>657</v>
      </c>
      <c r="BK734" t="s">
        <v>101</v>
      </c>
      <c r="BL734" t="s">
        <v>658</v>
      </c>
      <c r="BM734" t="s">
        <v>14525</v>
      </c>
      <c r="BN734">
        <v>35314739</v>
      </c>
      <c r="BO734" t="s">
        <v>295</v>
      </c>
      <c r="BP734" t="s">
        <v>74</v>
      </c>
      <c r="BQ734" t="s">
        <v>74</v>
      </c>
      <c r="BR734" t="s">
        <v>103</v>
      </c>
      <c r="BS734" t="s">
        <v>14526</v>
      </c>
      <c r="BT734" t="str">
        <f>HYPERLINK("https%3A%2F%2Fwww.webofscience.com%2Fwos%2Fwoscc%2Ffull-record%2FWOS:000771589000021","View Full Record in Web of Science")</f>
        <v>View Full Record in Web of Science</v>
      </c>
    </row>
    <row r="735" spans="1:72" x14ac:dyDescent="0.15">
      <c r="A735" t="s">
        <v>72</v>
      </c>
      <c r="B735" t="s">
        <v>14527</v>
      </c>
      <c r="C735" t="s">
        <v>74</v>
      </c>
      <c r="D735" t="s">
        <v>74</v>
      </c>
      <c r="E735" t="s">
        <v>74</v>
      </c>
      <c r="F735" t="s">
        <v>14528</v>
      </c>
      <c r="G735" t="s">
        <v>74</v>
      </c>
      <c r="H735" t="s">
        <v>74</v>
      </c>
      <c r="I735" t="s">
        <v>14529</v>
      </c>
      <c r="J735" t="s">
        <v>3217</v>
      </c>
      <c r="K735" t="s">
        <v>74</v>
      </c>
      <c r="L735" t="s">
        <v>74</v>
      </c>
      <c r="M735" t="s">
        <v>78</v>
      </c>
      <c r="N735" t="s">
        <v>79</v>
      </c>
      <c r="O735" t="s">
        <v>74</v>
      </c>
      <c r="P735" t="s">
        <v>74</v>
      </c>
      <c r="Q735" t="s">
        <v>74</v>
      </c>
      <c r="R735" t="s">
        <v>74</v>
      </c>
      <c r="S735" t="s">
        <v>74</v>
      </c>
      <c r="T735" t="s">
        <v>14530</v>
      </c>
      <c r="U735" t="s">
        <v>14531</v>
      </c>
      <c r="V735" t="s">
        <v>14532</v>
      </c>
      <c r="W735" t="s">
        <v>14533</v>
      </c>
      <c r="X735" t="s">
        <v>14534</v>
      </c>
      <c r="Y735" t="s">
        <v>14535</v>
      </c>
      <c r="Z735" t="s">
        <v>14536</v>
      </c>
      <c r="AA735" t="s">
        <v>74</v>
      </c>
      <c r="AB735" t="s">
        <v>14537</v>
      </c>
      <c r="AC735" t="s">
        <v>74</v>
      </c>
      <c r="AD735" t="s">
        <v>74</v>
      </c>
      <c r="AE735" t="s">
        <v>74</v>
      </c>
      <c r="AF735" t="s">
        <v>74</v>
      </c>
      <c r="AG735">
        <v>54</v>
      </c>
      <c r="AH735">
        <v>1</v>
      </c>
      <c r="AI735">
        <v>1</v>
      </c>
      <c r="AJ735">
        <v>1</v>
      </c>
      <c r="AK735">
        <v>2</v>
      </c>
      <c r="AL735" t="s">
        <v>3228</v>
      </c>
      <c r="AM735" t="s">
        <v>200</v>
      </c>
      <c r="AN735" t="s">
        <v>3229</v>
      </c>
      <c r="AO735" t="s">
        <v>3230</v>
      </c>
      <c r="AP735" t="s">
        <v>3231</v>
      </c>
      <c r="AQ735" t="s">
        <v>74</v>
      </c>
      <c r="AR735" t="s">
        <v>3232</v>
      </c>
      <c r="AS735" t="s">
        <v>3233</v>
      </c>
      <c r="AT735" t="s">
        <v>11435</v>
      </c>
      <c r="AU735">
        <v>2022</v>
      </c>
      <c r="AV735">
        <v>69</v>
      </c>
      <c r="AW735">
        <v>8</v>
      </c>
      <c r="AX735" t="s">
        <v>74</v>
      </c>
      <c r="AY735" t="s">
        <v>74</v>
      </c>
      <c r="AZ735" t="s">
        <v>74</v>
      </c>
      <c r="BA735" t="s">
        <v>74</v>
      </c>
      <c r="BB735">
        <v>2976</v>
      </c>
      <c r="BC735">
        <v>2988</v>
      </c>
      <c r="BD735" t="s">
        <v>74</v>
      </c>
      <c r="BE735" t="s">
        <v>14538</v>
      </c>
      <c r="BF735" t="str">
        <f>HYPERLINK("http://dx.doi.org/10.1016/j.asr.2022.01.025","http://dx.doi.org/10.1016/j.asr.2022.01.025")</f>
        <v>http://dx.doi.org/10.1016/j.asr.2022.01.025</v>
      </c>
      <c r="BG735" t="s">
        <v>74</v>
      </c>
      <c r="BH735" t="s">
        <v>12992</v>
      </c>
      <c r="BI735">
        <v>13</v>
      </c>
      <c r="BJ735" t="s">
        <v>3236</v>
      </c>
      <c r="BK735" t="s">
        <v>101</v>
      </c>
      <c r="BL735" t="s">
        <v>3237</v>
      </c>
      <c r="BM735" t="s">
        <v>14539</v>
      </c>
      <c r="BN735" t="s">
        <v>74</v>
      </c>
      <c r="BO735" t="s">
        <v>267</v>
      </c>
      <c r="BP735" t="s">
        <v>74</v>
      </c>
      <c r="BQ735" t="s">
        <v>74</v>
      </c>
      <c r="BR735" t="s">
        <v>103</v>
      </c>
      <c r="BS735" t="s">
        <v>14540</v>
      </c>
      <c r="BT735" t="str">
        <f>HYPERLINK("https%3A%2F%2Fwww.webofscience.com%2Fwos%2Fwoscc%2Ffull-record%2FWOS:000782613500004","View Full Record in Web of Science")</f>
        <v>View Full Record in Web of Science</v>
      </c>
    </row>
    <row r="736" spans="1:72" x14ac:dyDescent="0.15">
      <c r="A736" t="s">
        <v>72</v>
      </c>
      <c r="B736" t="s">
        <v>14541</v>
      </c>
      <c r="C736" t="s">
        <v>74</v>
      </c>
      <c r="D736" t="s">
        <v>74</v>
      </c>
      <c r="E736" t="s">
        <v>74</v>
      </c>
      <c r="F736" t="s">
        <v>14542</v>
      </c>
      <c r="G736" t="s">
        <v>74</v>
      </c>
      <c r="H736" t="s">
        <v>74</v>
      </c>
      <c r="I736" t="s">
        <v>14543</v>
      </c>
      <c r="J736" t="s">
        <v>3096</v>
      </c>
      <c r="K736" t="s">
        <v>74</v>
      </c>
      <c r="L736" t="s">
        <v>74</v>
      </c>
      <c r="M736" t="s">
        <v>78</v>
      </c>
      <c r="N736" t="s">
        <v>79</v>
      </c>
      <c r="O736" t="s">
        <v>74</v>
      </c>
      <c r="P736" t="s">
        <v>74</v>
      </c>
      <c r="Q736" t="s">
        <v>74</v>
      </c>
      <c r="R736" t="s">
        <v>74</v>
      </c>
      <c r="S736" t="s">
        <v>74</v>
      </c>
      <c r="T736" t="s">
        <v>14544</v>
      </c>
      <c r="U736" t="s">
        <v>14545</v>
      </c>
      <c r="V736" t="s">
        <v>14546</v>
      </c>
      <c r="W736" t="s">
        <v>14547</v>
      </c>
      <c r="X736" t="s">
        <v>14548</v>
      </c>
      <c r="Y736" t="s">
        <v>14549</v>
      </c>
      <c r="Z736" t="s">
        <v>14550</v>
      </c>
      <c r="AA736" t="s">
        <v>14551</v>
      </c>
      <c r="AB736" t="s">
        <v>14552</v>
      </c>
      <c r="AC736" t="s">
        <v>14553</v>
      </c>
      <c r="AD736" t="s">
        <v>14554</v>
      </c>
      <c r="AE736" t="s">
        <v>14555</v>
      </c>
      <c r="AF736" t="s">
        <v>74</v>
      </c>
      <c r="AG736">
        <v>36</v>
      </c>
      <c r="AH736">
        <v>1</v>
      </c>
      <c r="AI736">
        <v>1</v>
      </c>
      <c r="AJ736">
        <v>1</v>
      </c>
      <c r="AK736">
        <v>3</v>
      </c>
      <c r="AL736" t="s">
        <v>257</v>
      </c>
      <c r="AM736" t="s">
        <v>258</v>
      </c>
      <c r="AN736" t="s">
        <v>259</v>
      </c>
      <c r="AO736" t="s">
        <v>3106</v>
      </c>
      <c r="AP736" t="s">
        <v>3107</v>
      </c>
      <c r="AQ736" t="s">
        <v>74</v>
      </c>
      <c r="AR736" t="s">
        <v>3108</v>
      </c>
      <c r="AS736" t="s">
        <v>3109</v>
      </c>
      <c r="AT736" t="s">
        <v>6497</v>
      </c>
      <c r="AU736">
        <v>2022</v>
      </c>
      <c r="AV736">
        <v>31</v>
      </c>
      <c r="AW736" t="s">
        <v>74</v>
      </c>
      <c r="AX736" t="s">
        <v>74</v>
      </c>
      <c r="AY736" t="s">
        <v>74</v>
      </c>
      <c r="AZ736" t="s">
        <v>74</v>
      </c>
      <c r="BA736" t="s">
        <v>74</v>
      </c>
      <c r="BB736" t="s">
        <v>74</v>
      </c>
      <c r="BC736" t="s">
        <v>74</v>
      </c>
      <c r="BD736">
        <v>100789</v>
      </c>
      <c r="BE736" t="s">
        <v>14556</v>
      </c>
      <c r="BF736" t="str">
        <f>HYPERLINK("http://dx.doi.org/10.1016/j.polar.2022.100789","http://dx.doi.org/10.1016/j.polar.2022.100789")</f>
        <v>http://dx.doi.org/10.1016/j.polar.2022.100789</v>
      </c>
      <c r="BG736" t="s">
        <v>74</v>
      </c>
      <c r="BH736" t="s">
        <v>12992</v>
      </c>
      <c r="BI736">
        <v>8</v>
      </c>
      <c r="BJ736" t="s">
        <v>3112</v>
      </c>
      <c r="BK736" t="s">
        <v>101</v>
      </c>
      <c r="BL736" t="s">
        <v>3113</v>
      </c>
      <c r="BM736" t="s">
        <v>14557</v>
      </c>
      <c r="BN736" t="s">
        <v>74</v>
      </c>
      <c r="BO736" t="s">
        <v>267</v>
      </c>
      <c r="BP736" t="s">
        <v>74</v>
      </c>
      <c r="BQ736" t="s">
        <v>74</v>
      </c>
      <c r="BR736" t="s">
        <v>103</v>
      </c>
      <c r="BS736" t="s">
        <v>14558</v>
      </c>
      <c r="BT736" t="str">
        <f>HYPERLINK("https%3A%2F%2Fwww.webofscience.com%2Fwos%2Fwoscc%2Ffull-record%2FWOS:000789370000001","View Full Record in Web of Science")</f>
        <v>View Full Record in Web of Science</v>
      </c>
    </row>
    <row r="737" spans="1:72" x14ac:dyDescent="0.15">
      <c r="A737" t="s">
        <v>72</v>
      </c>
      <c r="B737" t="s">
        <v>14559</v>
      </c>
      <c r="C737" t="s">
        <v>74</v>
      </c>
      <c r="D737" t="s">
        <v>74</v>
      </c>
      <c r="E737" t="s">
        <v>74</v>
      </c>
      <c r="F737" t="s">
        <v>14560</v>
      </c>
      <c r="G737" t="s">
        <v>74</v>
      </c>
      <c r="H737" t="s">
        <v>74</v>
      </c>
      <c r="I737" t="s">
        <v>14561</v>
      </c>
      <c r="J737" t="s">
        <v>3096</v>
      </c>
      <c r="K737" t="s">
        <v>74</v>
      </c>
      <c r="L737" t="s">
        <v>74</v>
      </c>
      <c r="M737" t="s">
        <v>78</v>
      </c>
      <c r="N737" t="s">
        <v>79</v>
      </c>
      <c r="O737" t="s">
        <v>74</v>
      </c>
      <c r="P737" t="s">
        <v>74</v>
      </c>
      <c r="Q737" t="s">
        <v>74</v>
      </c>
      <c r="R737" t="s">
        <v>74</v>
      </c>
      <c r="S737" t="s">
        <v>74</v>
      </c>
      <c r="T737" t="s">
        <v>14562</v>
      </c>
      <c r="U737" t="s">
        <v>14563</v>
      </c>
      <c r="V737" t="s">
        <v>14564</v>
      </c>
      <c r="W737" t="s">
        <v>14565</v>
      </c>
      <c r="X737" t="s">
        <v>14566</v>
      </c>
      <c r="Y737" t="s">
        <v>14567</v>
      </c>
      <c r="Z737" t="s">
        <v>14568</v>
      </c>
      <c r="AA737" t="s">
        <v>14569</v>
      </c>
      <c r="AB737" t="s">
        <v>14570</v>
      </c>
      <c r="AC737" t="s">
        <v>14571</v>
      </c>
      <c r="AD737" t="s">
        <v>14571</v>
      </c>
      <c r="AE737" t="s">
        <v>14572</v>
      </c>
      <c r="AF737" t="s">
        <v>74</v>
      </c>
      <c r="AG737">
        <v>37</v>
      </c>
      <c r="AH737">
        <v>2</v>
      </c>
      <c r="AI737">
        <v>3</v>
      </c>
      <c r="AJ737">
        <v>3</v>
      </c>
      <c r="AK737">
        <v>13</v>
      </c>
      <c r="AL737" t="s">
        <v>257</v>
      </c>
      <c r="AM737" t="s">
        <v>258</v>
      </c>
      <c r="AN737" t="s">
        <v>259</v>
      </c>
      <c r="AO737" t="s">
        <v>3106</v>
      </c>
      <c r="AP737" t="s">
        <v>3107</v>
      </c>
      <c r="AQ737" t="s">
        <v>74</v>
      </c>
      <c r="AR737" t="s">
        <v>3108</v>
      </c>
      <c r="AS737" t="s">
        <v>3109</v>
      </c>
      <c r="AT737" t="s">
        <v>6497</v>
      </c>
      <c r="AU737">
        <v>2022</v>
      </c>
      <c r="AV737">
        <v>31</v>
      </c>
      <c r="AW737" t="s">
        <v>74</v>
      </c>
      <c r="AX737" t="s">
        <v>74</v>
      </c>
      <c r="AY737" t="s">
        <v>74</v>
      </c>
      <c r="AZ737" t="s">
        <v>74</v>
      </c>
      <c r="BA737" t="s">
        <v>74</v>
      </c>
      <c r="BB737" t="s">
        <v>74</v>
      </c>
      <c r="BC737" t="s">
        <v>74</v>
      </c>
      <c r="BD737">
        <v>100785</v>
      </c>
      <c r="BE737" t="s">
        <v>14573</v>
      </c>
      <c r="BF737" t="str">
        <f>HYPERLINK("http://dx.doi.org/10.1016/j.polar.2021.100785","http://dx.doi.org/10.1016/j.polar.2021.100785")</f>
        <v>http://dx.doi.org/10.1016/j.polar.2021.100785</v>
      </c>
      <c r="BG737" t="s">
        <v>74</v>
      </c>
      <c r="BH737" t="s">
        <v>12992</v>
      </c>
      <c r="BI737">
        <v>7</v>
      </c>
      <c r="BJ737" t="s">
        <v>3112</v>
      </c>
      <c r="BK737" t="s">
        <v>101</v>
      </c>
      <c r="BL737" t="s">
        <v>3113</v>
      </c>
      <c r="BM737" t="s">
        <v>14557</v>
      </c>
      <c r="BN737" t="s">
        <v>74</v>
      </c>
      <c r="BO737" t="s">
        <v>267</v>
      </c>
      <c r="BP737" t="s">
        <v>74</v>
      </c>
      <c r="BQ737" t="s">
        <v>74</v>
      </c>
      <c r="BR737" t="s">
        <v>103</v>
      </c>
      <c r="BS737" t="s">
        <v>14574</v>
      </c>
      <c r="BT737" t="str">
        <f>HYPERLINK("https%3A%2F%2Fwww.webofscience.com%2Fwos%2Fwoscc%2Ffull-record%2FWOS:000789370000002","View Full Record in Web of Science")</f>
        <v>View Full Record in Web of Science</v>
      </c>
    </row>
    <row r="738" spans="1:72" x14ac:dyDescent="0.15">
      <c r="A738" t="s">
        <v>72</v>
      </c>
      <c r="B738" t="s">
        <v>14575</v>
      </c>
      <c r="C738" t="s">
        <v>74</v>
      </c>
      <c r="D738" t="s">
        <v>74</v>
      </c>
      <c r="E738" t="s">
        <v>74</v>
      </c>
      <c r="F738" t="s">
        <v>14576</v>
      </c>
      <c r="G738" t="s">
        <v>74</v>
      </c>
      <c r="H738" t="s">
        <v>74</v>
      </c>
      <c r="I738" t="s">
        <v>14577</v>
      </c>
      <c r="J738" t="s">
        <v>3096</v>
      </c>
      <c r="K738" t="s">
        <v>74</v>
      </c>
      <c r="L738" t="s">
        <v>74</v>
      </c>
      <c r="M738" t="s">
        <v>78</v>
      </c>
      <c r="N738" t="s">
        <v>79</v>
      </c>
      <c r="O738" t="s">
        <v>74</v>
      </c>
      <c r="P738" t="s">
        <v>74</v>
      </c>
      <c r="Q738" t="s">
        <v>74</v>
      </c>
      <c r="R738" t="s">
        <v>74</v>
      </c>
      <c r="S738" t="s">
        <v>74</v>
      </c>
      <c r="T738" t="s">
        <v>14578</v>
      </c>
      <c r="U738" t="s">
        <v>14579</v>
      </c>
      <c r="V738" t="s">
        <v>14580</v>
      </c>
      <c r="W738" t="s">
        <v>14581</v>
      </c>
      <c r="X738" t="s">
        <v>14582</v>
      </c>
      <c r="Y738" t="s">
        <v>14583</v>
      </c>
      <c r="Z738" t="s">
        <v>14584</v>
      </c>
      <c r="AA738" t="s">
        <v>14585</v>
      </c>
      <c r="AB738" t="s">
        <v>14586</v>
      </c>
      <c r="AC738" t="s">
        <v>14587</v>
      </c>
      <c r="AD738" t="s">
        <v>14588</v>
      </c>
      <c r="AE738" t="s">
        <v>14589</v>
      </c>
      <c r="AF738" t="s">
        <v>74</v>
      </c>
      <c r="AG738">
        <v>39</v>
      </c>
      <c r="AH738">
        <v>1</v>
      </c>
      <c r="AI738">
        <v>1</v>
      </c>
      <c r="AJ738">
        <v>0</v>
      </c>
      <c r="AK738">
        <v>6</v>
      </c>
      <c r="AL738" t="s">
        <v>257</v>
      </c>
      <c r="AM738" t="s">
        <v>258</v>
      </c>
      <c r="AN738" t="s">
        <v>259</v>
      </c>
      <c r="AO738" t="s">
        <v>3106</v>
      </c>
      <c r="AP738" t="s">
        <v>3107</v>
      </c>
      <c r="AQ738" t="s">
        <v>74</v>
      </c>
      <c r="AR738" t="s">
        <v>3108</v>
      </c>
      <c r="AS738" t="s">
        <v>3109</v>
      </c>
      <c r="AT738" t="s">
        <v>6497</v>
      </c>
      <c r="AU738">
        <v>2022</v>
      </c>
      <c r="AV738">
        <v>31</v>
      </c>
      <c r="AW738" t="s">
        <v>74</v>
      </c>
      <c r="AX738" t="s">
        <v>74</v>
      </c>
      <c r="AY738" t="s">
        <v>74</v>
      </c>
      <c r="AZ738" t="s">
        <v>74</v>
      </c>
      <c r="BA738" t="s">
        <v>74</v>
      </c>
      <c r="BB738" t="s">
        <v>74</v>
      </c>
      <c r="BC738" t="s">
        <v>74</v>
      </c>
      <c r="BD738">
        <v>100743</v>
      </c>
      <c r="BE738" t="s">
        <v>14590</v>
      </c>
      <c r="BF738" t="str">
        <f>HYPERLINK("http://dx.doi.org/10.1016/j.polar.2021.100743","http://dx.doi.org/10.1016/j.polar.2021.100743")</f>
        <v>http://dx.doi.org/10.1016/j.polar.2021.100743</v>
      </c>
      <c r="BG738" t="s">
        <v>74</v>
      </c>
      <c r="BH738" t="s">
        <v>12992</v>
      </c>
      <c r="BI738">
        <v>11</v>
      </c>
      <c r="BJ738" t="s">
        <v>3112</v>
      </c>
      <c r="BK738" t="s">
        <v>101</v>
      </c>
      <c r="BL738" t="s">
        <v>3113</v>
      </c>
      <c r="BM738" t="s">
        <v>14591</v>
      </c>
      <c r="BN738" t="s">
        <v>74</v>
      </c>
      <c r="BO738" t="s">
        <v>267</v>
      </c>
      <c r="BP738" t="s">
        <v>74</v>
      </c>
      <c r="BQ738" t="s">
        <v>74</v>
      </c>
      <c r="BR738" t="s">
        <v>103</v>
      </c>
      <c r="BS738" t="s">
        <v>14592</v>
      </c>
      <c r="BT738" t="str">
        <f>HYPERLINK("https%3A%2F%2Fwww.webofscience.com%2Fwos%2Fwoscc%2Ffull-record%2FWOS:000782705800008","View Full Record in Web of Science")</f>
        <v>View Full Record in Web of Science</v>
      </c>
    </row>
    <row r="739" spans="1:72" x14ac:dyDescent="0.15">
      <c r="A739" t="s">
        <v>72</v>
      </c>
      <c r="B739" t="s">
        <v>14593</v>
      </c>
      <c r="C739" t="s">
        <v>74</v>
      </c>
      <c r="D739" t="s">
        <v>74</v>
      </c>
      <c r="E739" t="s">
        <v>74</v>
      </c>
      <c r="F739" t="s">
        <v>14594</v>
      </c>
      <c r="G739" t="s">
        <v>74</v>
      </c>
      <c r="H739" t="s">
        <v>74</v>
      </c>
      <c r="I739" t="s">
        <v>14595</v>
      </c>
      <c r="J739" t="s">
        <v>3096</v>
      </c>
      <c r="K739" t="s">
        <v>74</v>
      </c>
      <c r="L739" t="s">
        <v>74</v>
      </c>
      <c r="M739" t="s">
        <v>78</v>
      </c>
      <c r="N739" t="s">
        <v>79</v>
      </c>
      <c r="O739" t="s">
        <v>74</v>
      </c>
      <c r="P739" t="s">
        <v>74</v>
      </c>
      <c r="Q739" t="s">
        <v>74</v>
      </c>
      <c r="R739" t="s">
        <v>74</v>
      </c>
      <c r="S739" t="s">
        <v>74</v>
      </c>
      <c r="T739" t="s">
        <v>14596</v>
      </c>
      <c r="U739" t="s">
        <v>1322</v>
      </c>
      <c r="V739" t="s">
        <v>14597</v>
      </c>
      <c r="W739" t="s">
        <v>14598</v>
      </c>
      <c r="X739" t="s">
        <v>74</v>
      </c>
      <c r="Y739" t="s">
        <v>14599</v>
      </c>
      <c r="Z739" t="s">
        <v>14600</v>
      </c>
      <c r="AA739" t="s">
        <v>74</v>
      </c>
      <c r="AB739" t="s">
        <v>14601</v>
      </c>
      <c r="AC739" t="s">
        <v>74</v>
      </c>
      <c r="AD739" t="s">
        <v>74</v>
      </c>
      <c r="AE739" t="s">
        <v>74</v>
      </c>
      <c r="AF739" t="s">
        <v>74</v>
      </c>
      <c r="AG739">
        <v>18</v>
      </c>
      <c r="AH739">
        <v>0</v>
      </c>
      <c r="AI739">
        <v>0</v>
      </c>
      <c r="AJ739">
        <v>0</v>
      </c>
      <c r="AK739">
        <v>3</v>
      </c>
      <c r="AL739" t="s">
        <v>257</v>
      </c>
      <c r="AM739" t="s">
        <v>258</v>
      </c>
      <c r="AN739" t="s">
        <v>259</v>
      </c>
      <c r="AO739" t="s">
        <v>3106</v>
      </c>
      <c r="AP739" t="s">
        <v>3107</v>
      </c>
      <c r="AQ739" t="s">
        <v>74</v>
      </c>
      <c r="AR739" t="s">
        <v>3108</v>
      </c>
      <c r="AS739" t="s">
        <v>3109</v>
      </c>
      <c r="AT739" t="s">
        <v>6497</v>
      </c>
      <c r="AU739">
        <v>2022</v>
      </c>
      <c r="AV739">
        <v>31</v>
      </c>
      <c r="AW739" t="s">
        <v>74</v>
      </c>
      <c r="AX739" t="s">
        <v>74</v>
      </c>
      <c r="AY739" t="s">
        <v>74</v>
      </c>
      <c r="AZ739" t="s">
        <v>74</v>
      </c>
      <c r="BA739" t="s">
        <v>74</v>
      </c>
      <c r="BB739" t="s">
        <v>74</v>
      </c>
      <c r="BC739" t="s">
        <v>74</v>
      </c>
      <c r="BD739">
        <v>100736</v>
      </c>
      <c r="BE739" t="s">
        <v>14602</v>
      </c>
      <c r="BF739" t="str">
        <f>HYPERLINK("http://dx.doi.org/10.1016/j.polar.2021.100736","http://dx.doi.org/10.1016/j.polar.2021.100736")</f>
        <v>http://dx.doi.org/10.1016/j.polar.2021.100736</v>
      </c>
      <c r="BG739" t="s">
        <v>74</v>
      </c>
      <c r="BH739" t="s">
        <v>12992</v>
      </c>
      <c r="BI739">
        <v>8</v>
      </c>
      <c r="BJ739" t="s">
        <v>3112</v>
      </c>
      <c r="BK739" t="s">
        <v>101</v>
      </c>
      <c r="BL739" t="s">
        <v>3113</v>
      </c>
      <c r="BM739" t="s">
        <v>14591</v>
      </c>
      <c r="BN739" t="s">
        <v>74</v>
      </c>
      <c r="BO739" t="s">
        <v>74</v>
      </c>
      <c r="BP739" t="s">
        <v>74</v>
      </c>
      <c r="BQ739" t="s">
        <v>74</v>
      </c>
      <c r="BR739" t="s">
        <v>103</v>
      </c>
      <c r="BS739" t="s">
        <v>14603</v>
      </c>
      <c r="BT739" t="str">
        <f>HYPERLINK("https%3A%2F%2Fwww.webofscience.com%2Fwos%2Fwoscc%2Ffull-record%2FWOS:000782705800002","View Full Record in Web of Science")</f>
        <v>View Full Record in Web of Science</v>
      </c>
    </row>
    <row r="740" spans="1:72" x14ac:dyDescent="0.15">
      <c r="A740" t="s">
        <v>72</v>
      </c>
      <c r="B740" t="s">
        <v>14604</v>
      </c>
      <c r="C740" t="s">
        <v>74</v>
      </c>
      <c r="D740" t="s">
        <v>74</v>
      </c>
      <c r="E740" t="s">
        <v>74</v>
      </c>
      <c r="F740" t="s">
        <v>14605</v>
      </c>
      <c r="G740" t="s">
        <v>74</v>
      </c>
      <c r="H740" t="s">
        <v>74</v>
      </c>
      <c r="I740" t="s">
        <v>14606</v>
      </c>
      <c r="J740" t="s">
        <v>3096</v>
      </c>
      <c r="K740" t="s">
        <v>74</v>
      </c>
      <c r="L740" t="s">
        <v>74</v>
      </c>
      <c r="M740" t="s">
        <v>78</v>
      </c>
      <c r="N740" t="s">
        <v>79</v>
      </c>
      <c r="O740" t="s">
        <v>74</v>
      </c>
      <c r="P740" t="s">
        <v>74</v>
      </c>
      <c r="Q740" t="s">
        <v>74</v>
      </c>
      <c r="R740" t="s">
        <v>74</v>
      </c>
      <c r="S740" t="s">
        <v>74</v>
      </c>
      <c r="T740" t="s">
        <v>14607</v>
      </c>
      <c r="U740" t="s">
        <v>14608</v>
      </c>
      <c r="V740" t="s">
        <v>14609</v>
      </c>
      <c r="W740" t="s">
        <v>14610</v>
      </c>
      <c r="X740" t="s">
        <v>14611</v>
      </c>
      <c r="Y740" t="s">
        <v>14612</v>
      </c>
      <c r="Z740" t="s">
        <v>14613</v>
      </c>
      <c r="AA740" t="s">
        <v>74</v>
      </c>
      <c r="AB740" t="s">
        <v>14614</v>
      </c>
      <c r="AC740" t="s">
        <v>74</v>
      </c>
      <c r="AD740" t="s">
        <v>74</v>
      </c>
      <c r="AE740" t="s">
        <v>74</v>
      </c>
      <c r="AF740" t="s">
        <v>74</v>
      </c>
      <c r="AG740">
        <v>54</v>
      </c>
      <c r="AH740">
        <v>3</v>
      </c>
      <c r="AI740">
        <v>3</v>
      </c>
      <c r="AJ740">
        <v>3</v>
      </c>
      <c r="AK740">
        <v>14</v>
      </c>
      <c r="AL740" t="s">
        <v>257</v>
      </c>
      <c r="AM740" t="s">
        <v>258</v>
      </c>
      <c r="AN740" t="s">
        <v>259</v>
      </c>
      <c r="AO740" t="s">
        <v>3106</v>
      </c>
      <c r="AP740" t="s">
        <v>3107</v>
      </c>
      <c r="AQ740" t="s">
        <v>74</v>
      </c>
      <c r="AR740" t="s">
        <v>3108</v>
      </c>
      <c r="AS740" t="s">
        <v>3109</v>
      </c>
      <c r="AT740" t="s">
        <v>6497</v>
      </c>
      <c r="AU740">
        <v>2022</v>
      </c>
      <c r="AV740">
        <v>31</v>
      </c>
      <c r="AW740" t="s">
        <v>74</v>
      </c>
      <c r="AX740" t="s">
        <v>74</v>
      </c>
      <c r="AY740" t="s">
        <v>74</v>
      </c>
      <c r="AZ740" t="s">
        <v>74</v>
      </c>
      <c r="BA740" t="s">
        <v>74</v>
      </c>
      <c r="BB740" t="s">
        <v>74</v>
      </c>
      <c r="BC740" t="s">
        <v>74</v>
      </c>
      <c r="BD740">
        <v>100756</v>
      </c>
      <c r="BE740" t="s">
        <v>14615</v>
      </c>
      <c r="BF740" t="str">
        <f>HYPERLINK("http://dx.doi.org/10.1016/j.polar.2021.100756","http://dx.doi.org/10.1016/j.polar.2021.100756")</f>
        <v>http://dx.doi.org/10.1016/j.polar.2021.100756</v>
      </c>
      <c r="BG740" t="s">
        <v>74</v>
      </c>
      <c r="BH740" t="s">
        <v>12992</v>
      </c>
      <c r="BI740">
        <v>12</v>
      </c>
      <c r="BJ740" t="s">
        <v>3112</v>
      </c>
      <c r="BK740" t="s">
        <v>101</v>
      </c>
      <c r="BL740" t="s">
        <v>3113</v>
      </c>
      <c r="BM740" t="s">
        <v>14591</v>
      </c>
      <c r="BN740" t="s">
        <v>74</v>
      </c>
      <c r="BO740" t="s">
        <v>1483</v>
      </c>
      <c r="BP740" t="s">
        <v>74</v>
      </c>
      <c r="BQ740" t="s">
        <v>74</v>
      </c>
      <c r="BR740" t="s">
        <v>103</v>
      </c>
      <c r="BS740" t="s">
        <v>14616</v>
      </c>
      <c r="BT740" t="str">
        <f>HYPERLINK("https%3A%2F%2Fwww.webofscience.com%2Fwos%2Fwoscc%2Ffull-record%2FWOS:000782705800009","View Full Record in Web of Science")</f>
        <v>View Full Record in Web of Science</v>
      </c>
    </row>
    <row r="741" spans="1:72" x14ac:dyDescent="0.15">
      <c r="A741" t="s">
        <v>72</v>
      </c>
      <c r="B741" t="s">
        <v>14617</v>
      </c>
      <c r="C741" t="s">
        <v>74</v>
      </c>
      <c r="D741" t="s">
        <v>74</v>
      </c>
      <c r="E741" t="s">
        <v>74</v>
      </c>
      <c r="F741" t="s">
        <v>14618</v>
      </c>
      <c r="G741" t="s">
        <v>74</v>
      </c>
      <c r="H741" t="s">
        <v>74</v>
      </c>
      <c r="I741" t="s">
        <v>14619</v>
      </c>
      <c r="J741" t="s">
        <v>3096</v>
      </c>
      <c r="K741" t="s">
        <v>74</v>
      </c>
      <c r="L741" t="s">
        <v>74</v>
      </c>
      <c r="M741" t="s">
        <v>78</v>
      </c>
      <c r="N741" t="s">
        <v>79</v>
      </c>
      <c r="O741" t="s">
        <v>74</v>
      </c>
      <c r="P741" t="s">
        <v>74</v>
      </c>
      <c r="Q741" t="s">
        <v>74</v>
      </c>
      <c r="R741" t="s">
        <v>74</v>
      </c>
      <c r="S741" t="s">
        <v>74</v>
      </c>
      <c r="T741" t="s">
        <v>14620</v>
      </c>
      <c r="U741" t="s">
        <v>14621</v>
      </c>
      <c r="V741" t="s">
        <v>14622</v>
      </c>
      <c r="W741" t="s">
        <v>14623</v>
      </c>
      <c r="X741" t="s">
        <v>14624</v>
      </c>
      <c r="Y741" t="s">
        <v>14625</v>
      </c>
      <c r="Z741" t="s">
        <v>14626</v>
      </c>
      <c r="AA741" t="s">
        <v>14627</v>
      </c>
      <c r="AB741" t="s">
        <v>14628</v>
      </c>
      <c r="AC741" t="s">
        <v>14629</v>
      </c>
      <c r="AD741" t="s">
        <v>14629</v>
      </c>
      <c r="AE741" t="s">
        <v>14630</v>
      </c>
      <c r="AF741" t="s">
        <v>74</v>
      </c>
      <c r="AG741">
        <v>60</v>
      </c>
      <c r="AH741">
        <v>7</v>
      </c>
      <c r="AI741">
        <v>8</v>
      </c>
      <c r="AJ741">
        <v>0</v>
      </c>
      <c r="AK741">
        <v>6</v>
      </c>
      <c r="AL741" t="s">
        <v>257</v>
      </c>
      <c r="AM741" t="s">
        <v>258</v>
      </c>
      <c r="AN741" t="s">
        <v>259</v>
      </c>
      <c r="AO741" t="s">
        <v>3106</v>
      </c>
      <c r="AP741" t="s">
        <v>3107</v>
      </c>
      <c r="AQ741" t="s">
        <v>74</v>
      </c>
      <c r="AR741" t="s">
        <v>3108</v>
      </c>
      <c r="AS741" t="s">
        <v>3109</v>
      </c>
      <c r="AT741" t="s">
        <v>6497</v>
      </c>
      <c r="AU741">
        <v>2022</v>
      </c>
      <c r="AV741">
        <v>31</v>
      </c>
      <c r="AW741" t="s">
        <v>74</v>
      </c>
      <c r="AX741" t="s">
        <v>74</v>
      </c>
      <c r="AY741" t="s">
        <v>74</v>
      </c>
      <c r="AZ741" t="s">
        <v>74</v>
      </c>
      <c r="BA741" t="s">
        <v>74</v>
      </c>
      <c r="BB741" t="s">
        <v>74</v>
      </c>
      <c r="BC741" t="s">
        <v>74</v>
      </c>
      <c r="BD741">
        <v>100764</v>
      </c>
      <c r="BE741" t="s">
        <v>14631</v>
      </c>
      <c r="BF741" t="str">
        <f>HYPERLINK("http://dx.doi.org/10.1016/j.polar.2021.100764","http://dx.doi.org/10.1016/j.polar.2021.100764")</f>
        <v>http://dx.doi.org/10.1016/j.polar.2021.100764</v>
      </c>
      <c r="BG741" t="s">
        <v>74</v>
      </c>
      <c r="BH741" t="s">
        <v>12992</v>
      </c>
      <c r="BI741">
        <v>8</v>
      </c>
      <c r="BJ741" t="s">
        <v>3112</v>
      </c>
      <c r="BK741" t="s">
        <v>101</v>
      </c>
      <c r="BL741" t="s">
        <v>3113</v>
      </c>
      <c r="BM741" t="s">
        <v>14591</v>
      </c>
      <c r="BN741" t="s">
        <v>74</v>
      </c>
      <c r="BO741" t="s">
        <v>267</v>
      </c>
      <c r="BP741" t="s">
        <v>74</v>
      </c>
      <c r="BQ741" t="s">
        <v>74</v>
      </c>
      <c r="BR741" t="s">
        <v>103</v>
      </c>
      <c r="BS741" t="s">
        <v>14632</v>
      </c>
      <c r="BT741" t="str">
        <f>HYPERLINK("https%3A%2F%2Fwww.webofscience.com%2Fwos%2Fwoscc%2Ffull-record%2FWOS:000782705800005","View Full Record in Web of Science")</f>
        <v>View Full Record in Web of Science</v>
      </c>
    </row>
    <row r="742" spans="1:72" x14ac:dyDescent="0.15">
      <c r="A742" t="s">
        <v>72</v>
      </c>
      <c r="B742" t="s">
        <v>14633</v>
      </c>
      <c r="C742" t="s">
        <v>74</v>
      </c>
      <c r="D742" t="s">
        <v>74</v>
      </c>
      <c r="E742" t="s">
        <v>74</v>
      </c>
      <c r="F742" t="s">
        <v>14634</v>
      </c>
      <c r="G742" t="s">
        <v>74</v>
      </c>
      <c r="H742" t="s">
        <v>74</v>
      </c>
      <c r="I742" t="s">
        <v>14635</v>
      </c>
      <c r="J742" t="s">
        <v>3096</v>
      </c>
      <c r="K742" t="s">
        <v>74</v>
      </c>
      <c r="L742" t="s">
        <v>74</v>
      </c>
      <c r="M742" t="s">
        <v>78</v>
      </c>
      <c r="N742" t="s">
        <v>79</v>
      </c>
      <c r="O742" t="s">
        <v>74</v>
      </c>
      <c r="P742" t="s">
        <v>74</v>
      </c>
      <c r="Q742" t="s">
        <v>74</v>
      </c>
      <c r="R742" t="s">
        <v>74</v>
      </c>
      <c r="S742" t="s">
        <v>74</v>
      </c>
      <c r="T742" t="s">
        <v>14636</v>
      </c>
      <c r="U742" t="s">
        <v>14637</v>
      </c>
      <c r="V742" t="s">
        <v>14638</v>
      </c>
      <c r="W742" t="s">
        <v>14639</v>
      </c>
      <c r="X742" t="s">
        <v>14640</v>
      </c>
      <c r="Y742" t="s">
        <v>14641</v>
      </c>
      <c r="Z742" t="s">
        <v>14642</v>
      </c>
      <c r="AA742" t="s">
        <v>14643</v>
      </c>
      <c r="AB742" t="s">
        <v>14644</v>
      </c>
      <c r="AC742" t="s">
        <v>14645</v>
      </c>
      <c r="AD742" t="s">
        <v>14646</v>
      </c>
      <c r="AE742" t="s">
        <v>14647</v>
      </c>
      <c r="AF742" t="s">
        <v>74</v>
      </c>
      <c r="AG742">
        <v>42</v>
      </c>
      <c r="AH742">
        <v>1</v>
      </c>
      <c r="AI742">
        <v>1</v>
      </c>
      <c r="AJ742">
        <v>2</v>
      </c>
      <c r="AK742">
        <v>4</v>
      </c>
      <c r="AL742" t="s">
        <v>257</v>
      </c>
      <c r="AM742" t="s">
        <v>258</v>
      </c>
      <c r="AN742" t="s">
        <v>259</v>
      </c>
      <c r="AO742" t="s">
        <v>3106</v>
      </c>
      <c r="AP742" t="s">
        <v>3107</v>
      </c>
      <c r="AQ742" t="s">
        <v>74</v>
      </c>
      <c r="AR742" t="s">
        <v>3108</v>
      </c>
      <c r="AS742" t="s">
        <v>3109</v>
      </c>
      <c r="AT742" t="s">
        <v>6497</v>
      </c>
      <c r="AU742">
        <v>2022</v>
      </c>
      <c r="AV742">
        <v>31</v>
      </c>
      <c r="AW742" t="s">
        <v>74</v>
      </c>
      <c r="AX742" t="s">
        <v>74</v>
      </c>
      <c r="AY742" t="s">
        <v>74</v>
      </c>
      <c r="AZ742" t="s">
        <v>74</v>
      </c>
      <c r="BA742" t="s">
        <v>74</v>
      </c>
      <c r="BB742" t="s">
        <v>74</v>
      </c>
      <c r="BC742" t="s">
        <v>74</v>
      </c>
      <c r="BD742">
        <v>100762</v>
      </c>
      <c r="BE742" t="s">
        <v>14648</v>
      </c>
      <c r="BF742" t="str">
        <f>HYPERLINK("http://dx.doi.org/10.1016/j.polar.2021.100762","http://dx.doi.org/10.1016/j.polar.2021.100762")</f>
        <v>http://dx.doi.org/10.1016/j.polar.2021.100762</v>
      </c>
      <c r="BG742" t="s">
        <v>74</v>
      </c>
      <c r="BH742" t="s">
        <v>12992</v>
      </c>
      <c r="BI742">
        <v>10</v>
      </c>
      <c r="BJ742" t="s">
        <v>3112</v>
      </c>
      <c r="BK742" t="s">
        <v>101</v>
      </c>
      <c r="BL742" t="s">
        <v>3113</v>
      </c>
      <c r="BM742" t="s">
        <v>14591</v>
      </c>
      <c r="BN742" t="s">
        <v>74</v>
      </c>
      <c r="BO742" t="s">
        <v>74</v>
      </c>
      <c r="BP742" t="s">
        <v>74</v>
      </c>
      <c r="BQ742" t="s">
        <v>74</v>
      </c>
      <c r="BR742" t="s">
        <v>103</v>
      </c>
      <c r="BS742" t="s">
        <v>14649</v>
      </c>
      <c r="BT742" t="str">
        <f>HYPERLINK("https%3A%2F%2Fwww.webofscience.com%2Fwos%2Fwoscc%2Ffull-record%2FWOS:000782705800007","View Full Record in Web of Science")</f>
        <v>View Full Record in Web of Science</v>
      </c>
    </row>
    <row r="743" spans="1:72" x14ac:dyDescent="0.15">
      <c r="A743" t="s">
        <v>72</v>
      </c>
      <c r="B743" t="s">
        <v>14650</v>
      </c>
      <c r="C743" t="s">
        <v>74</v>
      </c>
      <c r="D743" t="s">
        <v>74</v>
      </c>
      <c r="E743" t="s">
        <v>74</v>
      </c>
      <c r="F743" t="s">
        <v>14651</v>
      </c>
      <c r="G743" t="s">
        <v>74</v>
      </c>
      <c r="H743" t="s">
        <v>74</v>
      </c>
      <c r="I743" t="s">
        <v>14652</v>
      </c>
      <c r="J743" t="s">
        <v>14653</v>
      </c>
      <c r="K743" t="s">
        <v>74</v>
      </c>
      <c r="L743" t="s">
        <v>74</v>
      </c>
      <c r="M743" t="s">
        <v>78</v>
      </c>
      <c r="N743" t="s">
        <v>79</v>
      </c>
      <c r="O743" t="s">
        <v>74</v>
      </c>
      <c r="P743" t="s">
        <v>74</v>
      </c>
      <c r="Q743" t="s">
        <v>74</v>
      </c>
      <c r="R743" t="s">
        <v>74</v>
      </c>
      <c r="S743" t="s">
        <v>74</v>
      </c>
      <c r="T743" t="s">
        <v>14654</v>
      </c>
      <c r="U743" t="s">
        <v>74</v>
      </c>
      <c r="V743" t="s">
        <v>14655</v>
      </c>
      <c r="W743" t="s">
        <v>14656</v>
      </c>
      <c r="X743" t="s">
        <v>14657</v>
      </c>
      <c r="Y743" t="s">
        <v>14658</v>
      </c>
      <c r="Z743" t="s">
        <v>14659</v>
      </c>
      <c r="AA743" t="s">
        <v>14660</v>
      </c>
      <c r="AB743" t="s">
        <v>14661</v>
      </c>
      <c r="AC743" t="s">
        <v>14662</v>
      </c>
      <c r="AD743" t="s">
        <v>14663</v>
      </c>
      <c r="AE743" t="s">
        <v>14664</v>
      </c>
      <c r="AF743" t="s">
        <v>74</v>
      </c>
      <c r="AG743">
        <v>20</v>
      </c>
      <c r="AH743">
        <v>2</v>
      </c>
      <c r="AI743">
        <v>2</v>
      </c>
      <c r="AJ743">
        <v>1</v>
      </c>
      <c r="AK743">
        <v>12</v>
      </c>
      <c r="AL743" t="s">
        <v>4862</v>
      </c>
      <c r="AM743" t="s">
        <v>4863</v>
      </c>
      <c r="AN743" t="s">
        <v>4864</v>
      </c>
      <c r="AO743" t="s">
        <v>14665</v>
      </c>
      <c r="AP743" t="s">
        <v>14666</v>
      </c>
      <c r="AQ743" t="s">
        <v>74</v>
      </c>
      <c r="AR743" t="s">
        <v>14667</v>
      </c>
      <c r="AS743" t="s">
        <v>14668</v>
      </c>
      <c r="AT743" t="s">
        <v>14669</v>
      </c>
      <c r="AU743">
        <v>2022</v>
      </c>
      <c r="AV743">
        <v>43</v>
      </c>
      <c r="AW743">
        <v>6</v>
      </c>
      <c r="AX743" t="s">
        <v>74</v>
      </c>
      <c r="AY743" t="s">
        <v>74</v>
      </c>
      <c r="AZ743" t="s">
        <v>74</v>
      </c>
      <c r="BA743" t="s">
        <v>74</v>
      </c>
      <c r="BB743">
        <v>2315</v>
      </c>
      <c r="BC743">
        <v>2333</v>
      </c>
      <c r="BD743" t="s">
        <v>74</v>
      </c>
      <c r="BE743" t="s">
        <v>14670</v>
      </c>
      <c r="BF743" t="str">
        <f>HYPERLINK("http://dx.doi.org/10.1080/01431161.2022.2058894","http://dx.doi.org/10.1080/01431161.2022.2058894")</f>
        <v>http://dx.doi.org/10.1080/01431161.2022.2058894</v>
      </c>
      <c r="BG743" t="s">
        <v>74</v>
      </c>
      <c r="BH743" t="s">
        <v>74</v>
      </c>
      <c r="BI743">
        <v>19</v>
      </c>
      <c r="BJ743" t="s">
        <v>11014</v>
      </c>
      <c r="BK743" t="s">
        <v>101</v>
      </c>
      <c r="BL743" t="s">
        <v>11014</v>
      </c>
      <c r="BM743" t="s">
        <v>14671</v>
      </c>
      <c r="BN743" t="s">
        <v>74</v>
      </c>
      <c r="BO743" t="s">
        <v>74</v>
      </c>
      <c r="BP743" t="s">
        <v>74</v>
      </c>
      <c r="BQ743" t="s">
        <v>74</v>
      </c>
      <c r="BR743" t="s">
        <v>103</v>
      </c>
      <c r="BS743" t="s">
        <v>14672</v>
      </c>
      <c r="BT743" t="str">
        <f>HYPERLINK("https%3A%2F%2Fwww.webofscience.com%2Fwos%2Fwoscc%2Ffull-record%2FWOS:000783337300001","View Full Record in Web of Science")</f>
        <v>View Full Record in Web of Science</v>
      </c>
    </row>
    <row r="744" spans="1:72" x14ac:dyDescent="0.15">
      <c r="A744" t="s">
        <v>72</v>
      </c>
      <c r="B744" t="s">
        <v>14673</v>
      </c>
      <c r="C744" t="s">
        <v>74</v>
      </c>
      <c r="D744" t="s">
        <v>74</v>
      </c>
      <c r="E744" t="s">
        <v>74</v>
      </c>
      <c r="F744" t="s">
        <v>14674</v>
      </c>
      <c r="G744" t="s">
        <v>74</v>
      </c>
      <c r="H744" t="s">
        <v>74</v>
      </c>
      <c r="I744" t="s">
        <v>14675</v>
      </c>
      <c r="J744" t="s">
        <v>14676</v>
      </c>
      <c r="K744" t="s">
        <v>74</v>
      </c>
      <c r="L744" t="s">
        <v>74</v>
      </c>
      <c r="M744" t="s">
        <v>78</v>
      </c>
      <c r="N744" t="s">
        <v>79</v>
      </c>
      <c r="O744" t="s">
        <v>74</v>
      </c>
      <c r="P744" t="s">
        <v>74</v>
      </c>
      <c r="Q744" t="s">
        <v>74</v>
      </c>
      <c r="R744" t="s">
        <v>74</v>
      </c>
      <c r="S744" t="s">
        <v>74</v>
      </c>
      <c r="T744" t="s">
        <v>14677</v>
      </c>
      <c r="U744" t="s">
        <v>14678</v>
      </c>
      <c r="V744" t="s">
        <v>14679</v>
      </c>
      <c r="W744" t="s">
        <v>14680</v>
      </c>
      <c r="X744" t="s">
        <v>14681</v>
      </c>
      <c r="Y744" t="s">
        <v>14682</v>
      </c>
      <c r="Z744" t="s">
        <v>14683</v>
      </c>
      <c r="AA744" t="s">
        <v>14684</v>
      </c>
      <c r="AB744" t="s">
        <v>14685</v>
      </c>
      <c r="AC744" t="s">
        <v>14686</v>
      </c>
      <c r="AD744" t="s">
        <v>14686</v>
      </c>
      <c r="AE744" t="s">
        <v>14687</v>
      </c>
      <c r="AF744" t="s">
        <v>74</v>
      </c>
      <c r="AG744">
        <v>85</v>
      </c>
      <c r="AH744">
        <v>4</v>
      </c>
      <c r="AI744">
        <v>4</v>
      </c>
      <c r="AJ744">
        <v>1</v>
      </c>
      <c r="AK744">
        <v>18</v>
      </c>
      <c r="AL744" t="s">
        <v>530</v>
      </c>
      <c r="AM744" t="s">
        <v>531</v>
      </c>
      <c r="AN744" t="s">
        <v>532</v>
      </c>
      <c r="AO744" t="s">
        <v>14688</v>
      </c>
      <c r="AP744" t="s">
        <v>14689</v>
      </c>
      <c r="AQ744" t="s">
        <v>74</v>
      </c>
      <c r="AR744" t="s">
        <v>14690</v>
      </c>
      <c r="AS744" t="s">
        <v>14691</v>
      </c>
      <c r="AT744" t="s">
        <v>4918</v>
      </c>
      <c r="AU744">
        <v>2022</v>
      </c>
      <c r="AV744">
        <v>45</v>
      </c>
      <c r="AW744">
        <v>7</v>
      </c>
      <c r="AX744" t="s">
        <v>74</v>
      </c>
      <c r="AY744" t="s">
        <v>74</v>
      </c>
      <c r="AZ744" t="s">
        <v>74</v>
      </c>
      <c r="BA744" t="s">
        <v>74</v>
      </c>
      <c r="BB744">
        <v>1909</v>
      </c>
      <c r="BC744">
        <v>1927</v>
      </c>
      <c r="BD744" t="s">
        <v>74</v>
      </c>
      <c r="BE744" t="s">
        <v>14692</v>
      </c>
      <c r="BF744" t="str">
        <f>HYPERLINK("http://dx.doi.org/10.1007/s12237-022-01070-0","http://dx.doi.org/10.1007/s12237-022-01070-0")</f>
        <v>http://dx.doi.org/10.1007/s12237-022-01070-0</v>
      </c>
      <c r="BG744" t="s">
        <v>74</v>
      </c>
      <c r="BH744" t="s">
        <v>12992</v>
      </c>
      <c r="BI744">
        <v>19</v>
      </c>
      <c r="BJ744" t="s">
        <v>563</v>
      </c>
      <c r="BK744" t="s">
        <v>101</v>
      </c>
      <c r="BL744" t="s">
        <v>564</v>
      </c>
      <c r="BM744" t="s">
        <v>14693</v>
      </c>
      <c r="BN744" t="s">
        <v>74</v>
      </c>
      <c r="BO744" t="s">
        <v>74</v>
      </c>
      <c r="BP744" t="s">
        <v>74</v>
      </c>
      <c r="BQ744" t="s">
        <v>74</v>
      </c>
      <c r="BR744" t="s">
        <v>103</v>
      </c>
      <c r="BS744" t="s">
        <v>14694</v>
      </c>
      <c r="BT744" t="str">
        <f>HYPERLINK("https%3A%2F%2Fwww.webofscience.com%2Fwos%2Fwoscc%2Ffull-record%2FWOS:000770735600001","View Full Record in Web of Science")</f>
        <v>View Full Record in Web of Science</v>
      </c>
    </row>
    <row r="745" spans="1:72" x14ac:dyDescent="0.15">
      <c r="A745" t="s">
        <v>72</v>
      </c>
      <c r="B745" t="s">
        <v>14695</v>
      </c>
      <c r="C745" t="s">
        <v>74</v>
      </c>
      <c r="D745" t="s">
        <v>74</v>
      </c>
      <c r="E745" t="s">
        <v>74</v>
      </c>
      <c r="F745" t="s">
        <v>14696</v>
      </c>
      <c r="G745" t="s">
        <v>74</v>
      </c>
      <c r="H745" t="s">
        <v>74</v>
      </c>
      <c r="I745" t="s">
        <v>14697</v>
      </c>
      <c r="J745" t="s">
        <v>14698</v>
      </c>
      <c r="K745" t="s">
        <v>74</v>
      </c>
      <c r="L745" t="s">
        <v>74</v>
      </c>
      <c r="M745" t="s">
        <v>78</v>
      </c>
      <c r="N745" t="s">
        <v>79</v>
      </c>
      <c r="O745" t="s">
        <v>74</v>
      </c>
      <c r="P745" t="s">
        <v>74</v>
      </c>
      <c r="Q745" t="s">
        <v>74</v>
      </c>
      <c r="R745" t="s">
        <v>74</v>
      </c>
      <c r="S745" t="s">
        <v>74</v>
      </c>
      <c r="T745" t="s">
        <v>14699</v>
      </c>
      <c r="U745" t="s">
        <v>74</v>
      </c>
      <c r="V745" t="s">
        <v>14700</v>
      </c>
      <c r="W745" t="s">
        <v>14701</v>
      </c>
      <c r="X745" t="s">
        <v>14702</v>
      </c>
      <c r="Y745" t="s">
        <v>14703</v>
      </c>
      <c r="Z745" t="s">
        <v>14704</v>
      </c>
      <c r="AA745" t="s">
        <v>14705</v>
      </c>
      <c r="AB745" t="s">
        <v>14706</v>
      </c>
      <c r="AC745" t="s">
        <v>14707</v>
      </c>
      <c r="AD745" t="s">
        <v>14708</v>
      </c>
      <c r="AE745" t="s">
        <v>14709</v>
      </c>
      <c r="AF745" t="s">
        <v>74</v>
      </c>
      <c r="AG745">
        <v>17</v>
      </c>
      <c r="AH745">
        <v>1</v>
      </c>
      <c r="AI745">
        <v>1</v>
      </c>
      <c r="AJ745">
        <v>4</v>
      </c>
      <c r="AK745">
        <v>9</v>
      </c>
      <c r="AL745" t="s">
        <v>5485</v>
      </c>
      <c r="AM745" t="s">
        <v>401</v>
      </c>
      <c r="AN745" t="s">
        <v>5486</v>
      </c>
      <c r="AO745" t="s">
        <v>14710</v>
      </c>
      <c r="AP745" t="s">
        <v>14711</v>
      </c>
      <c r="AQ745" t="s">
        <v>74</v>
      </c>
      <c r="AR745" t="s">
        <v>14712</v>
      </c>
      <c r="AS745" t="s">
        <v>14713</v>
      </c>
      <c r="AT745" t="s">
        <v>3234</v>
      </c>
      <c r="AU745">
        <v>2022</v>
      </c>
      <c r="AV745">
        <v>173</v>
      </c>
      <c r="AW745" t="s">
        <v>74</v>
      </c>
      <c r="AX745" t="s">
        <v>74</v>
      </c>
      <c r="AY745" t="s">
        <v>74</v>
      </c>
      <c r="AZ745" t="s">
        <v>74</v>
      </c>
      <c r="BA745" t="s">
        <v>74</v>
      </c>
      <c r="BB745" t="s">
        <v>74</v>
      </c>
      <c r="BC745" t="s">
        <v>74</v>
      </c>
      <c r="BD745">
        <v>108982</v>
      </c>
      <c r="BE745" t="s">
        <v>14714</v>
      </c>
      <c r="BF745" t="str">
        <f>HYPERLINK("http://dx.doi.org/10.1016/j.ymssp.2022.108982","http://dx.doi.org/10.1016/j.ymssp.2022.108982")</f>
        <v>http://dx.doi.org/10.1016/j.ymssp.2022.108982</v>
      </c>
      <c r="BG745" t="s">
        <v>74</v>
      </c>
      <c r="BH745" t="s">
        <v>12992</v>
      </c>
      <c r="BI745">
        <v>12</v>
      </c>
      <c r="BJ745" t="s">
        <v>14715</v>
      </c>
      <c r="BK745" t="s">
        <v>101</v>
      </c>
      <c r="BL745" t="s">
        <v>1289</v>
      </c>
      <c r="BM745" t="s">
        <v>14716</v>
      </c>
      <c r="BN745" t="s">
        <v>74</v>
      </c>
      <c r="BO745" t="s">
        <v>74</v>
      </c>
      <c r="BP745" t="s">
        <v>74</v>
      </c>
      <c r="BQ745" t="s">
        <v>74</v>
      </c>
      <c r="BR745" t="s">
        <v>103</v>
      </c>
      <c r="BS745" t="s">
        <v>14717</v>
      </c>
      <c r="BT745" t="str">
        <f>HYPERLINK("https%3A%2F%2Fwww.webofscience.com%2Fwos%2Fwoscc%2Ffull-record%2FWOS:000793277700004","View Full Record in Web of Science")</f>
        <v>View Full Record in Web of Science</v>
      </c>
    </row>
    <row r="746" spans="1:72" x14ac:dyDescent="0.15">
      <c r="A746" t="s">
        <v>72</v>
      </c>
      <c r="B746" t="s">
        <v>14718</v>
      </c>
      <c r="C746" t="s">
        <v>74</v>
      </c>
      <c r="D746" t="s">
        <v>74</v>
      </c>
      <c r="E746" t="s">
        <v>74</v>
      </c>
      <c r="F746" t="s">
        <v>14719</v>
      </c>
      <c r="G746" t="s">
        <v>74</v>
      </c>
      <c r="H746" t="s">
        <v>74</v>
      </c>
      <c r="I746" t="s">
        <v>14720</v>
      </c>
      <c r="J746" t="s">
        <v>5803</v>
      </c>
      <c r="K746" t="s">
        <v>74</v>
      </c>
      <c r="L746" t="s">
        <v>74</v>
      </c>
      <c r="M746" t="s">
        <v>78</v>
      </c>
      <c r="N746" t="s">
        <v>1385</v>
      </c>
      <c r="O746" t="s">
        <v>74</v>
      </c>
      <c r="P746" t="s">
        <v>74</v>
      </c>
      <c r="Q746" t="s">
        <v>74</v>
      </c>
      <c r="R746" t="s">
        <v>74</v>
      </c>
      <c r="S746" t="s">
        <v>74</v>
      </c>
      <c r="T746" t="s">
        <v>74</v>
      </c>
      <c r="U746" t="s">
        <v>74</v>
      </c>
      <c r="V746" t="s">
        <v>74</v>
      </c>
      <c r="W746" t="s">
        <v>74</v>
      </c>
      <c r="X746" t="s">
        <v>74</v>
      </c>
      <c r="Y746" t="s">
        <v>74</v>
      </c>
      <c r="Z746" t="s">
        <v>74</v>
      </c>
      <c r="AA746" t="s">
        <v>74</v>
      </c>
      <c r="AB746" t="s">
        <v>74</v>
      </c>
      <c r="AC746" t="s">
        <v>74</v>
      </c>
      <c r="AD746" t="s">
        <v>74</v>
      </c>
      <c r="AE746" t="s">
        <v>74</v>
      </c>
      <c r="AF746" t="s">
        <v>74</v>
      </c>
      <c r="AG746">
        <v>0</v>
      </c>
      <c r="AH746">
        <v>0</v>
      </c>
      <c r="AI746">
        <v>0</v>
      </c>
      <c r="AJ746">
        <v>0</v>
      </c>
      <c r="AK746">
        <v>0</v>
      </c>
      <c r="AL746" t="s">
        <v>5815</v>
      </c>
      <c r="AM746" t="s">
        <v>2043</v>
      </c>
      <c r="AN746" t="s">
        <v>5816</v>
      </c>
      <c r="AO746" t="s">
        <v>5817</v>
      </c>
      <c r="AP746" t="s">
        <v>5818</v>
      </c>
      <c r="AQ746" t="s">
        <v>74</v>
      </c>
      <c r="AR746" t="s">
        <v>5803</v>
      </c>
      <c r="AS746" t="s">
        <v>5819</v>
      </c>
      <c r="AT746" t="s">
        <v>14721</v>
      </c>
      <c r="AU746">
        <v>2022</v>
      </c>
      <c r="AV746">
        <v>375</v>
      </c>
      <c r="AW746">
        <v>6586</v>
      </c>
      <c r="AX746" t="s">
        <v>74</v>
      </c>
      <c r="AY746" t="s">
        <v>74</v>
      </c>
      <c r="AZ746" t="s">
        <v>74</v>
      </c>
      <c r="BA746" t="s">
        <v>74</v>
      </c>
      <c r="BB746">
        <v>1206</v>
      </c>
      <c r="BC746">
        <v>1207</v>
      </c>
      <c r="BD746" t="s">
        <v>74</v>
      </c>
      <c r="BE746" t="s">
        <v>74</v>
      </c>
      <c r="BF746" t="s">
        <v>74</v>
      </c>
      <c r="BG746" t="s">
        <v>74</v>
      </c>
      <c r="BH746" t="s">
        <v>74</v>
      </c>
      <c r="BI746">
        <v>2</v>
      </c>
      <c r="BJ746" t="s">
        <v>657</v>
      </c>
      <c r="BK746" t="s">
        <v>101</v>
      </c>
      <c r="BL746" t="s">
        <v>658</v>
      </c>
      <c r="BM746" t="s">
        <v>14722</v>
      </c>
      <c r="BN746" t="s">
        <v>74</v>
      </c>
      <c r="BO746" t="s">
        <v>74</v>
      </c>
      <c r="BP746" t="s">
        <v>74</v>
      </c>
      <c r="BQ746" t="s">
        <v>74</v>
      </c>
      <c r="BR746" t="s">
        <v>103</v>
      </c>
      <c r="BS746" t="s">
        <v>14723</v>
      </c>
      <c r="BT746" t="str">
        <f>HYPERLINK("https%3A%2F%2Fwww.webofscience.com%2Fwos%2Fwoscc%2Ffull-record%2FWOS:000770386600003","View Full Record in Web of Science")</f>
        <v>View Full Record in Web of Science</v>
      </c>
    </row>
    <row r="747" spans="1:72" x14ac:dyDescent="0.15">
      <c r="A747" t="s">
        <v>72</v>
      </c>
      <c r="B747" t="s">
        <v>14724</v>
      </c>
      <c r="C747" t="s">
        <v>74</v>
      </c>
      <c r="D747" t="s">
        <v>74</v>
      </c>
      <c r="E747" t="s">
        <v>74</v>
      </c>
      <c r="F747" t="s">
        <v>14725</v>
      </c>
      <c r="G747" t="s">
        <v>74</v>
      </c>
      <c r="H747" t="s">
        <v>74</v>
      </c>
      <c r="I747" t="s">
        <v>14726</v>
      </c>
      <c r="J747" t="s">
        <v>14727</v>
      </c>
      <c r="K747" t="s">
        <v>74</v>
      </c>
      <c r="L747" t="s">
        <v>74</v>
      </c>
      <c r="M747" t="s">
        <v>78</v>
      </c>
      <c r="N747" t="s">
        <v>79</v>
      </c>
      <c r="O747" t="s">
        <v>74</v>
      </c>
      <c r="P747" t="s">
        <v>74</v>
      </c>
      <c r="Q747" t="s">
        <v>74</v>
      </c>
      <c r="R747" t="s">
        <v>74</v>
      </c>
      <c r="S747" t="s">
        <v>74</v>
      </c>
      <c r="T747" t="s">
        <v>74</v>
      </c>
      <c r="U747" t="s">
        <v>14728</v>
      </c>
      <c r="V747" t="s">
        <v>14729</v>
      </c>
      <c r="W747" t="s">
        <v>14730</v>
      </c>
      <c r="X747" t="s">
        <v>14731</v>
      </c>
      <c r="Y747" t="s">
        <v>14732</v>
      </c>
      <c r="Z747" t="s">
        <v>14733</v>
      </c>
      <c r="AA747" t="s">
        <v>74</v>
      </c>
      <c r="AB747" t="s">
        <v>14734</v>
      </c>
      <c r="AC747" t="s">
        <v>14735</v>
      </c>
      <c r="AD747" t="s">
        <v>14736</v>
      </c>
      <c r="AE747" t="s">
        <v>14737</v>
      </c>
      <c r="AF747" t="s">
        <v>74</v>
      </c>
      <c r="AG747">
        <v>90</v>
      </c>
      <c r="AH747">
        <v>17</v>
      </c>
      <c r="AI747">
        <v>17</v>
      </c>
      <c r="AJ747">
        <v>2</v>
      </c>
      <c r="AK747">
        <v>11</v>
      </c>
      <c r="AL747" t="s">
        <v>455</v>
      </c>
      <c r="AM747" t="s">
        <v>456</v>
      </c>
      <c r="AN747" t="s">
        <v>457</v>
      </c>
      <c r="AO747" t="s">
        <v>14738</v>
      </c>
      <c r="AP747" t="s">
        <v>74</v>
      </c>
      <c r="AQ747" t="s">
        <v>74</v>
      </c>
      <c r="AR747" t="s">
        <v>14739</v>
      </c>
      <c r="AS747" t="s">
        <v>14740</v>
      </c>
      <c r="AT747" t="s">
        <v>14721</v>
      </c>
      <c r="AU747">
        <v>2022</v>
      </c>
      <c r="AV747">
        <v>5</v>
      </c>
      <c r="AW747">
        <v>1</v>
      </c>
      <c r="AX747" t="s">
        <v>74</v>
      </c>
      <c r="AY747" t="s">
        <v>74</v>
      </c>
      <c r="AZ747" t="s">
        <v>74</v>
      </c>
      <c r="BA747" t="s">
        <v>74</v>
      </c>
      <c r="BB747" t="s">
        <v>74</v>
      </c>
      <c r="BC747" t="s">
        <v>74</v>
      </c>
      <c r="BD747">
        <v>19</v>
      </c>
      <c r="BE747" t="s">
        <v>14741</v>
      </c>
      <c r="BF747" t="str">
        <f>HYPERLINK("http://dx.doi.org/10.1038/s41612-022-00243-9","http://dx.doi.org/10.1038/s41612-022-00243-9")</f>
        <v>http://dx.doi.org/10.1038/s41612-022-00243-9</v>
      </c>
      <c r="BG747" t="s">
        <v>74</v>
      </c>
      <c r="BH747" t="s">
        <v>74</v>
      </c>
      <c r="BI747">
        <v>15</v>
      </c>
      <c r="BJ747" t="s">
        <v>510</v>
      </c>
      <c r="BK747" t="s">
        <v>101</v>
      </c>
      <c r="BL747" t="s">
        <v>510</v>
      </c>
      <c r="BM747" t="s">
        <v>14742</v>
      </c>
      <c r="BN747" t="s">
        <v>74</v>
      </c>
      <c r="BO747" t="s">
        <v>5612</v>
      </c>
      <c r="BP747" t="s">
        <v>74</v>
      </c>
      <c r="BQ747" t="s">
        <v>74</v>
      </c>
      <c r="BR747" t="s">
        <v>103</v>
      </c>
      <c r="BS747" t="s">
        <v>14743</v>
      </c>
      <c r="BT747" t="str">
        <f>HYPERLINK("https%3A%2F%2Fwww.webofscience.com%2Fwos%2Fwoscc%2Ffull-record%2FWOS:000770631300001","View Full Record in Web of Science")</f>
        <v>View Full Record in Web of Science</v>
      </c>
    </row>
    <row r="748" spans="1:72" x14ac:dyDescent="0.15">
      <c r="A748" t="s">
        <v>72</v>
      </c>
      <c r="B748" t="s">
        <v>14744</v>
      </c>
      <c r="C748" t="s">
        <v>74</v>
      </c>
      <c r="D748" t="s">
        <v>74</v>
      </c>
      <c r="E748" t="s">
        <v>74</v>
      </c>
      <c r="F748" t="s">
        <v>14745</v>
      </c>
      <c r="G748" t="s">
        <v>74</v>
      </c>
      <c r="H748" t="s">
        <v>74</v>
      </c>
      <c r="I748" t="s">
        <v>14746</v>
      </c>
      <c r="J748" t="s">
        <v>14747</v>
      </c>
      <c r="K748" t="s">
        <v>74</v>
      </c>
      <c r="L748" t="s">
        <v>74</v>
      </c>
      <c r="M748" t="s">
        <v>78</v>
      </c>
      <c r="N748" t="s">
        <v>79</v>
      </c>
      <c r="O748" t="s">
        <v>74</v>
      </c>
      <c r="P748" t="s">
        <v>74</v>
      </c>
      <c r="Q748" t="s">
        <v>74</v>
      </c>
      <c r="R748" t="s">
        <v>74</v>
      </c>
      <c r="S748" t="s">
        <v>74</v>
      </c>
      <c r="T748" t="s">
        <v>14748</v>
      </c>
      <c r="U748" t="s">
        <v>14749</v>
      </c>
      <c r="V748" t="s">
        <v>14750</v>
      </c>
      <c r="W748" t="s">
        <v>14751</v>
      </c>
      <c r="X748" t="s">
        <v>14752</v>
      </c>
      <c r="Y748" t="s">
        <v>14753</v>
      </c>
      <c r="Z748" t="s">
        <v>14754</v>
      </c>
      <c r="AA748" t="s">
        <v>74</v>
      </c>
      <c r="AB748" t="s">
        <v>74</v>
      </c>
      <c r="AC748" t="s">
        <v>74</v>
      </c>
      <c r="AD748" t="s">
        <v>74</v>
      </c>
      <c r="AE748" t="s">
        <v>74</v>
      </c>
      <c r="AF748" t="s">
        <v>74</v>
      </c>
      <c r="AG748">
        <v>70</v>
      </c>
      <c r="AH748">
        <v>0</v>
      </c>
      <c r="AI748">
        <v>0</v>
      </c>
      <c r="AJ748">
        <v>1</v>
      </c>
      <c r="AK748">
        <v>2</v>
      </c>
      <c r="AL748" t="s">
        <v>257</v>
      </c>
      <c r="AM748" t="s">
        <v>258</v>
      </c>
      <c r="AN748" t="s">
        <v>259</v>
      </c>
      <c r="AO748" t="s">
        <v>14755</v>
      </c>
      <c r="AP748" t="s">
        <v>74</v>
      </c>
      <c r="AQ748" t="s">
        <v>74</v>
      </c>
      <c r="AR748" t="s">
        <v>14756</v>
      </c>
      <c r="AS748" t="s">
        <v>14757</v>
      </c>
      <c r="AT748" t="s">
        <v>8316</v>
      </c>
      <c r="AU748">
        <v>2022</v>
      </c>
      <c r="AV748">
        <v>42</v>
      </c>
      <c r="AW748" t="s">
        <v>74</v>
      </c>
      <c r="AX748" t="s">
        <v>74</v>
      </c>
      <c r="AY748" t="s">
        <v>74</v>
      </c>
      <c r="AZ748" t="s">
        <v>74</v>
      </c>
      <c r="BA748" t="s">
        <v>74</v>
      </c>
      <c r="BB748" t="s">
        <v>74</v>
      </c>
      <c r="BC748" t="s">
        <v>74</v>
      </c>
      <c r="BD748">
        <v>103409</v>
      </c>
      <c r="BE748" t="s">
        <v>14758</v>
      </c>
      <c r="BF748" t="str">
        <f>HYPERLINK("http://dx.doi.org/10.1016/j.jasrep.2022.103409","http://dx.doi.org/10.1016/j.jasrep.2022.103409")</f>
        <v>http://dx.doi.org/10.1016/j.jasrep.2022.103409</v>
      </c>
      <c r="BG748" t="s">
        <v>74</v>
      </c>
      <c r="BH748" t="s">
        <v>12992</v>
      </c>
      <c r="BI748">
        <v>11</v>
      </c>
      <c r="BJ748" t="s">
        <v>14759</v>
      </c>
      <c r="BK748" t="s">
        <v>12782</v>
      </c>
      <c r="BL748" t="s">
        <v>14759</v>
      </c>
      <c r="BM748" t="s">
        <v>14760</v>
      </c>
      <c r="BN748" t="s">
        <v>74</v>
      </c>
      <c r="BO748" t="s">
        <v>74</v>
      </c>
      <c r="BP748" t="s">
        <v>74</v>
      </c>
      <c r="BQ748" t="s">
        <v>74</v>
      </c>
      <c r="BR748" t="s">
        <v>103</v>
      </c>
      <c r="BS748" t="s">
        <v>14761</v>
      </c>
      <c r="BT748" t="str">
        <f>HYPERLINK("https%3A%2F%2Fwww.webofscience.com%2Fwos%2Fwoscc%2Ffull-record%2FWOS:000806385300001","View Full Record in Web of Science")</f>
        <v>View Full Record in Web of Science</v>
      </c>
    </row>
    <row r="749" spans="1:72" x14ac:dyDescent="0.15">
      <c r="A749" t="s">
        <v>72</v>
      </c>
      <c r="B749" t="s">
        <v>14762</v>
      </c>
      <c r="C749" t="s">
        <v>74</v>
      </c>
      <c r="D749" t="s">
        <v>74</v>
      </c>
      <c r="E749" t="s">
        <v>74</v>
      </c>
      <c r="F749" t="s">
        <v>14763</v>
      </c>
      <c r="G749" t="s">
        <v>74</v>
      </c>
      <c r="H749" t="s">
        <v>74</v>
      </c>
      <c r="I749" t="s">
        <v>14764</v>
      </c>
      <c r="J749" t="s">
        <v>3612</v>
      </c>
      <c r="K749" t="s">
        <v>74</v>
      </c>
      <c r="L749" t="s">
        <v>74</v>
      </c>
      <c r="M749" t="s">
        <v>78</v>
      </c>
      <c r="N749" t="s">
        <v>79</v>
      </c>
      <c r="O749" t="s">
        <v>74</v>
      </c>
      <c r="P749" t="s">
        <v>74</v>
      </c>
      <c r="Q749" t="s">
        <v>74</v>
      </c>
      <c r="R749" t="s">
        <v>74</v>
      </c>
      <c r="S749" t="s">
        <v>74</v>
      </c>
      <c r="T749" t="s">
        <v>14765</v>
      </c>
      <c r="U749" t="s">
        <v>14766</v>
      </c>
      <c r="V749" t="s">
        <v>14767</v>
      </c>
      <c r="W749" t="s">
        <v>14768</v>
      </c>
      <c r="X749" t="s">
        <v>14769</v>
      </c>
      <c r="Y749" t="s">
        <v>14770</v>
      </c>
      <c r="Z749" t="s">
        <v>14771</v>
      </c>
      <c r="AA749" t="s">
        <v>14772</v>
      </c>
      <c r="AB749" t="s">
        <v>14773</v>
      </c>
      <c r="AC749" t="s">
        <v>14774</v>
      </c>
      <c r="AD749" t="s">
        <v>14774</v>
      </c>
      <c r="AE749" t="s">
        <v>14775</v>
      </c>
      <c r="AF749" t="s">
        <v>74</v>
      </c>
      <c r="AG749">
        <v>79</v>
      </c>
      <c r="AH749">
        <v>1</v>
      </c>
      <c r="AI749">
        <v>1</v>
      </c>
      <c r="AJ749">
        <v>1</v>
      </c>
      <c r="AK749">
        <v>11</v>
      </c>
      <c r="AL749" t="s">
        <v>257</v>
      </c>
      <c r="AM749" t="s">
        <v>258</v>
      </c>
      <c r="AN749" t="s">
        <v>259</v>
      </c>
      <c r="AO749" t="s">
        <v>3625</v>
      </c>
      <c r="AP749" t="s">
        <v>3626</v>
      </c>
      <c r="AQ749" t="s">
        <v>74</v>
      </c>
      <c r="AR749" t="s">
        <v>3627</v>
      </c>
      <c r="AS749" t="s">
        <v>3628</v>
      </c>
      <c r="AT749" t="s">
        <v>537</v>
      </c>
      <c r="AU749">
        <v>2022</v>
      </c>
      <c r="AV749">
        <v>551</v>
      </c>
      <c r="AW749" t="s">
        <v>74</v>
      </c>
      <c r="AX749" t="s">
        <v>74</v>
      </c>
      <c r="AY749" t="s">
        <v>74</v>
      </c>
      <c r="AZ749" t="s">
        <v>74</v>
      </c>
      <c r="BA749" t="s">
        <v>74</v>
      </c>
      <c r="BB749" t="s">
        <v>74</v>
      </c>
      <c r="BC749" t="s">
        <v>74</v>
      </c>
      <c r="BD749">
        <v>151720</v>
      </c>
      <c r="BE749" t="s">
        <v>14776</v>
      </c>
      <c r="BF749" t="str">
        <f>HYPERLINK("http://dx.doi.org/10.1016/j.jembe.2022.151720","http://dx.doi.org/10.1016/j.jembe.2022.151720")</f>
        <v>http://dx.doi.org/10.1016/j.jembe.2022.151720</v>
      </c>
      <c r="BG749" t="s">
        <v>74</v>
      </c>
      <c r="BH749" t="s">
        <v>12992</v>
      </c>
      <c r="BI749">
        <v>10</v>
      </c>
      <c r="BJ749" t="s">
        <v>3630</v>
      </c>
      <c r="BK749" t="s">
        <v>101</v>
      </c>
      <c r="BL749" t="s">
        <v>564</v>
      </c>
      <c r="BM749" t="s">
        <v>14777</v>
      </c>
      <c r="BN749" t="s">
        <v>74</v>
      </c>
      <c r="BO749" t="s">
        <v>986</v>
      </c>
      <c r="BP749" t="s">
        <v>74</v>
      </c>
      <c r="BQ749" t="s">
        <v>74</v>
      </c>
      <c r="BR749" t="s">
        <v>103</v>
      </c>
      <c r="BS749" t="s">
        <v>14778</v>
      </c>
      <c r="BT749" t="str">
        <f>HYPERLINK("https%3A%2F%2Fwww.webofscience.com%2Fwos%2Fwoscc%2Ffull-record%2FWOS:000793047900002","View Full Record in Web of Science")</f>
        <v>View Full Record in Web of Science</v>
      </c>
    </row>
    <row r="750" spans="1:72" x14ac:dyDescent="0.15">
      <c r="A750" t="s">
        <v>72</v>
      </c>
      <c r="B750" t="s">
        <v>14779</v>
      </c>
      <c r="C750" t="s">
        <v>74</v>
      </c>
      <c r="D750" t="s">
        <v>74</v>
      </c>
      <c r="E750" t="s">
        <v>74</v>
      </c>
      <c r="F750" t="s">
        <v>14780</v>
      </c>
      <c r="G750" t="s">
        <v>74</v>
      </c>
      <c r="H750" t="s">
        <v>74</v>
      </c>
      <c r="I750" t="s">
        <v>14781</v>
      </c>
      <c r="J750" t="s">
        <v>14782</v>
      </c>
      <c r="K750" t="s">
        <v>74</v>
      </c>
      <c r="L750" t="s">
        <v>74</v>
      </c>
      <c r="M750" t="s">
        <v>78</v>
      </c>
      <c r="N750" t="s">
        <v>79</v>
      </c>
      <c r="O750" t="s">
        <v>74</v>
      </c>
      <c r="P750" t="s">
        <v>74</v>
      </c>
      <c r="Q750" t="s">
        <v>74</v>
      </c>
      <c r="R750" t="s">
        <v>74</v>
      </c>
      <c r="S750" t="s">
        <v>74</v>
      </c>
      <c r="T750" t="s">
        <v>14783</v>
      </c>
      <c r="U750" t="s">
        <v>14784</v>
      </c>
      <c r="V750" t="s">
        <v>14785</v>
      </c>
      <c r="W750" t="s">
        <v>14786</v>
      </c>
      <c r="X750" t="s">
        <v>14787</v>
      </c>
      <c r="Y750" t="s">
        <v>14788</v>
      </c>
      <c r="Z750" t="s">
        <v>14789</v>
      </c>
      <c r="AA750" t="s">
        <v>14790</v>
      </c>
      <c r="AB750" t="s">
        <v>14791</v>
      </c>
      <c r="AC750" t="s">
        <v>14792</v>
      </c>
      <c r="AD750" t="s">
        <v>14793</v>
      </c>
      <c r="AE750" t="s">
        <v>14794</v>
      </c>
      <c r="AF750" t="s">
        <v>74</v>
      </c>
      <c r="AG750">
        <v>40</v>
      </c>
      <c r="AH750">
        <v>4</v>
      </c>
      <c r="AI750">
        <v>5</v>
      </c>
      <c r="AJ750">
        <v>6</v>
      </c>
      <c r="AK750">
        <v>24</v>
      </c>
      <c r="AL750" t="s">
        <v>199</v>
      </c>
      <c r="AM750" t="s">
        <v>200</v>
      </c>
      <c r="AN750" t="s">
        <v>201</v>
      </c>
      <c r="AO750" t="s">
        <v>14795</v>
      </c>
      <c r="AP750" t="s">
        <v>14796</v>
      </c>
      <c r="AQ750" t="s">
        <v>74</v>
      </c>
      <c r="AR750" t="s">
        <v>14797</v>
      </c>
      <c r="AS750" t="s">
        <v>14798</v>
      </c>
      <c r="AT750" t="s">
        <v>7628</v>
      </c>
      <c r="AU750">
        <v>2022</v>
      </c>
      <c r="AV750">
        <v>276</v>
      </c>
      <c r="AW750" t="s">
        <v>74</v>
      </c>
      <c r="AX750" t="s">
        <v>74</v>
      </c>
      <c r="AY750" t="s">
        <v>74</v>
      </c>
      <c r="AZ750" t="s">
        <v>74</v>
      </c>
      <c r="BA750" t="s">
        <v>74</v>
      </c>
      <c r="BB750" t="s">
        <v>74</v>
      </c>
      <c r="BC750" t="s">
        <v>74</v>
      </c>
      <c r="BD750">
        <v>119002</v>
      </c>
      <c r="BE750" t="s">
        <v>14799</v>
      </c>
      <c r="BF750" t="str">
        <f>HYPERLINK("http://dx.doi.org/10.1016/j.atmosenv.2022.119002","http://dx.doi.org/10.1016/j.atmosenv.2022.119002")</f>
        <v>http://dx.doi.org/10.1016/j.atmosenv.2022.119002</v>
      </c>
      <c r="BG750" t="s">
        <v>74</v>
      </c>
      <c r="BH750" t="s">
        <v>12992</v>
      </c>
      <c r="BI750">
        <v>11</v>
      </c>
      <c r="BJ750" t="s">
        <v>1797</v>
      </c>
      <c r="BK750" t="s">
        <v>101</v>
      </c>
      <c r="BL750" t="s">
        <v>957</v>
      </c>
      <c r="BM750" t="s">
        <v>14800</v>
      </c>
      <c r="BN750" t="s">
        <v>74</v>
      </c>
      <c r="BO750" t="s">
        <v>267</v>
      </c>
      <c r="BP750" t="s">
        <v>74</v>
      </c>
      <c r="BQ750" t="s">
        <v>74</v>
      </c>
      <c r="BR750" t="s">
        <v>103</v>
      </c>
      <c r="BS750" t="s">
        <v>14801</v>
      </c>
      <c r="BT750" t="str">
        <f>HYPERLINK("https%3A%2F%2Fwww.webofscience.com%2Fwos%2Fwoscc%2Ffull-record%2FWOS:000793043900002","View Full Record in Web of Science")</f>
        <v>View Full Record in Web of Science</v>
      </c>
    </row>
    <row r="751" spans="1:72" x14ac:dyDescent="0.15">
      <c r="A751" t="s">
        <v>72</v>
      </c>
      <c r="B751" t="s">
        <v>14802</v>
      </c>
      <c r="C751" t="s">
        <v>74</v>
      </c>
      <c r="D751" t="s">
        <v>74</v>
      </c>
      <c r="E751" t="s">
        <v>74</v>
      </c>
      <c r="F751" t="s">
        <v>14803</v>
      </c>
      <c r="G751" t="s">
        <v>74</v>
      </c>
      <c r="H751" t="s">
        <v>74</v>
      </c>
      <c r="I751" t="s">
        <v>14804</v>
      </c>
      <c r="J751" t="s">
        <v>14805</v>
      </c>
      <c r="K751" t="s">
        <v>74</v>
      </c>
      <c r="L751" t="s">
        <v>74</v>
      </c>
      <c r="M751" t="s">
        <v>78</v>
      </c>
      <c r="N751" t="s">
        <v>79</v>
      </c>
      <c r="O751" t="s">
        <v>74</v>
      </c>
      <c r="P751" t="s">
        <v>74</v>
      </c>
      <c r="Q751" t="s">
        <v>74</v>
      </c>
      <c r="R751" t="s">
        <v>74</v>
      </c>
      <c r="S751" t="s">
        <v>74</v>
      </c>
      <c r="T751" t="s">
        <v>14806</v>
      </c>
      <c r="U751" t="s">
        <v>14807</v>
      </c>
      <c r="V751" t="s">
        <v>14808</v>
      </c>
      <c r="W751" t="s">
        <v>14809</v>
      </c>
      <c r="X751" t="s">
        <v>14810</v>
      </c>
      <c r="Y751" t="s">
        <v>14811</v>
      </c>
      <c r="Z751" t="s">
        <v>14812</v>
      </c>
      <c r="AA751" t="s">
        <v>74</v>
      </c>
      <c r="AB751" t="s">
        <v>14813</v>
      </c>
      <c r="AC751" t="s">
        <v>14814</v>
      </c>
      <c r="AD751" t="s">
        <v>13929</v>
      </c>
      <c r="AE751" t="s">
        <v>14815</v>
      </c>
      <c r="AF751" t="s">
        <v>74</v>
      </c>
      <c r="AG751">
        <v>36</v>
      </c>
      <c r="AH751">
        <v>5</v>
      </c>
      <c r="AI751">
        <v>7</v>
      </c>
      <c r="AJ751">
        <v>11</v>
      </c>
      <c r="AK751">
        <v>26</v>
      </c>
      <c r="AL751" t="s">
        <v>257</v>
      </c>
      <c r="AM751" t="s">
        <v>258</v>
      </c>
      <c r="AN751" t="s">
        <v>259</v>
      </c>
      <c r="AO751" t="s">
        <v>14816</v>
      </c>
      <c r="AP751" t="s">
        <v>14817</v>
      </c>
      <c r="AQ751" t="s">
        <v>74</v>
      </c>
      <c r="AR751" t="s">
        <v>14818</v>
      </c>
      <c r="AS751" t="s">
        <v>14819</v>
      </c>
      <c r="AT751" t="s">
        <v>7628</v>
      </c>
      <c r="AU751">
        <v>2022</v>
      </c>
      <c r="AV751">
        <v>161</v>
      </c>
      <c r="AW751" t="s">
        <v>74</v>
      </c>
      <c r="AX751" t="s">
        <v>74</v>
      </c>
      <c r="AY751" t="s">
        <v>74</v>
      </c>
      <c r="AZ751" t="s">
        <v>74</v>
      </c>
      <c r="BA751" t="s">
        <v>74</v>
      </c>
      <c r="BB751" t="s">
        <v>74</v>
      </c>
      <c r="BC751" t="s">
        <v>74</v>
      </c>
      <c r="BD751">
        <v>113355</v>
      </c>
      <c r="BE751" t="s">
        <v>14820</v>
      </c>
      <c r="BF751" t="str">
        <f>HYPERLINK("http://dx.doi.org/10.1016/j.lwt.2022.113355","http://dx.doi.org/10.1016/j.lwt.2022.113355")</f>
        <v>http://dx.doi.org/10.1016/j.lwt.2022.113355</v>
      </c>
      <c r="BG751" t="s">
        <v>74</v>
      </c>
      <c r="BH751" t="s">
        <v>12992</v>
      </c>
      <c r="BI751">
        <v>11</v>
      </c>
      <c r="BJ751" t="s">
        <v>774</v>
      </c>
      <c r="BK751" t="s">
        <v>101</v>
      </c>
      <c r="BL751" t="s">
        <v>774</v>
      </c>
      <c r="BM751" t="s">
        <v>14821</v>
      </c>
      <c r="BN751" t="s">
        <v>74</v>
      </c>
      <c r="BO751" t="s">
        <v>438</v>
      </c>
      <c r="BP751" t="s">
        <v>74</v>
      </c>
      <c r="BQ751" t="s">
        <v>74</v>
      </c>
      <c r="BR751" t="s">
        <v>103</v>
      </c>
      <c r="BS751" t="s">
        <v>14822</v>
      </c>
      <c r="BT751" t="str">
        <f>HYPERLINK("https%3A%2F%2Fwww.webofscience.com%2Fwos%2Fwoscc%2Ffull-record%2FWOS:000788755300003","View Full Record in Web of Science")</f>
        <v>View Full Record in Web of Science</v>
      </c>
    </row>
    <row r="752" spans="1:72" x14ac:dyDescent="0.15">
      <c r="A752" t="s">
        <v>72</v>
      </c>
      <c r="B752" t="s">
        <v>14823</v>
      </c>
      <c r="C752" t="s">
        <v>74</v>
      </c>
      <c r="D752" t="s">
        <v>74</v>
      </c>
      <c r="E752" t="s">
        <v>74</v>
      </c>
      <c r="F752" t="s">
        <v>14824</v>
      </c>
      <c r="G752" t="s">
        <v>74</v>
      </c>
      <c r="H752" t="s">
        <v>74</v>
      </c>
      <c r="I752" t="s">
        <v>14825</v>
      </c>
      <c r="J752" t="s">
        <v>272</v>
      </c>
      <c r="K752" t="s">
        <v>74</v>
      </c>
      <c r="L752" t="s">
        <v>74</v>
      </c>
      <c r="M752" t="s">
        <v>78</v>
      </c>
      <c r="N752" t="s">
        <v>79</v>
      </c>
      <c r="O752" t="s">
        <v>74</v>
      </c>
      <c r="P752" t="s">
        <v>74</v>
      </c>
      <c r="Q752" t="s">
        <v>74</v>
      </c>
      <c r="R752" t="s">
        <v>74</v>
      </c>
      <c r="S752" t="s">
        <v>74</v>
      </c>
      <c r="T752" t="s">
        <v>14826</v>
      </c>
      <c r="U752" t="s">
        <v>14827</v>
      </c>
      <c r="V752" t="s">
        <v>14828</v>
      </c>
      <c r="W752" t="s">
        <v>14829</v>
      </c>
      <c r="X752" t="s">
        <v>14830</v>
      </c>
      <c r="Y752" t="s">
        <v>14831</v>
      </c>
      <c r="Z752" t="s">
        <v>14832</v>
      </c>
      <c r="AA752" t="s">
        <v>14833</v>
      </c>
      <c r="AB752" t="s">
        <v>14834</v>
      </c>
      <c r="AC752" t="s">
        <v>14835</v>
      </c>
      <c r="AD752" t="s">
        <v>14836</v>
      </c>
      <c r="AE752" t="s">
        <v>14837</v>
      </c>
      <c r="AF752" t="s">
        <v>74</v>
      </c>
      <c r="AG752">
        <v>110</v>
      </c>
      <c r="AH752">
        <v>11</v>
      </c>
      <c r="AI752">
        <v>11</v>
      </c>
      <c r="AJ752">
        <v>11</v>
      </c>
      <c r="AK752">
        <v>65</v>
      </c>
      <c r="AL752" t="s">
        <v>285</v>
      </c>
      <c r="AM752" t="s">
        <v>286</v>
      </c>
      <c r="AN752" t="s">
        <v>287</v>
      </c>
      <c r="AO752" t="s">
        <v>74</v>
      </c>
      <c r="AP752" t="s">
        <v>288</v>
      </c>
      <c r="AQ752" t="s">
        <v>74</v>
      </c>
      <c r="AR752" t="s">
        <v>289</v>
      </c>
      <c r="AS752" t="s">
        <v>290</v>
      </c>
      <c r="AT752" t="s">
        <v>14838</v>
      </c>
      <c r="AU752">
        <v>2022</v>
      </c>
      <c r="AV752">
        <v>13</v>
      </c>
      <c r="AW752" t="s">
        <v>74</v>
      </c>
      <c r="AX752" t="s">
        <v>74</v>
      </c>
      <c r="AY752" t="s">
        <v>74</v>
      </c>
      <c r="AZ752" t="s">
        <v>74</v>
      </c>
      <c r="BA752" t="s">
        <v>74</v>
      </c>
      <c r="BB752" t="s">
        <v>74</v>
      </c>
      <c r="BC752" t="s">
        <v>74</v>
      </c>
      <c r="BD752">
        <v>822552</v>
      </c>
      <c r="BE752" t="s">
        <v>14839</v>
      </c>
      <c r="BF752" t="str">
        <f>HYPERLINK("http://dx.doi.org/10.3389/fmicb.2022.822552","http://dx.doi.org/10.3389/fmicb.2022.822552")</f>
        <v>http://dx.doi.org/10.3389/fmicb.2022.822552</v>
      </c>
      <c r="BG752" t="s">
        <v>74</v>
      </c>
      <c r="BH752" t="s">
        <v>74</v>
      </c>
      <c r="BI752">
        <v>16</v>
      </c>
      <c r="BJ752" t="s">
        <v>293</v>
      </c>
      <c r="BK752" t="s">
        <v>101</v>
      </c>
      <c r="BL752" t="s">
        <v>293</v>
      </c>
      <c r="BM752" t="s">
        <v>14840</v>
      </c>
      <c r="BN752">
        <v>35369426</v>
      </c>
      <c r="BO752" t="s">
        <v>1533</v>
      </c>
      <c r="BP752" t="s">
        <v>74</v>
      </c>
      <c r="BQ752" t="s">
        <v>74</v>
      </c>
      <c r="BR752" t="s">
        <v>103</v>
      </c>
      <c r="BS752" t="s">
        <v>14841</v>
      </c>
      <c r="BT752" t="str">
        <f>HYPERLINK("https%3A%2F%2Fwww.webofscience.com%2Fwos%2Fwoscc%2Ffull-record%2FWOS:000779074800001","View Full Record in Web of Science")</f>
        <v>View Full Record in Web of Science</v>
      </c>
    </row>
    <row r="753" spans="1:72" x14ac:dyDescent="0.15">
      <c r="A753" t="s">
        <v>72</v>
      </c>
      <c r="B753" t="s">
        <v>14842</v>
      </c>
      <c r="C753" t="s">
        <v>74</v>
      </c>
      <c r="D753" t="s">
        <v>74</v>
      </c>
      <c r="E753" t="s">
        <v>74</v>
      </c>
      <c r="F753" t="s">
        <v>14843</v>
      </c>
      <c r="G753" t="s">
        <v>74</v>
      </c>
      <c r="H753" t="s">
        <v>74</v>
      </c>
      <c r="I753" t="s">
        <v>14844</v>
      </c>
      <c r="J753" t="s">
        <v>14845</v>
      </c>
      <c r="K753" t="s">
        <v>74</v>
      </c>
      <c r="L753" t="s">
        <v>74</v>
      </c>
      <c r="M753" t="s">
        <v>78</v>
      </c>
      <c r="N753" t="s">
        <v>79</v>
      </c>
      <c r="O753" t="s">
        <v>74</v>
      </c>
      <c r="P753" t="s">
        <v>74</v>
      </c>
      <c r="Q753" t="s">
        <v>74</v>
      </c>
      <c r="R753" t="s">
        <v>74</v>
      </c>
      <c r="S753" t="s">
        <v>74</v>
      </c>
      <c r="T753" t="s">
        <v>14846</v>
      </c>
      <c r="U753" t="s">
        <v>14847</v>
      </c>
      <c r="V753" t="s">
        <v>14848</v>
      </c>
      <c r="W753" t="s">
        <v>14849</v>
      </c>
      <c r="X753" t="s">
        <v>14850</v>
      </c>
      <c r="Y753" t="s">
        <v>11404</v>
      </c>
      <c r="Z753" t="s">
        <v>11405</v>
      </c>
      <c r="AA753" t="s">
        <v>14851</v>
      </c>
      <c r="AB753" t="s">
        <v>14852</v>
      </c>
      <c r="AC753" t="s">
        <v>74</v>
      </c>
      <c r="AD753" t="s">
        <v>74</v>
      </c>
      <c r="AE753" t="s">
        <v>74</v>
      </c>
      <c r="AF753" t="s">
        <v>74</v>
      </c>
      <c r="AG753">
        <v>97</v>
      </c>
      <c r="AH753">
        <v>3</v>
      </c>
      <c r="AI753">
        <v>3</v>
      </c>
      <c r="AJ753">
        <v>1</v>
      </c>
      <c r="AK753">
        <v>15</v>
      </c>
      <c r="AL753" t="s">
        <v>4510</v>
      </c>
      <c r="AM753" t="s">
        <v>2043</v>
      </c>
      <c r="AN753" t="s">
        <v>4511</v>
      </c>
      <c r="AO753" t="s">
        <v>14853</v>
      </c>
      <c r="AP753" t="s">
        <v>74</v>
      </c>
      <c r="AQ753" t="s">
        <v>74</v>
      </c>
      <c r="AR753" t="s">
        <v>14854</v>
      </c>
      <c r="AS753" t="s">
        <v>14855</v>
      </c>
      <c r="AT753" t="s">
        <v>14838</v>
      </c>
      <c r="AU753">
        <v>2022</v>
      </c>
      <c r="AV753">
        <v>6</v>
      </c>
      <c r="AW753">
        <v>3</v>
      </c>
      <c r="AX753" t="s">
        <v>74</v>
      </c>
      <c r="AY753" t="s">
        <v>74</v>
      </c>
      <c r="AZ753" t="s">
        <v>74</v>
      </c>
      <c r="BA753" t="s">
        <v>74</v>
      </c>
      <c r="BB753">
        <v>683</v>
      </c>
      <c r="BC753">
        <v>693</v>
      </c>
      <c r="BD753" t="s">
        <v>74</v>
      </c>
      <c r="BE753" t="s">
        <v>14856</v>
      </c>
      <c r="BF753" t="str">
        <f>HYPERLINK("http://dx.doi.org/10.1021/acsearthspacechem.1c00333","http://dx.doi.org/10.1021/acsearthspacechem.1c00333")</f>
        <v>http://dx.doi.org/10.1021/acsearthspacechem.1c00333</v>
      </c>
      <c r="BG753" t="s">
        <v>74</v>
      </c>
      <c r="BH753" t="s">
        <v>74</v>
      </c>
      <c r="BI753">
        <v>11</v>
      </c>
      <c r="BJ753" t="s">
        <v>14857</v>
      </c>
      <c r="BK753" t="s">
        <v>101</v>
      </c>
      <c r="BL753" t="s">
        <v>14858</v>
      </c>
      <c r="BM753" t="s">
        <v>14859</v>
      </c>
      <c r="BN753" t="s">
        <v>74</v>
      </c>
      <c r="BO753" t="s">
        <v>883</v>
      </c>
      <c r="BP753" t="s">
        <v>74</v>
      </c>
      <c r="BQ753" t="s">
        <v>74</v>
      </c>
      <c r="BR753" t="s">
        <v>103</v>
      </c>
      <c r="BS753" t="s">
        <v>14860</v>
      </c>
      <c r="BT753" t="str">
        <f>HYPERLINK("https%3A%2F%2Fwww.webofscience.com%2Fwos%2Fwoscc%2Ffull-record%2FWOS:000776269800018","View Full Record in Web of Science")</f>
        <v>View Full Record in Web of Science</v>
      </c>
    </row>
    <row r="754" spans="1:72" x14ac:dyDescent="0.15">
      <c r="A754" t="s">
        <v>72</v>
      </c>
      <c r="B754" t="s">
        <v>14861</v>
      </c>
      <c r="C754" t="s">
        <v>74</v>
      </c>
      <c r="D754" t="s">
        <v>74</v>
      </c>
      <c r="E754" t="s">
        <v>74</v>
      </c>
      <c r="F754" t="s">
        <v>14862</v>
      </c>
      <c r="G754" t="s">
        <v>74</v>
      </c>
      <c r="H754" t="s">
        <v>74</v>
      </c>
      <c r="I754" t="s">
        <v>14863</v>
      </c>
      <c r="J754" t="s">
        <v>14864</v>
      </c>
      <c r="K754" t="s">
        <v>74</v>
      </c>
      <c r="L754" t="s">
        <v>74</v>
      </c>
      <c r="M754" t="s">
        <v>78</v>
      </c>
      <c r="N754" t="s">
        <v>14865</v>
      </c>
      <c r="O754" t="s">
        <v>74</v>
      </c>
      <c r="P754" t="s">
        <v>74</v>
      </c>
      <c r="Q754" t="s">
        <v>74</v>
      </c>
      <c r="R754" t="s">
        <v>74</v>
      </c>
      <c r="S754" t="s">
        <v>74</v>
      </c>
      <c r="T754" t="s">
        <v>14866</v>
      </c>
      <c r="U754" t="s">
        <v>14867</v>
      </c>
      <c r="V754" t="s">
        <v>14868</v>
      </c>
      <c r="W754" t="s">
        <v>14869</v>
      </c>
      <c r="X754" t="s">
        <v>14870</v>
      </c>
      <c r="Y754" t="s">
        <v>14871</v>
      </c>
      <c r="Z754" t="s">
        <v>14872</v>
      </c>
      <c r="AA754" t="s">
        <v>14873</v>
      </c>
      <c r="AB754" t="s">
        <v>14874</v>
      </c>
      <c r="AC754" t="s">
        <v>14875</v>
      </c>
      <c r="AD754" t="s">
        <v>14876</v>
      </c>
      <c r="AE754" t="s">
        <v>14877</v>
      </c>
      <c r="AF754" t="s">
        <v>74</v>
      </c>
      <c r="AG754">
        <v>62</v>
      </c>
      <c r="AH754">
        <v>2</v>
      </c>
      <c r="AI754">
        <v>2</v>
      </c>
      <c r="AJ754">
        <v>1</v>
      </c>
      <c r="AK754">
        <v>9</v>
      </c>
      <c r="AL754" t="s">
        <v>4862</v>
      </c>
      <c r="AM754" t="s">
        <v>4863</v>
      </c>
      <c r="AN754" t="s">
        <v>4864</v>
      </c>
      <c r="AO754" t="s">
        <v>14878</v>
      </c>
      <c r="AP754" t="s">
        <v>74</v>
      </c>
      <c r="AQ754" t="s">
        <v>74</v>
      </c>
      <c r="AR754" t="s">
        <v>14879</v>
      </c>
      <c r="AS754" t="s">
        <v>14880</v>
      </c>
      <c r="AT754" t="s">
        <v>14881</v>
      </c>
      <c r="AU754">
        <v>2022</v>
      </c>
      <c r="AV754" t="s">
        <v>74</v>
      </c>
      <c r="AW754" t="s">
        <v>74</v>
      </c>
      <c r="AX754" t="s">
        <v>74</v>
      </c>
      <c r="AY754" t="s">
        <v>74</v>
      </c>
      <c r="AZ754" t="s">
        <v>74</v>
      </c>
      <c r="BA754" t="s">
        <v>74</v>
      </c>
      <c r="BB754" t="s">
        <v>74</v>
      </c>
      <c r="BC754" t="s">
        <v>74</v>
      </c>
      <c r="BD754" t="s">
        <v>74</v>
      </c>
      <c r="BE754" t="s">
        <v>14882</v>
      </c>
      <c r="BF754" t="str">
        <f>HYPERLINK("http://dx.doi.org/10.1080/17445647.2022.2035266","http://dx.doi.org/10.1080/17445647.2022.2035266")</f>
        <v>http://dx.doi.org/10.1080/17445647.2022.2035266</v>
      </c>
      <c r="BG754" t="s">
        <v>74</v>
      </c>
      <c r="BH754" t="s">
        <v>12992</v>
      </c>
      <c r="BI754">
        <v>13</v>
      </c>
      <c r="BJ754" t="s">
        <v>14883</v>
      </c>
      <c r="BK754" t="s">
        <v>956</v>
      </c>
      <c r="BL754" t="s">
        <v>14884</v>
      </c>
      <c r="BM754" t="s">
        <v>14885</v>
      </c>
      <c r="BN754" t="s">
        <v>74</v>
      </c>
      <c r="BO754" t="s">
        <v>2560</v>
      </c>
      <c r="BP754" t="s">
        <v>74</v>
      </c>
      <c r="BQ754" t="s">
        <v>74</v>
      </c>
      <c r="BR754" t="s">
        <v>103</v>
      </c>
      <c r="BS754" t="s">
        <v>14886</v>
      </c>
      <c r="BT754" t="str">
        <f>HYPERLINK("https%3A%2F%2Fwww.webofscience.com%2Fwos%2Fwoscc%2Ffull-record%2FWOS:000770468200001","View Full Record in Web of Science")</f>
        <v>View Full Record in Web of Science</v>
      </c>
    </row>
    <row r="755" spans="1:72" x14ac:dyDescent="0.15">
      <c r="A755" t="s">
        <v>72</v>
      </c>
      <c r="B755" t="s">
        <v>14887</v>
      </c>
      <c r="C755" t="s">
        <v>74</v>
      </c>
      <c r="D755" t="s">
        <v>74</v>
      </c>
      <c r="E755" t="s">
        <v>74</v>
      </c>
      <c r="F755" t="s">
        <v>14888</v>
      </c>
      <c r="G755" t="s">
        <v>74</v>
      </c>
      <c r="H755" t="s">
        <v>74</v>
      </c>
      <c r="I755" t="s">
        <v>14889</v>
      </c>
      <c r="J755" t="s">
        <v>415</v>
      </c>
      <c r="K755" t="s">
        <v>74</v>
      </c>
      <c r="L755" t="s">
        <v>74</v>
      </c>
      <c r="M755" t="s">
        <v>78</v>
      </c>
      <c r="N755" t="s">
        <v>79</v>
      </c>
      <c r="O755" t="s">
        <v>74</v>
      </c>
      <c r="P755" t="s">
        <v>74</v>
      </c>
      <c r="Q755" t="s">
        <v>74</v>
      </c>
      <c r="R755" t="s">
        <v>74</v>
      </c>
      <c r="S755" t="s">
        <v>74</v>
      </c>
      <c r="T755" t="s">
        <v>14890</v>
      </c>
      <c r="U755" t="s">
        <v>14891</v>
      </c>
      <c r="V755" t="s">
        <v>14892</v>
      </c>
      <c r="W755" t="s">
        <v>14893</v>
      </c>
      <c r="X755" t="s">
        <v>14894</v>
      </c>
      <c r="Y755" t="s">
        <v>14895</v>
      </c>
      <c r="Z755" t="s">
        <v>14896</v>
      </c>
      <c r="AA755" t="s">
        <v>14897</v>
      </c>
      <c r="AB755" t="s">
        <v>14898</v>
      </c>
      <c r="AC755" t="s">
        <v>14899</v>
      </c>
      <c r="AD755" t="s">
        <v>14900</v>
      </c>
      <c r="AE755" t="s">
        <v>14901</v>
      </c>
      <c r="AF755" t="s">
        <v>74</v>
      </c>
      <c r="AG755">
        <v>60</v>
      </c>
      <c r="AH755">
        <v>4</v>
      </c>
      <c r="AI755">
        <v>4</v>
      </c>
      <c r="AJ755">
        <v>7</v>
      </c>
      <c r="AK755">
        <v>31</v>
      </c>
      <c r="AL755" t="s">
        <v>428</v>
      </c>
      <c r="AM755" t="s">
        <v>174</v>
      </c>
      <c r="AN755" t="s">
        <v>429</v>
      </c>
      <c r="AO755" t="s">
        <v>430</v>
      </c>
      <c r="AP755" t="s">
        <v>431</v>
      </c>
      <c r="AQ755" t="s">
        <v>74</v>
      </c>
      <c r="AR755" t="s">
        <v>432</v>
      </c>
      <c r="AS755" t="s">
        <v>433</v>
      </c>
      <c r="AT755" t="s">
        <v>484</v>
      </c>
      <c r="AU755">
        <v>2022</v>
      </c>
      <c r="AV755">
        <v>68</v>
      </c>
      <c r="AW755">
        <v>271</v>
      </c>
      <c r="AX755" t="s">
        <v>74</v>
      </c>
      <c r="AY755" t="s">
        <v>74</v>
      </c>
      <c r="AZ755" t="s">
        <v>74</v>
      </c>
      <c r="BA755" t="s">
        <v>74</v>
      </c>
      <c r="BB755">
        <v>961</v>
      </c>
      <c r="BC755">
        <v>976</v>
      </c>
      <c r="BD755" t="s">
        <v>14902</v>
      </c>
      <c r="BE755" t="s">
        <v>14903</v>
      </c>
      <c r="BF755" t="str">
        <f>HYPERLINK("http://dx.doi.org/10.1017/jog.2022.8","http://dx.doi.org/10.1017/jog.2022.8")</f>
        <v>http://dx.doi.org/10.1017/jog.2022.8</v>
      </c>
      <c r="BG755" t="s">
        <v>74</v>
      </c>
      <c r="BH755" t="s">
        <v>12992</v>
      </c>
      <c r="BI755">
        <v>16</v>
      </c>
      <c r="BJ755" t="s">
        <v>125</v>
      </c>
      <c r="BK755" t="s">
        <v>101</v>
      </c>
      <c r="BL755" t="s">
        <v>126</v>
      </c>
      <c r="BM755" t="s">
        <v>10808</v>
      </c>
      <c r="BN755" t="s">
        <v>74</v>
      </c>
      <c r="BO755" t="s">
        <v>438</v>
      </c>
      <c r="BP755" t="s">
        <v>74</v>
      </c>
      <c r="BQ755" t="s">
        <v>74</v>
      </c>
      <c r="BR755" t="s">
        <v>103</v>
      </c>
      <c r="BS755" t="s">
        <v>14904</v>
      </c>
      <c r="BT755" t="str">
        <f>HYPERLINK("https%3A%2F%2Fwww.webofscience.com%2Fwos%2Fwoscc%2Ffull-record%2FWOS:000770153000001","View Full Record in Web of Science")</f>
        <v>View Full Record in Web of Science</v>
      </c>
    </row>
    <row r="756" spans="1:72" x14ac:dyDescent="0.15">
      <c r="A756" t="s">
        <v>72</v>
      </c>
      <c r="B756" t="s">
        <v>14905</v>
      </c>
      <c r="C756" t="s">
        <v>74</v>
      </c>
      <c r="D756" t="s">
        <v>74</v>
      </c>
      <c r="E756" t="s">
        <v>74</v>
      </c>
      <c r="F756" t="s">
        <v>14906</v>
      </c>
      <c r="G756" t="s">
        <v>74</v>
      </c>
      <c r="H756" t="s">
        <v>74</v>
      </c>
      <c r="I756" t="s">
        <v>14907</v>
      </c>
      <c r="J756" t="s">
        <v>443</v>
      </c>
      <c r="K756" t="s">
        <v>74</v>
      </c>
      <c r="L756" t="s">
        <v>74</v>
      </c>
      <c r="M756" t="s">
        <v>78</v>
      </c>
      <c r="N756" t="s">
        <v>79</v>
      </c>
      <c r="O756" t="s">
        <v>74</v>
      </c>
      <c r="P756" t="s">
        <v>74</v>
      </c>
      <c r="Q756" t="s">
        <v>74</v>
      </c>
      <c r="R756" t="s">
        <v>74</v>
      </c>
      <c r="S756" t="s">
        <v>74</v>
      </c>
      <c r="T756" t="s">
        <v>74</v>
      </c>
      <c r="U756" t="s">
        <v>14908</v>
      </c>
      <c r="V756" t="s">
        <v>14909</v>
      </c>
      <c r="W756" t="s">
        <v>14910</v>
      </c>
      <c r="X756" t="s">
        <v>14911</v>
      </c>
      <c r="Y756" t="s">
        <v>14912</v>
      </c>
      <c r="Z756" t="s">
        <v>14913</v>
      </c>
      <c r="AA756" t="s">
        <v>14914</v>
      </c>
      <c r="AB756" t="s">
        <v>14915</v>
      </c>
      <c r="AC756" t="s">
        <v>14916</v>
      </c>
      <c r="AD756" t="s">
        <v>14917</v>
      </c>
      <c r="AE756" t="s">
        <v>14918</v>
      </c>
      <c r="AF756" t="s">
        <v>74</v>
      </c>
      <c r="AG756">
        <v>112</v>
      </c>
      <c r="AH756">
        <v>7</v>
      </c>
      <c r="AI756">
        <v>9</v>
      </c>
      <c r="AJ756">
        <v>9</v>
      </c>
      <c r="AK756">
        <v>47</v>
      </c>
      <c r="AL756" t="s">
        <v>455</v>
      </c>
      <c r="AM756" t="s">
        <v>456</v>
      </c>
      <c r="AN756" t="s">
        <v>457</v>
      </c>
      <c r="AO756" t="s">
        <v>458</v>
      </c>
      <c r="AP756" t="s">
        <v>459</v>
      </c>
      <c r="AQ756" t="s">
        <v>74</v>
      </c>
      <c r="AR756" t="s">
        <v>460</v>
      </c>
      <c r="AS756" t="s">
        <v>461</v>
      </c>
      <c r="AT756" t="s">
        <v>8316</v>
      </c>
      <c r="AU756">
        <v>2022</v>
      </c>
      <c r="AV756">
        <v>15</v>
      </c>
      <c r="AW756">
        <v>4</v>
      </c>
      <c r="AX756" t="s">
        <v>74</v>
      </c>
      <c r="AY756" t="s">
        <v>74</v>
      </c>
      <c r="AZ756" t="s">
        <v>74</v>
      </c>
      <c r="BA756" t="s">
        <v>74</v>
      </c>
      <c r="BB756">
        <v>293</v>
      </c>
      <c r="BC756" t="s">
        <v>462</v>
      </c>
      <c r="BD756" t="s">
        <v>74</v>
      </c>
      <c r="BE756" t="s">
        <v>14919</v>
      </c>
      <c r="BF756" t="str">
        <f>HYPERLINK("http://dx.doi.org/10.1038/s41561-022-00910-9","http://dx.doi.org/10.1038/s41561-022-00910-9")</f>
        <v>http://dx.doi.org/10.1038/s41561-022-00910-9</v>
      </c>
      <c r="BG756" t="s">
        <v>74</v>
      </c>
      <c r="BH756" t="s">
        <v>12992</v>
      </c>
      <c r="BI756">
        <v>24</v>
      </c>
      <c r="BJ756" t="s">
        <v>265</v>
      </c>
      <c r="BK756" t="s">
        <v>101</v>
      </c>
      <c r="BL756" t="s">
        <v>100</v>
      </c>
      <c r="BM756" t="s">
        <v>13113</v>
      </c>
      <c r="BN756" t="s">
        <v>74</v>
      </c>
      <c r="BO756" t="s">
        <v>6455</v>
      </c>
      <c r="BP756" t="s">
        <v>74</v>
      </c>
      <c r="BQ756" t="s">
        <v>74</v>
      </c>
      <c r="BR756" t="s">
        <v>103</v>
      </c>
      <c r="BS756" t="s">
        <v>14920</v>
      </c>
      <c r="BT756" t="str">
        <f>HYPERLINK("https%3A%2F%2Fwww.webofscience.com%2Fwos%2Fwoscc%2Ffull-record%2FWOS:000770187800001","View Full Record in Web of Science")</f>
        <v>View Full Record in Web of Science</v>
      </c>
    </row>
    <row r="757" spans="1:72" x14ac:dyDescent="0.15">
      <c r="A757" t="s">
        <v>72</v>
      </c>
      <c r="B757" t="s">
        <v>14921</v>
      </c>
      <c r="C757" t="s">
        <v>74</v>
      </c>
      <c r="D757" t="s">
        <v>74</v>
      </c>
      <c r="E757" t="s">
        <v>74</v>
      </c>
      <c r="F757" t="s">
        <v>14922</v>
      </c>
      <c r="G757" t="s">
        <v>74</v>
      </c>
      <c r="H757" t="s">
        <v>74</v>
      </c>
      <c r="I757" t="s">
        <v>14923</v>
      </c>
      <c r="J757" t="s">
        <v>517</v>
      </c>
      <c r="K757" t="s">
        <v>74</v>
      </c>
      <c r="L757" t="s">
        <v>74</v>
      </c>
      <c r="M757" t="s">
        <v>78</v>
      </c>
      <c r="N757" t="s">
        <v>79</v>
      </c>
      <c r="O757" t="s">
        <v>74</v>
      </c>
      <c r="P757" t="s">
        <v>74</v>
      </c>
      <c r="Q757" t="s">
        <v>74</v>
      </c>
      <c r="R757" t="s">
        <v>74</v>
      </c>
      <c r="S757" t="s">
        <v>74</v>
      </c>
      <c r="T757" t="s">
        <v>14924</v>
      </c>
      <c r="U757" t="s">
        <v>14925</v>
      </c>
      <c r="V757" t="s">
        <v>14926</v>
      </c>
      <c r="W757" t="s">
        <v>14927</v>
      </c>
      <c r="X757" t="s">
        <v>3179</v>
      </c>
      <c r="Y757" t="s">
        <v>14928</v>
      </c>
      <c r="Z757" t="s">
        <v>14929</v>
      </c>
      <c r="AA757" t="s">
        <v>14930</v>
      </c>
      <c r="AB757" t="s">
        <v>14931</v>
      </c>
      <c r="AC757" t="s">
        <v>14932</v>
      </c>
      <c r="AD757" t="s">
        <v>14933</v>
      </c>
      <c r="AE757" t="s">
        <v>14934</v>
      </c>
      <c r="AF757" t="s">
        <v>74</v>
      </c>
      <c r="AG757">
        <v>90</v>
      </c>
      <c r="AH757">
        <v>2</v>
      </c>
      <c r="AI757">
        <v>2</v>
      </c>
      <c r="AJ757">
        <v>0</v>
      </c>
      <c r="AK757">
        <v>7</v>
      </c>
      <c r="AL757" t="s">
        <v>530</v>
      </c>
      <c r="AM757" t="s">
        <v>531</v>
      </c>
      <c r="AN757" t="s">
        <v>532</v>
      </c>
      <c r="AO757" t="s">
        <v>533</v>
      </c>
      <c r="AP757" t="s">
        <v>534</v>
      </c>
      <c r="AQ757" t="s">
        <v>74</v>
      </c>
      <c r="AR757" t="s">
        <v>535</v>
      </c>
      <c r="AS757" t="s">
        <v>536</v>
      </c>
      <c r="AT757" t="s">
        <v>5076</v>
      </c>
      <c r="AU757">
        <v>2022</v>
      </c>
      <c r="AV757">
        <v>45</v>
      </c>
      <c r="AW757">
        <v>5</v>
      </c>
      <c r="AX757" t="s">
        <v>74</v>
      </c>
      <c r="AY757" t="s">
        <v>74</v>
      </c>
      <c r="AZ757" t="s">
        <v>74</v>
      </c>
      <c r="BA757" t="s">
        <v>74</v>
      </c>
      <c r="BB757">
        <v>789</v>
      </c>
      <c r="BC757">
        <v>807</v>
      </c>
      <c r="BD757" t="s">
        <v>74</v>
      </c>
      <c r="BE757" t="s">
        <v>14935</v>
      </c>
      <c r="BF757" t="str">
        <f>HYPERLINK("http://dx.doi.org/10.1007/s00300-022-03033-4","http://dx.doi.org/10.1007/s00300-022-03033-4")</f>
        <v>http://dx.doi.org/10.1007/s00300-022-03033-4</v>
      </c>
      <c r="BG757" t="s">
        <v>74</v>
      </c>
      <c r="BH757" t="s">
        <v>12992</v>
      </c>
      <c r="BI757">
        <v>19</v>
      </c>
      <c r="BJ757" t="s">
        <v>539</v>
      </c>
      <c r="BK757" t="s">
        <v>101</v>
      </c>
      <c r="BL757" t="s">
        <v>540</v>
      </c>
      <c r="BM757" t="s">
        <v>8883</v>
      </c>
      <c r="BN757" t="s">
        <v>74</v>
      </c>
      <c r="BO757" t="s">
        <v>1149</v>
      </c>
      <c r="BP757" t="s">
        <v>74</v>
      </c>
      <c r="BQ757" t="s">
        <v>74</v>
      </c>
      <c r="BR757" t="s">
        <v>103</v>
      </c>
      <c r="BS757" t="s">
        <v>14936</v>
      </c>
      <c r="BT757" t="str">
        <f>HYPERLINK("https%3A%2F%2Fwww.webofscience.com%2Fwos%2Fwoscc%2Ffull-record%2FWOS:000770182800001","View Full Record in Web of Science")</f>
        <v>View Full Record in Web of Science</v>
      </c>
    </row>
    <row r="758" spans="1:72" x14ac:dyDescent="0.15">
      <c r="A758" t="s">
        <v>72</v>
      </c>
      <c r="B758" t="s">
        <v>14937</v>
      </c>
      <c r="C758" t="s">
        <v>74</v>
      </c>
      <c r="D758" t="s">
        <v>74</v>
      </c>
      <c r="E758" t="s">
        <v>74</v>
      </c>
      <c r="F758" t="s">
        <v>14938</v>
      </c>
      <c r="G758" t="s">
        <v>74</v>
      </c>
      <c r="H758" t="s">
        <v>74</v>
      </c>
      <c r="I758" t="s">
        <v>14939</v>
      </c>
      <c r="J758" t="s">
        <v>13256</v>
      </c>
      <c r="K758" t="s">
        <v>74</v>
      </c>
      <c r="L758" t="s">
        <v>74</v>
      </c>
      <c r="M758" t="s">
        <v>78</v>
      </c>
      <c r="N758" t="s">
        <v>79</v>
      </c>
      <c r="O758" t="s">
        <v>74</v>
      </c>
      <c r="P758" t="s">
        <v>74</v>
      </c>
      <c r="Q758" t="s">
        <v>74</v>
      </c>
      <c r="R758" t="s">
        <v>74</v>
      </c>
      <c r="S758" t="s">
        <v>74</v>
      </c>
      <c r="T758" t="s">
        <v>74</v>
      </c>
      <c r="U758" t="s">
        <v>14940</v>
      </c>
      <c r="V758" t="s">
        <v>14941</v>
      </c>
      <c r="W758" t="s">
        <v>14942</v>
      </c>
      <c r="X758" t="s">
        <v>14943</v>
      </c>
      <c r="Y758" t="s">
        <v>14944</v>
      </c>
      <c r="Z758" t="s">
        <v>14945</v>
      </c>
      <c r="AA758" t="s">
        <v>74</v>
      </c>
      <c r="AB758" t="s">
        <v>14946</v>
      </c>
      <c r="AC758" t="s">
        <v>14947</v>
      </c>
      <c r="AD758" t="s">
        <v>14948</v>
      </c>
      <c r="AE758" t="s">
        <v>14949</v>
      </c>
      <c r="AF758" t="s">
        <v>74</v>
      </c>
      <c r="AG758">
        <v>81</v>
      </c>
      <c r="AH758">
        <v>5</v>
      </c>
      <c r="AI758">
        <v>5</v>
      </c>
      <c r="AJ758">
        <v>6</v>
      </c>
      <c r="AK758">
        <v>32</v>
      </c>
      <c r="AL758" t="s">
        <v>91</v>
      </c>
      <c r="AM758" t="s">
        <v>92</v>
      </c>
      <c r="AN758" t="s">
        <v>93</v>
      </c>
      <c r="AO758" t="s">
        <v>13268</v>
      </c>
      <c r="AP758" t="s">
        <v>13269</v>
      </c>
      <c r="AQ758" t="s">
        <v>74</v>
      </c>
      <c r="AR758" t="s">
        <v>13270</v>
      </c>
      <c r="AS758" t="s">
        <v>13271</v>
      </c>
      <c r="AT758" t="s">
        <v>8316</v>
      </c>
      <c r="AU758">
        <v>2022</v>
      </c>
      <c r="AV758">
        <v>67</v>
      </c>
      <c r="AW758">
        <v>4</v>
      </c>
      <c r="AX758" t="s">
        <v>74</v>
      </c>
      <c r="AY758" t="s">
        <v>74</v>
      </c>
      <c r="AZ758" t="s">
        <v>74</v>
      </c>
      <c r="BA758" t="s">
        <v>74</v>
      </c>
      <c r="BB758">
        <v>973</v>
      </c>
      <c r="BC758">
        <v>991</v>
      </c>
      <c r="BD758" t="s">
        <v>74</v>
      </c>
      <c r="BE758" t="s">
        <v>14950</v>
      </c>
      <c r="BF758" t="str">
        <f>HYPERLINK("http://dx.doi.org/10.1002/lno.12050","http://dx.doi.org/10.1002/lno.12050")</f>
        <v>http://dx.doi.org/10.1002/lno.12050</v>
      </c>
      <c r="BG758" t="s">
        <v>74</v>
      </c>
      <c r="BH758" t="s">
        <v>12992</v>
      </c>
      <c r="BI758">
        <v>19</v>
      </c>
      <c r="BJ758" t="s">
        <v>8183</v>
      </c>
      <c r="BK758" t="s">
        <v>101</v>
      </c>
      <c r="BL758" t="s">
        <v>641</v>
      </c>
      <c r="BM758" t="s">
        <v>14951</v>
      </c>
      <c r="BN758" t="s">
        <v>74</v>
      </c>
      <c r="BO758" t="s">
        <v>74</v>
      </c>
      <c r="BP758" t="s">
        <v>74</v>
      </c>
      <c r="BQ758" t="s">
        <v>74</v>
      </c>
      <c r="BR758" t="s">
        <v>103</v>
      </c>
      <c r="BS758" t="s">
        <v>14952</v>
      </c>
      <c r="BT758" t="str">
        <f>HYPERLINK("https%3A%2F%2Fwww.webofscience.com%2Fwos%2Fwoscc%2Ffull-record%2FWOS:000770008900001","View Full Record in Web of Science")</f>
        <v>View Full Record in Web of Science</v>
      </c>
    </row>
    <row r="759" spans="1:72" x14ac:dyDescent="0.15">
      <c r="A759" t="s">
        <v>72</v>
      </c>
      <c r="B759" t="s">
        <v>14953</v>
      </c>
      <c r="C759" t="s">
        <v>74</v>
      </c>
      <c r="D759" t="s">
        <v>74</v>
      </c>
      <c r="E759" t="s">
        <v>74</v>
      </c>
      <c r="F759" t="s">
        <v>14954</v>
      </c>
      <c r="G759" t="s">
        <v>74</v>
      </c>
      <c r="H759" t="s">
        <v>74</v>
      </c>
      <c r="I759" t="s">
        <v>14955</v>
      </c>
      <c r="J759" t="s">
        <v>10634</v>
      </c>
      <c r="K759" t="s">
        <v>74</v>
      </c>
      <c r="L759" t="s">
        <v>74</v>
      </c>
      <c r="M759" t="s">
        <v>78</v>
      </c>
      <c r="N759" t="s">
        <v>79</v>
      </c>
      <c r="O759" t="s">
        <v>74</v>
      </c>
      <c r="P759" t="s">
        <v>74</v>
      </c>
      <c r="Q759" t="s">
        <v>74</v>
      </c>
      <c r="R759" t="s">
        <v>74</v>
      </c>
      <c r="S759" t="s">
        <v>74</v>
      </c>
      <c r="T759" t="s">
        <v>14956</v>
      </c>
      <c r="U759" t="s">
        <v>14957</v>
      </c>
      <c r="V759" t="s">
        <v>14958</v>
      </c>
      <c r="W759" t="s">
        <v>14959</v>
      </c>
      <c r="X759" t="s">
        <v>14960</v>
      </c>
      <c r="Y759" t="s">
        <v>14961</v>
      </c>
      <c r="Z759" t="s">
        <v>14962</v>
      </c>
      <c r="AA759" t="s">
        <v>74</v>
      </c>
      <c r="AB759" t="s">
        <v>74</v>
      </c>
      <c r="AC759" t="s">
        <v>14963</v>
      </c>
      <c r="AD759" t="s">
        <v>4081</v>
      </c>
      <c r="AE759" t="s">
        <v>14964</v>
      </c>
      <c r="AF759" t="s">
        <v>74</v>
      </c>
      <c r="AG759">
        <v>74</v>
      </c>
      <c r="AH759">
        <v>2</v>
      </c>
      <c r="AI759">
        <v>2</v>
      </c>
      <c r="AJ759">
        <v>7</v>
      </c>
      <c r="AK759">
        <v>11</v>
      </c>
      <c r="AL759" t="s">
        <v>313</v>
      </c>
      <c r="AM759" t="s">
        <v>314</v>
      </c>
      <c r="AN759" t="s">
        <v>315</v>
      </c>
      <c r="AO759" t="s">
        <v>10647</v>
      </c>
      <c r="AP759" t="s">
        <v>10648</v>
      </c>
      <c r="AQ759" t="s">
        <v>74</v>
      </c>
      <c r="AR759" t="s">
        <v>10634</v>
      </c>
      <c r="AS759" t="s">
        <v>10649</v>
      </c>
      <c r="AT759" t="s">
        <v>3234</v>
      </c>
      <c r="AU759">
        <v>2022</v>
      </c>
      <c r="AV759">
        <v>380</v>
      </c>
      <c r="AW759" t="s">
        <v>74</v>
      </c>
      <c r="AX759" t="s">
        <v>74</v>
      </c>
      <c r="AY759" t="s">
        <v>74</v>
      </c>
      <c r="AZ759" t="s">
        <v>74</v>
      </c>
      <c r="BA759" t="s">
        <v>74</v>
      </c>
      <c r="BB759" t="s">
        <v>74</v>
      </c>
      <c r="BC759" t="s">
        <v>74</v>
      </c>
      <c r="BD759">
        <v>114990</v>
      </c>
      <c r="BE759" t="s">
        <v>14965</v>
      </c>
      <c r="BF759" t="str">
        <f>HYPERLINK("http://dx.doi.org/10.1016/j.icarus.2022.114990","http://dx.doi.org/10.1016/j.icarus.2022.114990")</f>
        <v>http://dx.doi.org/10.1016/j.icarus.2022.114990</v>
      </c>
      <c r="BG759" t="s">
        <v>74</v>
      </c>
      <c r="BH759" t="s">
        <v>12992</v>
      </c>
      <c r="BI759">
        <v>15</v>
      </c>
      <c r="BJ759" t="s">
        <v>2275</v>
      </c>
      <c r="BK759" t="s">
        <v>101</v>
      </c>
      <c r="BL759" t="s">
        <v>2275</v>
      </c>
      <c r="BM759" t="s">
        <v>14966</v>
      </c>
      <c r="BN759" t="s">
        <v>74</v>
      </c>
      <c r="BO759" t="s">
        <v>1149</v>
      </c>
      <c r="BP759" t="s">
        <v>74</v>
      </c>
      <c r="BQ759" t="s">
        <v>74</v>
      </c>
      <c r="BR759" t="s">
        <v>103</v>
      </c>
      <c r="BS759" t="s">
        <v>14967</v>
      </c>
      <c r="BT759" t="str">
        <f>HYPERLINK("https%3A%2F%2Fwww.webofscience.com%2Fwos%2Fwoscc%2Ffull-record%2FWOS:000793268100003","View Full Record in Web of Science")</f>
        <v>View Full Record in Web of Science</v>
      </c>
    </row>
    <row r="760" spans="1:72" x14ac:dyDescent="0.15">
      <c r="A760" t="s">
        <v>72</v>
      </c>
      <c r="B760" t="s">
        <v>14968</v>
      </c>
      <c r="C760" t="s">
        <v>74</v>
      </c>
      <c r="D760" t="s">
        <v>74</v>
      </c>
      <c r="E760" t="s">
        <v>74</v>
      </c>
      <c r="F760" t="s">
        <v>14969</v>
      </c>
      <c r="G760" t="s">
        <v>74</v>
      </c>
      <c r="H760" t="s">
        <v>74</v>
      </c>
      <c r="I760" t="s">
        <v>14970</v>
      </c>
      <c r="J760" t="s">
        <v>546</v>
      </c>
      <c r="K760" t="s">
        <v>74</v>
      </c>
      <c r="L760" t="s">
        <v>74</v>
      </c>
      <c r="M760" t="s">
        <v>78</v>
      </c>
      <c r="N760" t="s">
        <v>79</v>
      </c>
      <c r="O760" t="s">
        <v>74</v>
      </c>
      <c r="P760" t="s">
        <v>74</v>
      </c>
      <c r="Q760" t="s">
        <v>74</v>
      </c>
      <c r="R760" t="s">
        <v>74</v>
      </c>
      <c r="S760" t="s">
        <v>74</v>
      </c>
      <c r="T760" t="s">
        <v>14971</v>
      </c>
      <c r="U760" t="s">
        <v>14972</v>
      </c>
      <c r="V760" t="s">
        <v>14973</v>
      </c>
      <c r="W760" t="s">
        <v>14974</v>
      </c>
      <c r="X760" t="s">
        <v>14975</v>
      </c>
      <c r="Y760" t="s">
        <v>14976</v>
      </c>
      <c r="Z760" t="s">
        <v>14977</v>
      </c>
      <c r="AA760" t="s">
        <v>14978</v>
      </c>
      <c r="AB760" t="s">
        <v>14979</v>
      </c>
      <c r="AC760" t="s">
        <v>14980</v>
      </c>
      <c r="AD760" t="s">
        <v>14981</v>
      </c>
      <c r="AE760" t="s">
        <v>14982</v>
      </c>
      <c r="AF760" t="s">
        <v>74</v>
      </c>
      <c r="AG760">
        <v>70</v>
      </c>
      <c r="AH760">
        <v>2</v>
      </c>
      <c r="AI760">
        <v>2</v>
      </c>
      <c r="AJ760">
        <v>2</v>
      </c>
      <c r="AK760">
        <v>6</v>
      </c>
      <c r="AL760" t="s">
        <v>285</v>
      </c>
      <c r="AM760" t="s">
        <v>286</v>
      </c>
      <c r="AN760" t="s">
        <v>287</v>
      </c>
      <c r="AO760" t="s">
        <v>74</v>
      </c>
      <c r="AP760" t="s">
        <v>558</v>
      </c>
      <c r="AQ760" t="s">
        <v>74</v>
      </c>
      <c r="AR760" t="s">
        <v>559</v>
      </c>
      <c r="AS760" t="s">
        <v>560</v>
      </c>
      <c r="AT760" t="s">
        <v>14983</v>
      </c>
      <c r="AU760">
        <v>2022</v>
      </c>
      <c r="AV760">
        <v>9</v>
      </c>
      <c r="AW760" t="s">
        <v>74</v>
      </c>
      <c r="AX760" t="s">
        <v>74</v>
      </c>
      <c r="AY760" t="s">
        <v>74</v>
      </c>
      <c r="AZ760" t="s">
        <v>74</v>
      </c>
      <c r="BA760" t="s">
        <v>74</v>
      </c>
      <c r="BB760" t="s">
        <v>74</v>
      </c>
      <c r="BC760" t="s">
        <v>74</v>
      </c>
      <c r="BD760">
        <v>815684</v>
      </c>
      <c r="BE760" t="s">
        <v>14984</v>
      </c>
      <c r="BF760" t="str">
        <f>HYPERLINK("http://dx.doi.org/10.3389/fmars.2022.815684","http://dx.doi.org/10.3389/fmars.2022.815684")</f>
        <v>http://dx.doi.org/10.3389/fmars.2022.815684</v>
      </c>
      <c r="BG760" t="s">
        <v>74</v>
      </c>
      <c r="BH760" t="s">
        <v>74</v>
      </c>
      <c r="BI760">
        <v>13</v>
      </c>
      <c r="BJ760" t="s">
        <v>563</v>
      </c>
      <c r="BK760" t="s">
        <v>101</v>
      </c>
      <c r="BL760" t="s">
        <v>564</v>
      </c>
      <c r="BM760" t="s">
        <v>14985</v>
      </c>
      <c r="BN760" t="s">
        <v>74</v>
      </c>
      <c r="BO760" t="s">
        <v>2167</v>
      </c>
      <c r="BP760" t="s">
        <v>74</v>
      </c>
      <c r="BQ760" t="s">
        <v>74</v>
      </c>
      <c r="BR760" t="s">
        <v>103</v>
      </c>
      <c r="BS760" t="s">
        <v>14986</v>
      </c>
      <c r="BT760" t="str">
        <f>HYPERLINK("https%3A%2F%2Fwww.webofscience.com%2Fwos%2Fwoscc%2Ffull-record%2FWOS:000778765900001","View Full Record in Web of Science")</f>
        <v>View Full Record in Web of Science</v>
      </c>
    </row>
    <row r="761" spans="1:72" x14ac:dyDescent="0.15">
      <c r="A761" t="s">
        <v>72</v>
      </c>
      <c r="B761" t="s">
        <v>14987</v>
      </c>
      <c r="C761" t="s">
        <v>74</v>
      </c>
      <c r="D761" t="s">
        <v>74</v>
      </c>
      <c r="E761" t="s">
        <v>74</v>
      </c>
      <c r="F761" t="s">
        <v>14988</v>
      </c>
      <c r="G761" t="s">
        <v>74</v>
      </c>
      <c r="H761" t="s">
        <v>74</v>
      </c>
      <c r="I761" t="s">
        <v>14989</v>
      </c>
      <c r="J761" t="s">
        <v>595</v>
      </c>
      <c r="K761" t="s">
        <v>74</v>
      </c>
      <c r="L761" t="s">
        <v>74</v>
      </c>
      <c r="M761" t="s">
        <v>78</v>
      </c>
      <c r="N761" t="s">
        <v>596</v>
      </c>
      <c r="O761" t="s">
        <v>74</v>
      </c>
      <c r="P761" t="s">
        <v>74</v>
      </c>
      <c r="Q761" t="s">
        <v>74</v>
      </c>
      <c r="R761" t="s">
        <v>74</v>
      </c>
      <c r="S761" t="s">
        <v>74</v>
      </c>
      <c r="T761" t="s">
        <v>74</v>
      </c>
      <c r="U761" t="s">
        <v>14990</v>
      </c>
      <c r="V761" t="s">
        <v>14991</v>
      </c>
      <c r="W761" t="s">
        <v>14992</v>
      </c>
      <c r="X761" t="s">
        <v>14993</v>
      </c>
      <c r="Y761" t="s">
        <v>14994</v>
      </c>
      <c r="Z761" t="s">
        <v>14995</v>
      </c>
      <c r="AA761" t="s">
        <v>14996</v>
      </c>
      <c r="AB761" t="s">
        <v>14997</v>
      </c>
      <c r="AC761" t="s">
        <v>14998</v>
      </c>
      <c r="AD761" t="s">
        <v>14999</v>
      </c>
      <c r="AE761" t="s">
        <v>15000</v>
      </c>
      <c r="AF761" t="s">
        <v>74</v>
      </c>
      <c r="AG761">
        <v>67</v>
      </c>
      <c r="AH761">
        <v>8</v>
      </c>
      <c r="AI761">
        <v>8</v>
      </c>
      <c r="AJ761">
        <v>3</v>
      </c>
      <c r="AK761">
        <v>17</v>
      </c>
      <c r="AL761" t="s">
        <v>117</v>
      </c>
      <c r="AM761" t="s">
        <v>118</v>
      </c>
      <c r="AN761" t="s">
        <v>119</v>
      </c>
      <c r="AO761" t="s">
        <v>608</v>
      </c>
      <c r="AP761" t="s">
        <v>609</v>
      </c>
      <c r="AQ761" t="s">
        <v>74</v>
      </c>
      <c r="AR761" t="s">
        <v>610</v>
      </c>
      <c r="AS761" t="s">
        <v>611</v>
      </c>
      <c r="AT761" t="s">
        <v>14983</v>
      </c>
      <c r="AU761">
        <v>2022</v>
      </c>
      <c r="AV761">
        <v>14</v>
      </c>
      <c r="AW761">
        <v>3</v>
      </c>
      <c r="AX761" t="s">
        <v>74</v>
      </c>
      <c r="AY761" t="s">
        <v>74</v>
      </c>
      <c r="AZ761" t="s">
        <v>74</v>
      </c>
      <c r="BA761" t="s">
        <v>74</v>
      </c>
      <c r="BB761">
        <v>1215</v>
      </c>
      <c r="BC761">
        <v>1231</v>
      </c>
      <c r="BD761" t="s">
        <v>74</v>
      </c>
      <c r="BE761" t="s">
        <v>15001</v>
      </c>
      <c r="BF761" t="str">
        <f>HYPERLINK("http://dx.doi.org/10.5194/essd-14-1215-2022","http://dx.doi.org/10.5194/essd-14-1215-2022")</f>
        <v>http://dx.doi.org/10.5194/essd-14-1215-2022</v>
      </c>
      <c r="BG761" t="s">
        <v>74</v>
      </c>
      <c r="BH761" t="s">
        <v>74</v>
      </c>
      <c r="BI761">
        <v>17</v>
      </c>
      <c r="BJ761" t="s">
        <v>613</v>
      </c>
      <c r="BK761" t="s">
        <v>101</v>
      </c>
      <c r="BL761" t="s">
        <v>614</v>
      </c>
      <c r="BM761" t="s">
        <v>15002</v>
      </c>
      <c r="BN761" t="s">
        <v>74</v>
      </c>
      <c r="BO761" t="s">
        <v>4328</v>
      </c>
      <c r="BP761" t="s">
        <v>74</v>
      </c>
      <c r="BQ761" t="s">
        <v>74</v>
      </c>
      <c r="BR761" t="s">
        <v>103</v>
      </c>
      <c r="BS761" t="s">
        <v>15003</v>
      </c>
      <c r="BT761" t="str">
        <f>HYPERLINK("https%3A%2F%2Fwww.webofscience.com%2Fwos%2Fwoscc%2Ffull-record%2FWOS:000775695000001","View Full Record in Web of Science")</f>
        <v>View Full Record in Web of Science</v>
      </c>
    </row>
    <row r="762" spans="1:72" x14ac:dyDescent="0.15">
      <c r="A762" t="s">
        <v>72</v>
      </c>
      <c r="B762" t="s">
        <v>15004</v>
      </c>
      <c r="C762" t="s">
        <v>74</v>
      </c>
      <c r="D762" t="s">
        <v>74</v>
      </c>
      <c r="E762" t="s">
        <v>74</v>
      </c>
      <c r="F762" t="s">
        <v>15005</v>
      </c>
      <c r="G762" t="s">
        <v>74</v>
      </c>
      <c r="H762" t="s">
        <v>74</v>
      </c>
      <c r="I762" t="s">
        <v>15006</v>
      </c>
      <c r="J762" t="s">
        <v>3636</v>
      </c>
      <c r="K762" t="s">
        <v>74</v>
      </c>
      <c r="L762" t="s">
        <v>74</v>
      </c>
      <c r="M762" t="s">
        <v>78</v>
      </c>
      <c r="N762" t="s">
        <v>79</v>
      </c>
      <c r="O762" t="s">
        <v>74</v>
      </c>
      <c r="P762" t="s">
        <v>74</v>
      </c>
      <c r="Q762" t="s">
        <v>74</v>
      </c>
      <c r="R762" t="s">
        <v>74</v>
      </c>
      <c r="S762" t="s">
        <v>74</v>
      </c>
      <c r="T762" t="s">
        <v>15007</v>
      </c>
      <c r="U762" t="s">
        <v>15008</v>
      </c>
      <c r="V762" t="s">
        <v>15009</v>
      </c>
      <c r="W762" t="s">
        <v>15010</v>
      </c>
      <c r="X762" t="s">
        <v>15011</v>
      </c>
      <c r="Y762" t="s">
        <v>15012</v>
      </c>
      <c r="Z762" t="s">
        <v>15013</v>
      </c>
      <c r="AA762" t="s">
        <v>74</v>
      </c>
      <c r="AB762" t="s">
        <v>15014</v>
      </c>
      <c r="AC762" t="s">
        <v>15015</v>
      </c>
      <c r="AD762" t="s">
        <v>15016</v>
      </c>
      <c r="AE762" t="s">
        <v>15017</v>
      </c>
      <c r="AF762" t="s">
        <v>74</v>
      </c>
      <c r="AG762">
        <v>78</v>
      </c>
      <c r="AH762">
        <v>15</v>
      </c>
      <c r="AI762">
        <v>16</v>
      </c>
      <c r="AJ762">
        <v>1</v>
      </c>
      <c r="AK762">
        <v>3</v>
      </c>
      <c r="AL762" t="s">
        <v>2042</v>
      </c>
      <c r="AM762" t="s">
        <v>2043</v>
      </c>
      <c r="AN762" t="s">
        <v>2044</v>
      </c>
      <c r="AO762" t="s">
        <v>3648</v>
      </c>
      <c r="AP762" t="s">
        <v>3649</v>
      </c>
      <c r="AQ762" t="s">
        <v>74</v>
      </c>
      <c r="AR762" t="s">
        <v>3650</v>
      </c>
      <c r="AS762" t="s">
        <v>3651</v>
      </c>
      <c r="AT762" t="s">
        <v>14983</v>
      </c>
      <c r="AU762">
        <v>2022</v>
      </c>
      <c r="AV762">
        <v>127</v>
      </c>
      <c r="AW762">
        <v>5</v>
      </c>
      <c r="AX762" t="s">
        <v>74</v>
      </c>
      <c r="AY762" t="s">
        <v>74</v>
      </c>
      <c r="AZ762" t="s">
        <v>74</v>
      </c>
      <c r="BA762" t="s">
        <v>74</v>
      </c>
      <c r="BB762" t="s">
        <v>74</v>
      </c>
      <c r="BC762" t="s">
        <v>74</v>
      </c>
      <c r="BD762" t="s">
        <v>15018</v>
      </c>
      <c r="BE762" t="s">
        <v>15019</v>
      </c>
      <c r="BF762" t="str">
        <f>HYPERLINK("http://dx.doi.org/10.1029/2021JD035370","http://dx.doi.org/10.1029/2021JD035370")</f>
        <v>http://dx.doi.org/10.1029/2021JD035370</v>
      </c>
      <c r="BG762" t="s">
        <v>74</v>
      </c>
      <c r="BH762" t="s">
        <v>74</v>
      </c>
      <c r="BI762">
        <v>27</v>
      </c>
      <c r="BJ762" t="s">
        <v>510</v>
      </c>
      <c r="BK762" t="s">
        <v>101</v>
      </c>
      <c r="BL762" t="s">
        <v>510</v>
      </c>
      <c r="BM762" t="s">
        <v>15020</v>
      </c>
      <c r="BN762" t="s">
        <v>74</v>
      </c>
      <c r="BO762" t="s">
        <v>986</v>
      </c>
      <c r="BP762" t="s">
        <v>74</v>
      </c>
      <c r="BQ762" t="s">
        <v>74</v>
      </c>
      <c r="BR762" t="s">
        <v>103</v>
      </c>
      <c r="BS762" t="s">
        <v>15021</v>
      </c>
      <c r="BT762" t="str">
        <f>HYPERLINK("https%3A%2F%2Fwww.webofscience.com%2Fwos%2Fwoscc%2Ffull-record%2FWOS:000771343200009","View Full Record in Web of Science")</f>
        <v>View Full Record in Web of Science</v>
      </c>
    </row>
    <row r="763" spans="1:72" x14ac:dyDescent="0.15">
      <c r="A763" t="s">
        <v>72</v>
      </c>
      <c r="B763" t="s">
        <v>15022</v>
      </c>
      <c r="C763" t="s">
        <v>74</v>
      </c>
      <c r="D763" t="s">
        <v>74</v>
      </c>
      <c r="E763" t="s">
        <v>74</v>
      </c>
      <c r="F763" t="s">
        <v>15023</v>
      </c>
      <c r="G763" t="s">
        <v>74</v>
      </c>
      <c r="H763" t="s">
        <v>74</v>
      </c>
      <c r="I763" t="s">
        <v>15024</v>
      </c>
      <c r="J763" t="s">
        <v>3419</v>
      </c>
      <c r="K763" t="s">
        <v>74</v>
      </c>
      <c r="L763" t="s">
        <v>74</v>
      </c>
      <c r="M763" t="s">
        <v>78</v>
      </c>
      <c r="N763" t="s">
        <v>79</v>
      </c>
      <c r="O763" t="s">
        <v>74</v>
      </c>
      <c r="P763" t="s">
        <v>74</v>
      </c>
      <c r="Q763" t="s">
        <v>74</v>
      </c>
      <c r="R763" t="s">
        <v>74</v>
      </c>
      <c r="S763" t="s">
        <v>74</v>
      </c>
      <c r="T763" t="s">
        <v>15025</v>
      </c>
      <c r="U763" t="s">
        <v>15026</v>
      </c>
      <c r="V763" t="s">
        <v>15027</v>
      </c>
      <c r="W763" t="s">
        <v>15028</v>
      </c>
      <c r="X763" t="s">
        <v>15029</v>
      </c>
      <c r="Y763" t="s">
        <v>15030</v>
      </c>
      <c r="Z763" t="s">
        <v>15031</v>
      </c>
      <c r="AA763" t="s">
        <v>8447</v>
      </c>
      <c r="AB763" t="s">
        <v>15032</v>
      </c>
      <c r="AC763" t="s">
        <v>15033</v>
      </c>
      <c r="AD763" t="s">
        <v>15034</v>
      </c>
      <c r="AE763" t="s">
        <v>15035</v>
      </c>
      <c r="AF763" t="s">
        <v>74</v>
      </c>
      <c r="AG763">
        <v>46</v>
      </c>
      <c r="AH763">
        <v>19</v>
      </c>
      <c r="AI763">
        <v>22</v>
      </c>
      <c r="AJ763">
        <v>0</v>
      </c>
      <c r="AK763">
        <v>2</v>
      </c>
      <c r="AL763" t="s">
        <v>2042</v>
      </c>
      <c r="AM763" t="s">
        <v>2043</v>
      </c>
      <c r="AN763" t="s">
        <v>2044</v>
      </c>
      <c r="AO763" t="s">
        <v>3432</v>
      </c>
      <c r="AP763" t="s">
        <v>3433</v>
      </c>
      <c r="AQ763" t="s">
        <v>74</v>
      </c>
      <c r="AR763" t="s">
        <v>3434</v>
      </c>
      <c r="AS763" t="s">
        <v>3435</v>
      </c>
      <c r="AT763" t="s">
        <v>14983</v>
      </c>
      <c r="AU763">
        <v>2022</v>
      </c>
      <c r="AV763">
        <v>49</v>
      </c>
      <c r="AW763">
        <v>5</v>
      </c>
      <c r="AX763" t="s">
        <v>74</v>
      </c>
      <c r="AY763" t="s">
        <v>74</v>
      </c>
      <c r="AZ763" t="s">
        <v>74</v>
      </c>
      <c r="BA763" t="s">
        <v>74</v>
      </c>
      <c r="BB763" t="s">
        <v>74</v>
      </c>
      <c r="BC763" t="s">
        <v>74</v>
      </c>
      <c r="BD763" t="s">
        <v>15036</v>
      </c>
      <c r="BE763" t="s">
        <v>15037</v>
      </c>
      <c r="BF763" t="str">
        <f>HYPERLINK("http://dx.doi.org/10.1029/2021GL097559","http://dx.doi.org/10.1029/2021GL097559")</f>
        <v>http://dx.doi.org/10.1029/2021GL097559</v>
      </c>
      <c r="BG763" t="s">
        <v>74</v>
      </c>
      <c r="BH763" t="s">
        <v>74</v>
      </c>
      <c r="BI763">
        <v>11</v>
      </c>
      <c r="BJ763" t="s">
        <v>265</v>
      </c>
      <c r="BK763" t="s">
        <v>101</v>
      </c>
      <c r="BL763" t="s">
        <v>100</v>
      </c>
      <c r="BM763" t="s">
        <v>15038</v>
      </c>
      <c r="BN763" t="s">
        <v>74</v>
      </c>
      <c r="BO763" t="s">
        <v>8378</v>
      </c>
      <c r="BP763" t="s">
        <v>74</v>
      </c>
      <c r="BQ763" t="s">
        <v>74</v>
      </c>
      <c r="BR763" t="s">
        <v>103</v>
      </c>
      <c r="BS763" t="s">
        <v>15039</v>
      </c>
      <c r="BT763" t="str">
        <f>HYPERLINK("https%3A%2F%2Fwww.webofscience.com%2Fwos%2Fwoscc%2Ffull-record%2FWOS:000773409300029","View Full Record in Web of Science")</f>
        <v>View Full Record in Web of Science</v>
      </c>
    </row>
    <row r="764" spans="1:72" x14ac:dyDescent="0.15">
      <c r="A764" t="s">
        <v>72</v>
      </c>
      <c r="B764" t="s">
        <v>15040</v>
      </c>
      <c r="C764" t="s">
        <v>74</v>
      </c>
      <c r="D764" t="s">
        <v>74</v>
      </c>
      <c r="E764" t="s">
        <v>74</v>
      </c>
      <c r="F764" t="s">
        <v>15041</v>
      </c>
      <c r="G764" t="s">
        <v>74</v>
      </c>
      <c r="H764" t="s">
        <v>74</v>
      </c>
      <c r="I764" t="s">
        <v>15042</v>
      </c>
      <c r="J764" t="s">
        <v>3419</v>
      </c>
      <c r="K764" t="s">
        <v>74</v>
      </c>
      <c r="L764" t="s">
        <v>74</v>
      </c>
      <c r="M764" t="s">
        <v>78</v>
      </c>
      <c r="N764" t="s">
        <v>79</v>
      </c>
      <c r="O764" t="s">
        <v>74</v>
      </c>
      <c r="P764" t="s">
        <v>74</v>
      </c>
      <c r="Q764" t="s">
        <v>74</v>
      </c>
      <c r="R764" t="s">
        <v>74</v>
      </c>
      <c r="S764" t="s">
        <v>74</v>
      </c>
      <c r="T764" t="s">
        <v>15043</v>
      </c>
      <c r="U764" t="s">
        <v>15044</v>
      </c>
      <c r="V764" t="s">
        <v>15045</v>
      </c>
      <c r="W764" t="s">
        <v>15046</v>
      </c>
      <c r="X764" t="s">
        <v>15047</v>
      </c>
      <c r="Y764" t="s">
        <v>15048</v>
      </c>
      <c r="Z764" t="s">
        <v>15049</v>
      </c>
      <c r="AA764" t="s">
        <v>74</v>
      </c>
      <c r="AB764" t="s">
        <v>15050</v>
      </c>
      <c r="AC764" t="s">
        <v>15051</v>
      </c>
      <c r="AD764" t="s">
        <v>15052</v>
      </c>
      <c r="AE764" t="s">
        <v>15053</v>
      </c>
      <c r="AF764" t="s">
        <v>74</v>
      </c>
      <c r="AG764">
        <v>40</v>
      </c>
      <c r="AH764">
        <v>3</v>
      </c>
      <c r="AI764">
        <v>3</v>
      </c>
      <c r="AJ764">
        <v>0</v>
      </c>
      <c r="AK764">
        <v>2</v>
      </c>
      <c r="AL764" t="s">
        <v>2042</v>
      </c>
      <c r="AM764" t="s">
        <v>2043</v>
      </c>
      <c r="AN764" t="s">
        <v>2044</v>
      </c>
      <c r="AO764" t="s">
        <v>3432</v>
      </c>
      <c r="AP764" t="s">
        <v>3433</v>
      </c>
      <c r="AQ764" t="s">
        <v>74</v>
      </c>
      <c r="AR764" t="s">
        <v>3434</v>
      </c>
      <c r="AS764" t="s">
        <v>3435</v>
      </c>
      <c r="AT764" t="s">
        <v>14983</v>
      </c>
      <c r="AU764">
        <v>2022</v>
      </c>
      <c r="AV764">
        <v>49</v>
      </c>
      <c r="AW764">
        <v>5</v>
      </c>
      <c r="AX764" t="s">
        <v>74</v>
      </c>
      <c r="AY764" t="s">
        <v>74</v>
      </c>
      <c r="AZ764" t="s">
        <v>74</v>
      </c>
      <c r="BA764" t="s">
        <v>74</v>
      </c>
      <c r="BB764" t="s">
        <v>74</v>
      </c>
      <c r="BC764" t="s">
        <v>74</v>
      </c>
      <c r="BD764" t="s">
        <v>15054</v>
      </c>
      <c r="BE764" t="s">
        <v>15055</v>
      </c>
      <c r="BF764" t="str">
        <f>HYPERLINK("http://dx.doi.org/10.1029/2021GL096119","http://dx.doi.org/10.1029/2021GL096119")</f>
        <v>http://dx.doi.org/10.1029/2021GL096119</v>
      </c>
      <c r="BG764" t="s">
        <v>74</v>
      </c>
      <c r="BH764" t="s">
        <v>74</v>
      </c>
      <c r="BI764">
        <v>11</v>
      </c>
      <c r="BJ764" t="s">
        <v>265</v>
      </c>
      <c r="BK764" t="s">
        <v>101</v>
      </c>
      <c r="BL764" t="s">
        <v>100</v>
      </c>
      <c r="BM764" t="s">
        <v>15038</v>
      </c>
      <c r="BN764" t="s">
        <v>74</v>
      </c>
      <c r="BO764" t="s">
        <v>465</v>
      </c>
      <c r="BP764" t="s">
        <v>74</v>
      </c>
      <c r="BQ764" t="s">
        <v>74</v>
      </c>
      <c r="BR764" t="s">
        <v>103</v>
      </c>
      <c r="BS764" t="s">
        <v>15056</v>
      </c>
      <c r="BT764" t="str">
        <f>HYPERLINK("https%3A%2F%2Fwww.webofscience.com%2Fwos%2Fwoscc%2Ffull-record%2FWOS:000773409300038","View Full Record in Web of Science")</f>
        <v>View Full Record in Web of Science</v>
      </c>
    </row>
    <row r="765" spans="1:72" x14ac:dyDescent="0.15">
      <c r="A765" t="s">
        <v>72</v>
      </c>
      <c r="B765" t="s">
        <v>15057</v>
      </c>
      <c r="C765" t="s">
        <v>74</v>
      </c>
      <c r="D765" t="s">
        <v>74</v>
      </c>
      <c r="E765" t="s">
        <v>74</v>
      </c>
      <c r="F765" t="s">
        <v>15058</v>
      </c>
      <c r="G765" t="s">
        <v>74</v>
      </c>
      <c r="H765" t="s">
        <v>74</v>
      </c>
      <c r="I765" t="s">
        <v>15059</v>
      </c>
      <c r="J765" t="s">
        <v>3419</v>
      </c>
      <c r="K765" t="s">
        <v>74</v>
      </c>
      <c r="L765" t="s">
        <v>74</v>
      </c>
      <c r="M765" t="s">
        <v>78</v>
      </c>
      <c r="N765" t="s">
        <v>79</v>
      </c>
      <c r="O765" t="s">
        <v>74</v>
      </c>
      <c r="P765" t="s">
        <v>74</v>
      </c>
      <c r="Q765" t="s">
        <v>74</v>
      </c>
      <c r="R765" t="s">
        <v>74</v>
      </c>
      <c r="S765" t="s">
        <v>74</v>
      </c>
      <c r="T765" t="s">
        <v>15060</v>
      </c>
      <c r="U765" t="s">
        <v>15061</v>
      </c>
      <c r="V765" t="s">
        <v>15062</v>
      </c>
      <c r="W765" t="s">
        <v>15063</v>
      </c>
      <c r="X765" t="s">
        <v>15064</v>
      </c>
      <c r="Y765" t="s">
        <v>15065</v>
      </c>
      <c r="Z765" t="s">
        <v>15066</v>
      </c>
      <c r="AA765" t="s">
        <v>15067</v>
      </c>
      <c r="AB765" t="s">
        <v>15068</v>
      </c>
      <c r="AC765" t="s">
        <v>15069</v>
      </c>
      <c r="AD765" t="s">
        <v>15070</v>
      </c>
      <c r="AE765" t="s">
        <v>15071</v>
      </c>
      <c r="AF765" t="s">
        <v>74</v>
      </c>
      <c r="AG765">
        <v>76</v>
      </c>
      <c r="AH765">
        <v>4</v>
      </c>
      <c r="AI765">
        <v>4</v>
      </c>
      <c r="AJ765">
        <v>3</v>
      </c>
      <c r="AK765">
        <v>6</v>
      </c>
      <c r="AL765" t="s">
        <v>2042</v>
      </c>
      <c r="AM765" t="s">
        <v>2043</v>
      </c>
      <c r="AN765" t="s">
        <v>2044</v>
      </c>
      <c r="AO765" t="s">
        <v>3432</v>
      </c>
      <c r="AP765" t="s">
        <v>3433</v>
      </c>
      <c r="AQ765" t="s">
        <v>74</v>
      </c>
      <c r="AR765" t="s">
        <v>3434</v>
      </c>
      <c r="AS765" t="s">
        <v>3435</v>
      </c>
      <c r="AT765" t="s">
        <v>14983</v>
      </c>
      <c r="AU765">
        <v>2022</v>
      </c>
      <c r="AV765">
        <v>49</v>
      </c>
      <c r="AW765">
        <v>5</v>
      </c>
      <c r="AX765" t="s">
        <v>74</v>
      </c>
      <c r="AY765" t="s">
        <v>74</v>
      </c>
      <c r="AZ765" t="s">
        <v>74</v>
      </c>
      <c r="BA765" t="s">
        <v>74</v>
      </c>
      <c r="BB765" t="s">
        <v>74</v>
      </c>
      <c r="BC765" t="s">
        <v>74</v>
      </c>
      <c r="BD765" t="s">
        <v>15072</v>
      </c>
      <c r="BE765" t="s">
        <v>15073</v>
      </c>
      <c r="BF765" t="str">
        <f>HYPERLINK("http://dx.doi.org/10.1029/2021GL095194","http://dx.doi.org/10.1029/2021GL095194")</f>
        <v>http://dx.doi.org/10.1029/2021GL095194</v>
      </c>
      <c r="BG765" t="s">
        <v>74</v>
      </c>
      <c r="BH765" t="s">
        <v>74</v>
      </c>
      <c r="BI765">
        <v>12</v>
      </c>
      <c r="BJ765" t="s">
        <v>265</v>
      </c>
      <c r="BK765" t="s">
        <v>101</v>
      </c>
      <c r="BL765" t="s">
        <v>100</v>
      </c>
      <c r="BM765" t="s">
        <v>15038</v>
      </c>
      <c r="BN765" t="s">
        <v>74</v>
      </c>
      <c r="BO765" t="s">
        <v>1483</v>
      </c>
      <c r="BP765" t="s">
        <v>74</v>
      </c>
      <c r="BQ765" t="s">
        <v>74</v>
      </c>
      <c r="BR765" t="s">
        <v>103</v>
      </c>
      <c r="BS765" t="s">
        <v>15074</v>
      </c>
      <c r="BT765" t="str">
        <f>HYPERLINK("https%3A%2F%2Fwww.webofscience.com%2Fwos%2Fwoscc%2Ffull-record%2FWOS:000773409300004","View Full Record in Web of Science")</f>
        <v>View Full Record in Web of Science</v>
      </c>
    </row>
    <row r="766" spans="1:72" x14ac:dyDescent="0.15">
      <c r="A766" t="s">
        <v>72</v>
      </c>
      <c r="B766" t="s">
        <v>15075</v>
      </c>
      <c r="C766" t="s">
        <v>74</v>
      </c>
      <c r="D766" t="s">
        <v>74</v>
      </c>
      <c r="E766" t="s">
        <v>74</v>
      </c>
      <c r="F766" t="s">
        <v>15076</v>
      </c>
      <c r="G766" t="s">
        <v>74</v>
      </c>
      <c r="H766" t="s">
        <v>74</v>
      </c>
      <c r="I766" t="s">
        <v>15077</v>
      </c>
      <c r="J766" t="s">
        <v>3419</v>
      </c>
      <c r="K766" t="s">
        <v>74</v>
      </c>
      <c r="L766" t="s">
        <v>74</v>
      </c>
      <c r="M766" t="s">
        <v>78</v>
      </c>
      <c r="N766" t="s">
        <v>79</v>
      </c>
      <c r="O766" t="s">
        <v>74</v>
      </c>
      <c r="P766" t="s">
        <v>74</v>
      </c>
      <c r="Q766" t="s">
        <v>74</v>
      </c>
      <c r="R766" t="s">
        <v>74</v>
      </c>
      <c r="S766" t="s">
        <v>74</v>
      </c>
      <c r="T766" t="s">
        <v>15078</v>
      </c>
      <c r="U766" t="s">
        <v>15079</v>
      </c>
      <c r="V766" t="s">
        <v>15080</v>
      </c>
      <c r="W766" t="s">
        <v>15081</v>
      </c>
      <c r="X766" t="s">
        <v>15082</v>
      </c>
      <c r="Y766" t="s">
        <v>15083</v>
      </c>
      <c r="Z766" t="s">
        <v>15084</v>
      </c>
      <c r="AA766" t="s">
        <v>15085</v>
      </c>
      <c r="AB766" t="s">
        <v>15086</v>
      </c>
      <c r="AC766" t="s">
        <v>15087</v>
      </c>
      <c r="AD766" t="s">
        <v>15088</v>
      </c>
      <c r="AE766" t="s">
        <v>15089</v>
      </c>
      <c r="AF766" t="s">
        <v>74</v>
      </c>
      <c r="AG766">
        <v>58</v>
      </c>
      <c r="AH766">
        <v>30</v>
      </c>
      <c r="AI766">
        <v>31</v>
      </c>
      <c r="AJ766">
        <v>2</v>
      </c>
      <c r="AK766">
        <v>12</v>
      </c>
      <c r="AL766" t="s">
        <v>2042</v>
      </c>
      <c r="AM766" t="s">
        <v>2043</v>
      </c>
      <c r="AN766" t="s">
        <v>2044</v>
      </c>
      <c r="AO766" t="s">
        <v>3432</v>
      </c>
      <c r="AP766" t="s">
        <v>3433</v>
      </c>
      <c r="AQ766" t="s">
        <v>74</v>
      </c>
      <c r="AR766" t="s">
        <v>3434</v>
      </c>
      <c r="AS766" t="s">
        <v>3435</v>
      </c>
      <c r="AT766" t="s">
        <v>14983</v>
      </c>
      <c r="AU766">
        <v>2022</v>
      </c>
      <c r="AV766">
        <v>49</v>
      </c>
      <c r="AW766">
        <v>5</v>
      </c>
      <c r="AX766" t="s">
        <v>74</v>
      </c>
      <c r="AY766" t="s">
        <v>74</v>
      </c>
      <c r="AZ766" t="s">
        <v>74</v>
      </c>
      <c r="BA766" t="s">
        <v>74</v>
      </c>
      <c r="BB766" t="s">
        <v>74</v>
      </c>
      <c r="BC766" t="s">
        <v>74</v>
      </c>
      <c r="BD766" t="s">
        <v>15090</v>
      </c>
      <c r="BE766" t="s">
        <v>15091</v>
      </c>
      <c r="BF766" t="str">
        <f>HYPERLINK("http://dx.doi.org/10.1029/2021GL094566","http://dx.doi.org/10.1029/2021GL094566")</f>
        <v>http://dx.doi.org/10.1029/2021GL094566</v>
      </c>
      <c r="BG766" t="s">
        <v>74</v>
      </c>
      <c r="BH766" t="s">
        <v>74</v>
      </c>
      <c r="BI766">
        <v>10</v>
      </c>
      <c r="BJ766" t="s">
        <v>265</v>
      </c>
      <c r="BK766" t="s">
        <v>101</v>
      </c>
      <c r="BL766" t="s">
        <v>100</v>
      </c>
      <c r="BM766" t="s">
        <v>15038</v>
      </c>
      <c r="BN766" t="s">
        <v>74</v>
      </c>
      <c r="BO766" t="s">
        <v>883</v>
      </c>
      <c r="BP766" t="s">
        <v>74</v>
      </c>
      <c r="BQ766" t="s">
        <v>74</v>
      </c>
      <c r="BR766" t="s">
        <v>103</v>
      </c>
      <c r="BS766" t="s">
        <v>15092</v>
      </c>
      <c r="BT766" t="str">
        <f>HYPERLINK("https%3A%2F%2Fwww.webofscience.com%2Fwos%2Fwoscc%2Ffull-record%2FWOS:000773409300023","View Full Record in Web of Science")</f>
        <v>View Full Record in Web of Science</v>
      </c>
    </row>
    <row r="767" spans="1:72" x14ac:dyDescent="0.15">
      <c r="A767" t="s">
        <v>72</v>
      </c>
      <c r="B767" t="s">
        <v>15093</v>
      </c>
      <c r="C767" t="s">
        <v>74</v>
      </c>
      <c r="D767" t="s">
        <v>74</v>
      </c>
      <c r="E767" t="s">
        <v>74</v>
      </c>
      <c r="F767" t="s">
        <v>15094</v>
      </c>
      <c r="G767" t="s">
        <v>74</v>
      </c>
      <c r="H767" t="s">
        <v>74</v>
      </c>
      <c r="I767" t="s">
        <v>15095</v>
      </c>
      <c r="J767" t="s">
        <v>3419</v>
      </c>
      <c r="K767" t="s">
        <v>74</v>
      </c>
      <c r="L767" t="s">
        <v>74</v>
      </c>
      <c r="M767" t="s">
        <v>78</v>
      </c>
      <c r="N767" t="s">
        <v>79</v>
      </c>
      <c r="O767" t="s">
        <v>74</v>
      </c>
      <c r="P767" t="s">
        <v>74</v>
      </c>
      <c r="Q767" t="s">
        <v>74</v>
      </c>
      <c r="R767" t="s">
        <v>74</v>
      </c>
      <c r="S767" t="s">
        <v>74</v>
      </c>
      <c r="T767" t="s">
        <v>15096</v>
      </c>
      <c r="U767" t="s">
        <v>15097</v>
      </c>
      <c r="V767" t="s">
        <v>15098</v>
      </c>
      <c r="W767" t="s">
        <v>15099</v>
      </c>
      <c r="X767" t="s">
        <v>15100</v>
      </c>
      <c r="Y767" t="s">
        <v>15101</v>
      </c>
      <c r="Z767" t="s">
        <v>15102</v>
      </c>
      <c r="AA767" t="s">
        <v>74</v>
      </c>
      <c r="AB767" t="s">
        <v>74</v>
      </c>
      <c r="AC767" t="s">
        <v>15103</v>
      </c>
      <c r="AD767" t="s">
        <v>4081</v>
      </c>
      <c r="AE767" t="s">
        <v>15104</v>
      </c>
      <c r="AF767" t="s">
        <v>74</v>
      </c>
      <c r="AG767">
        <v>15</v>
      </c>
      <c r="AH767">
        <v>1</v>
      </c>
      <c r="AI767">
        <v>1</v>
      </c>
      <c r="AJ767">
        <v>4</v>
      </c>
      <c r="AK767">
        <v>4</v>
      </c>
      <c r="AL767" t="s">
        <v>2042</v>
      </c>
      <c r="AM767" t="s">
        <v>2043</v>
      </c>
      <c r="AN767" t="s">
        <v>2044</v>
      </c>
      <c r="AO767" t="s">
        <v>3432</v>
      </c>
      <c r="AP767" t="s">
        <v>3433</v>
      </c>
      <c r="AQ767" t="s">
        <v>74</v>
      </c>
      <c r="AR767" t="s">
        <v>3434</v>
      </c>
      <c r="AS767" t="s">
        <v>3435</v>
      </c>
      <c r="AT767" t="s">
        <v>14983</v>
      </c>
      <c r="AU767">
        <v>2022</v>
      </c>
      <c r="AV767">
        <v>49</v>
      </c>
      <c r="AW767">
        <v>5</v>
      </c>
      <c r="AX767" t="s">
        <v>74</v>
      </c>
      <c r="AY767" t="s">
        <v>74</v>
      </c>
      <c r="AZ767" t="s">
        <v>74</v>
      </c>
      <c r="BA767" t="s">
        <v>74</v>
      </c>
      <c r="BB767" t="s">
        <v>74</v>
      </c>
      <c r="BC767" t="s">
        <v>74</v>
      </c>
      <c r="BD767" t="s">
        <v>15105</v>
      </c>
      <c r="BE767" t="s">
        <v>15106</v>
      </c>
      <c r="BF767" t="str">
        <f>HYPERLINK("http://dx.doi.org/10.1029/2021GL095613","http://dx.doi.org/10.1029/2021GL095613")</f>
        <v>http://dx.doi.org/10.1029/2021GL095613</v>
      </c>
      <c r="BG767" t="s">
        <v>74</v>
      </c>
      <c r="BH767" t="s">
        <v>74</v>
      </c>
      <c r="BI767">
        <v>8</v>
      </c>
      <c r="BJ767" t="s">
        <v>265</v>
      </c>
      <c r="BK767" t="s">
        <v>101</v>
      </c>
      <c r="BL767" t="s">
        <v>100</v>
      </c>
      <c r="BM767" t="s">
        <v>15038</v>
      </c>
      <c r="BN767" t="s">
        <v>74</v>
      </c>
      <c r="BO767" t="s">
        <v>1483</v>
      </c>
      <c r="BP767" t="s">
        <v>74</v>
      </c>
      <c r="BQ767" t="s">
        <v>74</v>
      </c>
      <c r="BR767" t="s">
        <v>103</v>
      </c>
      <c r="BS767" t="s">
        <v>15107</v>
      </c>
      <c r="BT767" t="str">
        <f>HYPERLINK("https%3A%2F%2Fwww.webofscience.com%2Fwos%2Fwoscc%2Ffull-record%2FWOS:000773409300076","View Full Record in Web of Science")</f>
        <v>View Full Record in Web of Science</v>
      </c>
    </row>
    <row r="768" spans="1:72" x14ac:dyDescent="0.15">
      <c r="A768" t="s">
        <v>72</v>
      </c>
      <c r="B768" t="s">
        <v>15108</v>
      </c>
      <c r="C768" t="s">
        <v>74</v>
      </c>
      <c r="D768" t="s">
        <v>74</v>
      </c>
      <c r="E768" t="s">
        <v>74</v>
      </c>
      <c r="F768" t="s">
        <v>15109</v>
      </c>
      <c r="G768" t="s">
        <v>74</v>
      </c>
      <c r="H768" t="s">
        <v>74</v>
      </c>
      <c r="I768" t="s">
        <v>15110</v>
      </c>
      <c r="J768" t="s">
        <v>3419</v>
      </c>
      <c r="K768" t="s">
        <v>74</v>
      </c>
      <c r="L768" t="s">
        <v>74</v>
      </c>
      <c r="M768" t="s">
        <v>78</v>
      </c>
      <c r="N768" t="s">
        <v>79</v>
      </c>
      <c r="O768" t="s">
        <v>74</v>
      </c>
      <c r="P768" t="s">
        <v>74</v>
      </c>
      <c r="Q768" t="s">
        <v>74</v>
      </c>
      <c r="R768" t="s">
        <v>74</v>
      </c>
      <c r="S768" t="s">
        <v>74</v>
      </c>
      <c r="T768" t="s">
        <v>15111</v>
      </c>
      <c r="U768" t="s">
        <v>15112</v>
      </c>
      <c r="V768" t="s">
        <v>15113</v>
      </c>
      <c r="W768" t="s">
        <v>15114</v>
      </c>
      <c r="X768" t="s">
        <v>15115</v>
      </c>
      <c r="Y768" t="s">
        <v>15116</v>
      </c>
      <c r="Z768" t="s">
        <v>15117</v>
      </c>
      <c r="AA768" t="s">
        <v>15118</v>
      </c>
      <c r="AB768" t="s">
        <v>15119</v>
      </c>
      <c r="AC768" t="s">
        <v>15120</v>
      </c>
      <c r="AD768" t="s">
        <v>15121</v>
      </c>
      <c r="AE768" t="s">
        <v>15122</v>
      </c>
      <c r="AF768" t="s">
        <v>74</v>
      </c>
      <c r="AG768">
        <v>36</v>
      </c>
      <c r="AH768">
        <v>8</v>
      </c>
      <c r="AI768">
        <v>8</v>
      </c>
      <c r="AJ768">
        <v>3</v>
      </c>
      <c r="AK768">
        <v>9</v>
      </c>
      <c r="AL768" t="s">
        <v>2042</v>
      </c>
      <c r="AM768" t="s">
        <v>2043</v>
      </c>
      <c r="AN768" t="s">
        <v>2044</v>
      </c>
      <c r="AO768" t="s">
        <v>3432</v>
      </c>
      <c r="AP768" t="s">
        <v>3433</v>
      </c>
      <c r="AQ768" t="s">
        <v>74</v>
      </c>
      <c r="AR768" t="s">
        <v>3434</v>
      </c>
      <c r="AS768" t="s">
        <v>3435</v>
      </c>
      <c r="AT768" t="s">
        <v>14983</v>
      </c>
      <c r="AU768">
        <v>2022</v>
      </c>
      <c r="AV768">
        <v>49</v>
      </c>
      <c r="AW768">
        <v>5</v>
      </c>
      <c r="AX768" t="s">
        <v>74</v>
      </c>
      <c r="AY768" t="s">
        <v>74</v>
      </c>
      <c r="AZ768" t="s">
        <v>74</v>
      </c>
      <c r="BA768" t="s">
        <v>74</v>
      </c>
      <c r="BB768" t="s">
        <v>74</v>
      </c>
      <c r="BC768" t="s">
        <v>74</v>
      </c>
      <c r="BD768" t="s">
        <v>15123</v>
      </c>
      <c r="BE768" t="s">
        <v>15124</v>
      </c>
      <c r="BF768" t="str">
        <f>HYPERLINK("http://dx.doi.org/10.1029/2021GL096152","http://dx.doi.org/10.1029/2021GL096152")</f>
        <v>http://dx.doi.org/10.1029/2021GL096152</v>
      </c>
      <c r="BG768" t="s">
        <v>74</v>
      </c>
      <c r="BH768" t="s">
        <v>74</v>
      </c>
      <c r="BI768">
        <v>10</v>
      </c>
      <c r="BJ768" t="s">
        <v>265</v>
      </c>
      <c r="BK768" t="s">
        <v>101</v>
      </c>
      <c r="BL768" t="s">
        <v>100</v>
      </c>
      <c r="BM768" t="s">
        <v>15038</v>
      </c>
      <c r="BN768" t="s">
        <v>74</v>
      </c>
      <c r="BO768" t="s">
        <v>590</v>
      </c>
      <c r="BP768" t="s">
        <v>74</v>
      </c>
      <c r="BQ768" t="s">
        <v>74</v>
      </c>
      <c r="BR768" t="s">
        <v>103</v>
      </c>
      <c r="BS768" t="s">
        <v>15125</v>
      </c>
      <c r="BT768" t="str">
        <f>HYPERLINK("https%3A%2F%2Fwww.webofscience.com%2Fwos%2Fwoscc%2Ffull-record%2FWOS:000773409300028","View Full Record in Web of Science")</f>
        <v>View Full Record in Web of Science</v>
      </c>
    </row>
    <row r="769" spans="1:72" x14ac:dyDescent="0.15">
      <c r="A769" t="s">
        <v>72</v>
      </c>
      <c r="B769" t="s">
        <v>15126</v>
      </c>
      <c r="C769" t="s">
        <v>74</v>
      </c>
      <c r="D769" t="s">
        <v>74</v>
      </c>
      <c r="E769" t="s">
        <v>74</v>
      </c>
      <c r="F769" t="s">
        <v>15127</v>
      </c>
      <c r="G769" t="s">
        <v>74</v>
      </c>
      <c r="H769" t="s">
        <v>74</v>
      </c>
      <c r="I769" t="s">
        <v>15128</v>
      </c>
      <c r="J769" t="s">
        <v>9250</v>
      </c>
      <c r="K769" t="s">
        <v>74</v>
      </c>
      <c r="L769" t="s">
        <v>74</v>
      </c>
      <c r="M769" t="s">
        <v>78</v>
      </c>
      <c r="N769" t="s">
        <v>79</v>
      </c>
      <c r="O769" t="s">
        <v>74</v>
      </c>
      <c r="P769" t="s">
        <v>74</v>
      </c>
      <c r="Q769" t="s">
        <v>74</v>
      </c>
      <c r="R769" t="s">
        <v>74</v>
      </c>
      <c r="S769" t="s">
        <v>74</v>
      </c>
      <c r="T769" t="s">
        <v>74</v>
      </c>
      <c r="U769" t="s">
        <v>15129</v>
      </c>
      <c r="V769" t="s">
        <v>15130</v>
      </c>
      <c r="W769" t="s">
        <v>15131</v>
      </c>
      <c r="X769" t="s">
        <v>15132</v>
      </c>
      <c r="Y769" t="s">
        <v>15133</v>
      </c>
      <c r="Z769" t="s">
        <v>15134</v>
      </c>
      <c r="AA769" t="s">
        <v>15135</v>
      </c>
      <c r="AB769" t="s">
        <v>15136</v>
      </c>
      <c r="AC769" t="s">
        <v>15137</v>
      </c>
      <c r="AD769" t="s">
        <v>9191</v>
      </c>
      <c r="AE769" t="s">
        <v>15138</v>
      </c>
      <c r="AF769" t="s">
        <v>74</v>
      </c>
      <c r="AG769">
        <v>94</v>
      </c>
      <c r="AH769">
        <v>3</v>
      </c>
      <c r="AI769">
        <v>3</v>
      </c>
      <c r="AJ769">
        <v>2</v>
      </c>
      <c r="AK769">
        <v>13</v>
      </c>
      <c r="AL769" t="s">
        <v>117</v>
      </c>
      <c r="AM769" t="s">
        <v>118</v>
      </c>
      <c r="AN769" t="s">
        <v>119</v>
      </c>
      <c r="AO769" t="s">
        <v>9262</v>
      </c>
      <c r="AP769" t="s">
        <v>9263</v>
      </c>
      <c r="AQ769" t="s">
        <v>74</v>
      </c>
      <c r="AR769" t="s">
        <v>9264</v>
      </c>
      <c r="AS769" t="s">
        <v>9265</v>
      </c>
      <c r="AT769" t="s">
        <v>14983</v>
      </c>
      <c r="AU769">
        <v>2022</v>
      </c>
      <c r="AV769">
        <v>18</v>
      </c>
      <c r="AW769">
        <v>3</v>
      </c>
      <c r="AX769" t="s">
        <v>74</v>
      </c>
      <c r="AY769" t="s">
        <v>74</v>
      </c>
      <c r="AZ769" t="s">
        <v>74</v>
      </c>
      <c r="BA769" t="s">
        <v>74</v>
      </c>
      <c r="BB769">
        <v>507</v>
      </c>
      <c r="BC769">
        <v>523</v>
      </c>
      <c r="BD769" t="s">
        <v>74</v>
      </c>
      <c r="BE769" t="s">
        <v>15139</v>
      </c>
      <c r="BF769" t="str">
        <f>HYPERLINK("http://dx.doi.org/10.5194/cp-18-507-2022","http://dx.doi.org/10.5194/cp-18-507-2022")</f>
        <v>http://dx.doi.org/10.5194/cp-18-507-2022</v>
      </c>
      <c r="BG769" t="s">
        <v>74</v>
      </c>
      <c r="BH769" t="s">
        <v>74</v>
      </c>
      <c r="BI769">
        <v>17</v>
      </c>
      <c r="BJ769" t="s">
        <v>613</v>
      </c>
      <c r="BK769" t="s">
        <v>101</v>
      </c>
      <c r="BL769" t="s">
        <v>614</v>
      </c>
      <c r="BM769" t="s">
        <v>15140</v>
      </c>
      <c r="BN769" t="s">
        <v>74</v>
      </c>
      <c r="BO769" t="s">
        <v>2560</v>
      </c>
      <c r="BP769" t="s">
        <v>74</v>
      </c>
      <c r="BQ769" t="s">
        <v>74</v>
      </c>
      <c r="BR769" t="s">
        <v>103</v>
      </c>
      <c r="BS769" t="s">
        <v>15141</v>
      </c>
      <c r="BT769" t="str">
        <f>HYPERLINK("https%3A%2F%2Fwww.webofscience.com%2Fwos%2Fwoscc%2Ffull-record%2FWOS:000772541000001","View Full Record in Web of Science")</f>
        <v>View Full Record in Web of Science</v>
      </c>
    </row>
    <row r="770" spans="1:72" x14ac:dyDescent="0.15">
      <c r="A770" t="s">
        <v>72</v>
      </c>
      <c r="B770" t="s">
        <v>15142</v>
      </c>
      <c r="C770" t="s">
        <v>74</v>
      </c>
      <c r="D770" t="s">
        <v>74</v>
      </c>
      <c r="E770" t="s">
        <v>74</v>
      </c>
      <c r="F770" t="s">
        <v>15143</v>
      </c>
      <c r="G770" t="s">
        <v>74</v>
      </c>
      <c r="H770" t="s">
        <v>74</v>
      </c>
      <c r="I770" t="s">
        <v>15144</v>
      </c>
      <c r="J770" t="s">
        <v>9065</v>
      </c>
      <c r="K770" t="s">
        <v>74</v>
      </c>
      <c r="L770" t="s">
        <v>74</v>
      </c>
      <c r="M770" t="s">
        <v>78</v>
      </c>
      <c r="N770" t="s">
        <v>79</v>
      </c>
      <c r="O770" t="s">
        <v>74</v>
      </c>
      <c r="P770" t="s">
        <v>74</v>
      </c>
      <c r="Q770" t="s">
        <v>74</v>
      </c>
      <c r="R770" t="s">
        <v>74</v>
      </c>
      <c r="S770" t="s">
        <v>74</v>
      </c>
      <c r="T770" t="s">
        <v>15145</v>
      </c>
      <c r="U770" t="s">
        <v>15146</v>
      </c>
      <c r="V770" t="s">
        <v>15147</v>
      </c>
      <c r="W770" t="s">
        <v>15148</v>
      </c>
      <c r="X770" t="s">
        <v>15149</v>
      </c>
      <c r="Y770" t="s">
        <v>15150</v>
      </c>
      <c r="Z770" t="s">
        <v>15151</v>
      </c>
      <c r="AA770" t="s">
        <v>74</v>
      </c>
      <c r="AB770" t="s">
        <v>15152</v>
      </c>
      <c r="AC770" t="s">
        <v>15153</v>
      </c>
      <c r="AD770" t="s">
        <v>15154</v>
      </c>
      <c r="AE770" t="s">
        <v>15155</v>
      </c>
      <c r="AF770" t="s">
        <v>74</v>
      </c>
      <c r="AG770">
        <v>75</v>
      </c>
      <c r="AH770">
        <v>6</v>
      </c>
      <c r="AI770">
        <v>6</v>
      </c>
      <c r="AJ770">
        <v>2</v>
      </c>
      <c r="AK770">
        <v>5</v>
      </c>
      <c r="AL770" t="s">
        <v>633</v>
      </c>
      <c r="AM770" t="s">
        <v>200</v>
      </c>
      <c r="AN770" t="s">
        <v>634</v>
      </c>
      <c r="AO770" t="s">
        <v>9078</v>
      </c>
      <c r="AP770" t="s">
        <v>9079</v>
      </c>
      <c r="AQ770" t="s">
        <v>74</v>
      </c>
      <c r="AR770" t="s">
        <v>9080</v>
      </c>
      <c r="AS770" t="s">
        <v>9081</v>
      </c>
      <c r="AT770" t="s">
        <v>14983</v>
      </c>
      <c r="AU770">
        <v>2022</v>
      </c>
      <c r="AV770">
        <v>512</v>
      </c>
      <c r="AW770">
        <v>1</v>
      </c>
      <c r="AX770" t="s">
        <v>74</v>
      </c>
      <c r="AY770" t="s">
        <v>74</v>
      </c>
      <c r="AZ770" t="s">
        <v>74</v>
      </c>
      <c r="BA770" t="s">
        <v>74</v>
      </c>
      <c r="BB770">
        <v>712</v>
      </c>
      <c r="BC770">
        <v>727</v>
      </c>
      <c r="BD770" t="s">
        <v>74</v>
      </c>
      <c r="BE770" t="s">
        <v>15156</v>
      </c>
      <c r="BF770" t="str">
        <f>HYPERLINK("http://dx.doi.org/10.1093/mnras/stac327","http://dx.doi.org/10.1093/mnras/stac327")</f>
        <v>http://dx.doi.org/10.1093/mnras/stac327</v>
      </c>
      <c r="BG770" t="s">
        <v>74</v>
      </c>
      <c r="BH770" t="s">
        <v>74</v>
      </c>
      <c r="BI770">
        <v>16</v>
      </c>
      <c r="BJ770" t="s">
        <v>2275</v>
      </c>
      <c r="BK770" t="s">
        <v>101</v>
      </c>
      <c r="BL770" t="s">
        <v>2275</v>
      </c>
      <c r="BM770" t="s">
        <v>15157</v>
      </c>
      <c r="BN770" t="s">
        <v>74</v>
      </c>
      <c r="BO770" t="s">
        <v>7943</v>
      </c>
      <c r="BP770" t="s">
        <v>74</v>
      </c>
      <c r="BQ770" t="s">
        <v>74</v>
      </c>
      <c r="BR770" t="s">
        <v>103</v>
      </c>
      <c r="BS770" t="s">
        <v>15158</v>
      </c>
      <c r="BT770" t="str">
        <f>HYPERLINK("https%3A%2F%2Fwww.webofscience.com%2Fwos%2Fwoscc%2Ffull-record%2FWOS:000769650000007","View Full Record in Web of Science")</f>
        <v>View Full Record in Web of Science</v>
      </c>
    </row>
    <row r="771" spans="1:72" x14ac:dyDescent="0.15">
      <c r="A771" t="s">
        <v>72</v>
      </c>
      <c r="B771" t="s">
        <v>15159</v>
      </c>
      <c r="C771" t="s">
        <v>74</v>
      </c>
      <c r="D771" t="s">
        <v>74</v>
      </c>
      <c r="E771" t="s">
        <v>74</v>
      </c>
      <c r="F771" t="s">
        <v>15160</v>
      </c>
      <c r="G771" t="s">
        <v>74</v>
      </c>
      <c r="H771" t="s">
        <v>74</v>
      </c>
      <c r="I771" t="s">
        <v>15161</v>
      </c>
      <c r="J771" t="s">
        <v>15162</v>
      </c>
      <c r="K771" t="s">
        <v>74</v>
      </c>
      <c r="L771" t="s">
        <v>74</v>
      </c>
      <c r="M771" t="s">
        <v>78</v>
      </c>
      <c r="N771" t="s">
        <v>79</v>
      </c>
      <c r="O771" t="s">
        <v>74</v>
      </c>
      <c r="P771" t="s">
        <v>74</v>
      </c>
      <c r="Q771" t="s">
        <v>74</v>
      </c>
      <c r="R771" t="s">
        <v>74</v>
      </c>
      <c r="S771" t="s">
        <v>74</v>
      </c>
      <c r="T771" t="s">
        <v>15163</v>
      </c>
      <c r="U771" t="s">
        <v>15164</v>
      </c>
      <c r="V771" t="s">
        <v>15165</v>
      </c>
      <c r="W771" t="s">
        <v>15166</v>
      </c>
      <c r="X771" t="s">
        <v>15167</v>
      </c>
      <c r="Y771" t="s">
        <v>15168</v>
      </c>
      <c r="Z771" t="s">
        <v>15169</v>
      </c>
      <c r="AA771" t="s">
        <v>15170</v>
      </c>
      <c r="AB771" t="s">
        <v>15171</v>
      </c>
      <c r="AC771" t="s">
        <v>15172</v>
      </c>
      <c r="AD771" t="s">
        <v>15173</v>
      </c>
      <c r="AE771" t="s">
        <v>15174</v>
      </c>
      <c r="AF771" t="s">
        <v>74</v>
      </c>
      <c r="AG771">
        <v>87</v>
      </c>
      <c r="AH771">
        <v>2</v>
      </c>
      <c r="AI771">
        <v>2</v>
      </c>
      <c r="AJ771">
        <v>1</v>
      </c>
      <c r="AK771">
        <v>4</v>
      </c>
      <c r="AL771" t="s">
        <v>5856</v>
      </c>
      <c r="AM771" t="s">
        <v>401</v>
      </c>
      <c r="AN771" t="s">
        <v>5857</v>
      </c>
      <c r="AO771" t="s">
        <v>15175</v>
      </c>
      <c r="AP771" t="s">
        <v>74</v>
      </c>
      <c r="AQ771" t="s">
        <v>74</v>
      </c>
      <c r="AR771" t="s">
        <v>15162</v>
      </c>
      <c r="AS771" t="s">
        <v>15176</v>
      </c>
      <c r="AT771" t="s">
        <v>14983</v>
      </c>
      <c r="AU771">
        <v>2022</v>
      </c>
      <c r="AV771">
        <v>23</v>
      </c>
      <c r="AW771">
        <v>1</v>
      </c>
      <c r="AX771" t="s">
        <v>74</v>
      </c>
      <c r="AY771" t="s">
        <v>74</v>
      </c>
      <c r="AZ771" t="s">
        <v>74</v>
      </c>
      <c r="BA771" t="s">
        <v>74</v>
      </c>
      <c r="BB771" t="s">
        <v>74</v>
      </c>
      <c r="BC771" t="s">
        <v>74</v>
      </c>
      <c r="BD771">
        <v>212</v>
      </c>
      <c r="BE771" t="s">
        <v>15177</v>
      </c>
      <c r="BF771" t="str">
        <f>HYPERLINK("http://dx.doi.org/10.1186/s12864-022-08305-1","http://dx.doi.org/10.1186/s12864-022-08305-1")</f>
        <v>http://dx.doi.org/10.1186/s12864-022-08305-1</v>
      </c>
      <c r="BG771" t="s">
        <v>74</v>
      </c>
      <c r="BH771" t="s">
        <v>74</v>
      </c>
      <c r="BI771">
        <v>16</v>
      </c>
      <c r="BJ771" t="s">
        <v>15178</v>
      </c>
      <c r="BK771" t="s">
        <v>101</v>
      </c>
      <c r="BL771" t="s">
        <v>15178</v>
      </c>
      <c r="BM771" t="s">
        <v>15179</v>
      </c>
      <c r="BN771">
        <v>35296233</v>
      </c>
      <c r="BO771" t="s">
        <v>3298</v>
      </c>
      <c r="BP771" t="s">
        <v>74</v>
      </c>
      <c r="BQ771" t="s">
        <v>74</v>
      </c>
      <c r="BR771" t="s">
        <v>103</v>
      </c>
      <c r="BS771" t="s">
        <v>15180</v>
      </c>
      <c r="BT771" t="str">
        <f>HYPERLINK("https%3A%2F%2Fwww.webofscience.com%2Fwos%2Fwoscc%2Ffull-record%2FWOS:000769994900001","View Full Record in Web of Science")</f>
        <v>View Full Record in Web of Science</v>
      </c>
    </row>
    <row r="772" spans="1:72" x14ac:dyDescent="0.15">
      <c r="A772" t="s">
        <v>72</v>
      </c>
      <c r="B772" t="s">
        <v>15181</v>
      </c>
      <c r="C772" t="s">
        <v>74</v>
      </c>
      <c r="D772" t="s">
        <v>74</v>
      </c>
      <c r="E772" t="s">
        <v>74</v>
      </c>
      <c r="F772" t="s">
        <v>15182</v>
      </c>
      <c r="G772" t="s">
        <v>74</v>
      </c>
      <c r="H772" t="s">
        <v>74</v>
      </c>
      <c r="I772" t="s">
        <v>15183</v>
      </c>
      <c r="J772" t="s">
        <v>3150</v>
      </c>
      <c r="K772" t="s">
        <v>74</v>
      </c>
      <c r="L772" t="s">
        <v>74</v>
      </c>
      <c r="M772" t="s">
        <v>78</v>
      </c>
      <c r="N772" t="s">
        <v>79</v>
      </c>
      <c r="O772" t="s">
        <v>74</v>
      </c>
      <c r="P772" t="s">
        <v>74</v>
      </c>
      <c r="Q772" t="s">
        <v>74</v>
      </c>
      <c r="R772" t="s">
        <v>74</v>
      </c>
      <c r="S772" t="s">
        <v>74</v>
      </c>
      <c r="T772" t="s">
        <v>15184</v>
      </c>
      <c r="U772" t="s">
        <v>15185</v>
      </c>
      <c r="V772" t="s">
        <v>15186</v>
      </c>
      <c r="W772" t="s">
        <v>15187</v>
      </c>
      <c r="X772" t="s">
        <v>15188</v>
      </c>
      <c r="Y772" t="s">
        <v>15189</v>
      </c>
      <c r="Z772" t="s">
        <v>15190</v>
      </c>
      <c r="AA772" t="s">
        <v>15191</v>
      </c>
      <c r="AB772" t="s">
        <v>15192</v>
      </c>
      <c r="AC772" t="s">
        <v>15193</v>
      </c>
      <c r="AD772" t="s">
        <v>15194</v>
      </c>
      <c r="AE772" t="s">
        <v>15195</v>
      </c>
      <c r="AF772" t="s">
        <v>74</v>
      </c>
      <c r="AG772">
        <v>124</v>
      </c>
      <c r="AH772">
        <v>10</v>
      </c>
      <c r="AI772">
        <v>10</v>
      </c>
      <c r="AJ772">
        <v>3</v>
      </c>
      <c r="AK772">
        <v>21</v>
      </c>
      <c r="AL772" t="s">
        <v>530</v>
      </c>
      <c r="AM772" t="s">
        <v>531</v>
      </c>
      <c r="AN772" t="s">
        <v>532</v>
      </c>
      <c r="AO772" t="s">
        <v>3162</v>
      </c>
      <c r="AP772" t="s">
        <v>3163</v>
      </c>
      <c r="AQ772" t="s">
        <v>74</v>
      </c>
      <c r="AR772" t="s">
        <v>3164</v>
      </c>
      <c r="AS772" t="s">
        <v>3165</v>
      </c>
      <c r="AT772" t="s">
        <v>484</v>
      </c>
      <c r="AU772">
        <v>2022</v>
      </c>
      <c r="AV772">
        <v>59</v>
      </c>
      <c r="AW772" t="s">
        <v>15196</v>
      </c>
      <c r="AX772" t="s">
        <v>74</v>
      </c>
      <c r="AY772" t="s">
        <v>74</v>
      </c>
      <c r="AZ772" t="s">
        <v>74</v>
      </c>
      <c r="BA772" t="s">
        <v>74</v>
      </c>
      <c r="BB772">
        <v>2041</v>
      </c>
      <c r="BC772">
        <v>2065</v>
      </c>
      <c r="BD772" t="s">
        <v>74</v>
      </c>
      <c r="BE772" t="s">
        <v>15197</v>
      </c>
      <c r="BF772" t="str">
        <f>HYPERLINK("http://dx.doi.org/10.1007/s00382-022-06195-3","http://dx.doi.org/10.1007/s00382-022-06195-3")</f>
        <v>http://dx.doi.org/10.1007/s00382-022-06195-3</v>
      </c>
      <c r="BG772" t="s">
        <v>74</v>
      </c>
      <c r="BH772" t="s">
        <v>12992</v>
      </c>
      <c r="BI772">
        <v>25</v>
      </c>
      <c r="BJ772" t="s">
        <v>510</v>
      </c>
      <c r="BK772" t="s">
        <v>101</v>
      </c>
      <c r="BL772" t="s">
        <v>510</v>
      </c>
      <c r="BM772" t="s">
        <v>15198</v>
      </c>
      <c r="BN772" t="s">
        <v>74</v>
      </c>
      <c r="BO772" t="s">
        <v>1448</v>
      </c>
      <c r="BP772" t="s">
        <v>74</v>
      </c>
      <c r="BQ772" t="s">
        <v>74</v>
      </c>
      <c r="BR772" t="s">
        <v>103</v>
      </c>
      <c r="BS772" t="s">
        <v>15199</v>
      </c>
      <c r="BT772" t="str">
        <f>HYPERLINK("https%3A%2F%2Fwww.webofscience.com%2Fwos%2Fwoscc%2Ffull-record%2FWOS:000769862500001","View Full Record in Web of Science")</f>
        <v>View Full Record in Web of Science</v>
      </c>
    </row>
    <row r="773" spans="1:72" x14ac:dyDescent="0.15">
      <c r="A773" t="s">
        <v>72</v>
      </c>
      <c r="B773" t="s">
        <v>15200</v>
      </c>
      <c r="C773" t="s">
        <v>74</v>
      </c>
      <c r="D773" t="s">
        <v>74</v>
      </c>
      <c r="E773" t="s">
        <v>74</v>
      </c>
      <c r="F773" t="s">
        <v>15201</v>
      </c>
      <c r="G773" t="s">
        <v>74</v>
      </c>
      <c r="H773" t="s">
        <v>74</v>
      </c>
      <c r="I773" t="s">
        <v>15202</v>
      </c>
      <c r="J773" t="s">
        <v>517</v>
      </c>
      <c r="K773" t="s">
        <v>74</v>
      </c>
      <c r="L773" t="s">
        <v>74</v>
      </c>
      <c r="M773" t="s">
        <v>78</v>
      </c>
      <c r="N773" t="s">
        <v>79</v>
      </c>
      <c r="O773" t="s">
        <v>74</v>
      </c>
      <c r="P773" t="s">
        <v>74</v>
      </c>
      <c r="Q773" t="s">
        <v>74</v>
      </c>
      <c r="R773" t="s">
        <v>74</v>
      </c>
      <c r="S773" t="s">
        <v>74</v>
      </c>
      <c r="T773" t="s">
        <v>15203</v>
      </c>
      <c r="U773" t="s">
        <v>15204</v>
      </c>
      <c r="V773" t="s">
        <v>15205</v>
      </c>
      <c r="W773" t="s">
        <v>15206</v>
      </c>
      <c r="X773" t="s">
        <v>15207</v>
      </c>
      <c r="Y773" t="s">
        <v>15208</v>
      </c>
      <c r="Z773" t="s">
        <v>15209</v>
      </c>
      <c r="AA773" t="s">
        <v>15210</v>
      </c>
      <c r="AB773" t="s">
        <v>15211</v>
      </c>
      <c r="AC773" t="s">
        <v>74</v>
      </c>
      <c r="AD773" t="s">
        <v>74</v>
      </c>
      <c r="AE773" t="s">
        <v>74</v>
      </c>
      <c r="AF773" t="s">
        <v>74</v>
      </c>
      <c r="AG773">
        <v>71</v>
      </c>
      <c r="AH773">
        <v>0</v>
      </c>
      <c r="AI773">
        <v>0</v>
      </c>
      <c r="AJ773">
        <v>1</v>
      </c>
      <c r="AK773">
        <v>8</v>
      </c>
      <c r="AL773" t="s">
        <v>530</v>
      </c>
      <c r="AM773" t="s">
        <v>531</v>
      </c>
      <c r="AN773" t="s">
        <v>532</v>
      </c>
      <c r="AO773" t="s">
        <v>533</v>
      </c>
      <c r="AP773" t="s">
        <v>534</v>
      </c>
      <c r="AQ773" t="s">
        <v>74</v>
      </c>
      <c r="AR773" t="s">
        <v>535</v>
      </c>
      <c r="AS773" t="s">
        <v>536</v>
      </c>
      <c r="AT773" t="s">
        <v>5076</v>
      </c>
      <c r="AU773">
        <v>2022</v>
      </c>
      <c r="AV773">
        <v>45</v>
      </c>
      <c r="AW773">
        <v>5</v>
      </c>
      <c r="AX773" t="s">
        <v>74</v>
      </c>
      <c r="AY773" t="s">
        <v>74</v>
      </c>
      <c r="AZ773" t="s">
        <v>74</v>
      </c>
      <c r="BA773" t="s">
        <v>74</v>
      </c>
      <c r="BB773">
        <v>951</v>
      </c>
      <c r="BC773">
        <v>958</v>
      </c>
      <c r="BD773" t="s">
        <v>74</v>
      </c>
      <c r="BE773" t="s">
        <v>15212</v>
      </c>
      <c r="BF773" t="str">
        <f>HYPERLINK("http://dx.doi.org/10.1007/s00300-022-03032-5","http://dx.doi.org/10.1007/s00300-022-03032-5")</f>
        <v>http://dx.doi.org/10.1007/s00300-022-03032-5</v>
      </c>
      <c r="BG773" t="s">
        <v>74</v>
      </c>
      <c r="BH773" t="s">
        <v>12992</v>
      </c>
      <c r="BI773">
        <v>8</v>
      </c>
      <c r="BJ773" t="s">
        <v>539</v>
      </c>
      <c r="BK773" t="s">
        <v>101</v>
      </c>
      <c r="BL773" t="s">
        <v>540</v>
      </c>
      <c r="BM773" t="s">
        <v>8883</v>
      </c>
      <c r="BN773" t="s">
        <v>74</v>
      </c>
      <c r="BO773" t="s">
        <v>986</v>
      </c>
      <c r="BP773" t="s">
        <v>74</v>
      </c>
      <c r="BQ773" t="s">
        <v>74</v>
      </c>
      <c r="BR773" t="s">
        <v>103</v>
      </c>
      <c r="BS773" t="s">
        <v>15213</v>
      </c>
      <c r="BT773" t="str">
        <f>HYPERLINK("https%3A%2F%2Fwww.webofscience.com%2Fwos%2Fwoscc%2Ffull-record%2FWOS:000769888100001","View Full Record in Web of Science")</f>
        <v>View Full Record in Web of Science</v>
      </c>
    </row>
    <row r="774" spans="1:72" x14ac:dyDescent="0.15">
      <c r="A774" t="s">
        <v>72</v>
      </c>
      <c r="B774" t="s">
        <v>15214</v>
      </c>
      <c r="C774" t="s">
        <v>74</v>
      </c>
      <c r="D774" t="s">
        <v>74</v>
      </c>
      <c r="E774" t="s">
        <v>74</v>
      </c>
      <c r="F774" t="s">
        <v>15215</v>
      </c>
      <c r="G774" t="s">
        <v>74</v>
      </c>
      <c r="H774" t="s">
        <v>74</v>
      </c>
      <c r="I774" t="s">
        <v>15216</v>
      </c>
      <c r="J774" t="s">
        <v>13502</v>
      </c>
      <c r="K774" t="s">
        <v>74</v>
      </c>
      <c r="L774" t="s">
        <v>74</v>
      </c>
      <c r="M774" t="s">
        <v>78</v>
      </c>
      <c r="N774" t="s">
        <v>161</v>
      </c>
      <c r="O774" t="s">
        <v>74</v>
      </c>
      <c r="P774" t="s">
        <v>74</v>
      </c>
      <c r="Q774" t="s">
        <v>74</v>
      </c>
      <c r="R774" t="s">
        <v>74</v>
      </c>
      <c r="S774" t="s">
        <v>74</v>
      </c>
      <c r="T774" t="s">
        <v>15217</v>
      </c>
      <c r="U774" t="s">
        <v>15218</v>
      </c>
      <c r="V774" t="s">
        <v>15219</v>
      </c>
      <c r="W774" t="s">
        <v>15220</v>
      </c>
      <c r="X774" t="s">
        <v>15221</v>
      </c>
      <c r="Y774" t="s">
        <v>15222</v>
      </c>
      <c r="Z774" t="s">
        <v>15223</v>
      </c>
      <c r="AA774" t="s">
        <v>15224</v>
      </c>
      <c r="AB774" t="s">
        <v>15225</v>
      </c>
      <c r="AC774" t="s">
        <v>15226</v>
      </c>
      <c r="AD774" t="s">
        <v>15227</v>
      </c>
      <c r="AE774" t="s">
        <v>15228</v>
      </c>
      <c r="AF774" t="s">
        <v>74</v>
      </c>
      <c r="AG774">
        <v>193</v>
      </c>
      <c r="AH774">
        <v>23</v>
      </c>
      <c r="AI774">
        <v>24</v>
      </c>
      <c r="AJ774">
        <v>9</v>
      </c>
      <c r="AK774">
        <v>63</v>
      </c>
      <c r="AL774" t="s">
        <v>91</v>
      </c>
      <c r="AM774" t="s">
        <v>92</v>
      </c>
      <c r="AN774" t="s">
        <v>93</v>
      </c>
      <c r="AO774" t="s">
        <v>13515</v>
      </c>
      <c r="AP774" t="s">
        <v>13516</v>
      </c>
      <c r="AQ774" t="s">
        <v>74</v>
      </c>
      <c r="AR774" t="s">
        <v>13517</v>
      </c>
      <c r="AS774" t="s">
        <v>13518</v>
      </c>
      <c r="AT774" t="s">
        <v>537</v>
      </c>
      <c r="AU774">
        <v>2022</v>
      </c>
      <c r="AV774">
        <v>28</v>
      </c>
      <c r="AW774">
        <v>11</v>
      </c>
      <c r="AX774" t="s">
        <v>74</v>
      </c>
      <c r="AY774" t="s">
        <v>74</v>
      </c>
      <c r="AZ774" t="s">
        <v>74</v>
      </c>
      <c r="BA774" t="s">
        <v>74</v>
      </c>
      <c r="BB774">
        <v>3515</v>
      </c>
      <c r="BC774">
        <v>3536</v>
      </c>
      <c r="BD774" t="s">
        <v>74</v>
      </c>
      <c r="BE774" t="s">
        <v>15229</v>
      </c>
      <c r="BF774" t="str">
        <f>HYPERLINK("http://dx.doi.org/10.1111/gcb.16134","http://dx.doi.org/10.1111/gcb.16134")</f>
        <v>http://dx.doi.org/10.1111/gcb.16134</v>
      </c>
      <c r="BG774" t="s">
        <v>74</v>
      </c>
      <c r="BH774" t="s">
        <v>12992</v>
      </c>
      <c r="BI774">
        <v>22</v>
      </c>
      <c r="BJ774" t="s">
        <v>4270</v>
      </c>
      <c r="BK774" t="s">
        <v>101</v>
      </c>
      <c r="BL774" t="s">
        <v>540</v>
      </c>
      <c r="BM774" t="s">
        <v>15230</v>
      </c>
      <c r="BN774">
        <v>35293658</v>
      </c>
      <c r="BO774" t="s">
        <v>2438</v>
      </c>
      <c r="BP774" t="s">
        <v>74</v>
      </c>
      <c r="BQ774" t="s">
        <v>74</v>
      </c>
      <c r="BR774" t="s">
        <v>103</v>
      </c>
      <c r="BS774" t="s">
        <v>15231</v>
      </c>
      <c r="BT774" t="str">
        <f>HYPERLINK("https%3A%2F%2Fwww.webofscience.com%2Fwos%2Fwoscc%2Ffull-record%2FWOS:000769411800001","View Full Record in Web of Science")</f>
        <v>View Full Record in Web of Science</v>
      </c>
    </row>
    <row r="775" spans="1:72" x14ac:dyDescent="0.15">
      <c r="A775" t="s">
        <v>72</v>
      </c>
      <c r="B775" t="s">
        <v>15232</v>
      </c>
      <c r="C775" t="s">
        <v>74</v>
      </c>
      <c r="D775" t="s">
        <v>74</v>
      </c>
      <c r="E775" t="s">
        <v>74</v>
      </c>
      <c r="F775" t="s">
        <v>15233</v>
      </c>
      <c r="G775" t="s">
        <v>74</v>
      </c>
      <c r="H775" t="s">
        <v>74</v>
      </c>
      <c r="I775" t="s">
        <v>15234</v>
      </c>
      <c r="J775" t="s">
        <v>4415</v>
      </c>
      <c r="K775" t="s">
        <v>74</v>
      </c>
      <c r="L775" t="s">
        <v>74</v>
      </c>
      <c r="M775" t="s">
        <v>78</v>
      </c>
      <c r="N775" t="s">
        <v>79</v>
      </c>
      <c r="O775" t="s">
        <v>74</v>
      </c>
      <c r="P775" t="s">
        <v>74</v>
      </c>
      <c r="Q775" t="s">
        <v>74</v>
      </c>
      <c r="R775" t="s">
        <v>74</v>
      </c>
      <c r="S775" t="s">
        <v>74</v>
      </c>
      <c r="T775" t="s">
        <v>15235</v>
      </c>
      <c r="U775" t="s">
        <v>15236</v>
      </c>
      <c r="V775" t="s">
        <v>15237</v>
      </c>
      <c r="W775" t="s">
        <v>15238</v>
      </c>
      <c r="X775" t="s">
        <v>15239</v>
      </c>
      <c r="Y775" t="s">
        <v>15240</v>
      </c>
      <c r="Z775" t="s">
        <v>15241</v>
      </c>
      <c r="AA775" t="s">
        <v>74</v>
      </c>
      <c r="AB775" t="s">
        <v>74</v>
      </c>
      <c r="AC775" t="s">
        <v>15242</v>
      </c>
      <c r="AD775" t="s">
        <v>15242</v>
      </c>
      <c r="AE775" t="s">
        <v>15243</v>
      </c>
      <c r="AF775" t="s">
        <v>74</v>
      </c>
      <c r="AG775">
        <v>33</v>
      </c>
      <c r="AH775">
        <v>6</v>
      </c>
      <c r="AI775">
        <v>6</v>
      </c>
      <c r="AJ775">
        <v>3</v>
      </c>
      <c r="AK775">
        <v>12</v>
      </c>
      <c r="AL775" t="s">
        <v>3228</v>
      </c>
      <c r="AM775" t="s">
        <v>200</v>
      </c>
      <c r="AN775" t="s">
        <v>3229</v>
      </c>
      <c r="AO775" t="s">
        <v>4424</v>
      </c>
      <c r="AP775" t="s">
        <v>4425</v>
      </c>
      <c r="AQ775" t="s">
        <v>74</v>
      </c>
      <c r="AR775" t="s">
        <v>4426</v>
      </c>
      <c r="AS775" t="s">
        <v>4427</v>
      </c>
      <c r="AT775" t="s">
        <v>3999</v>
      </c>
      <c r="AU775">
        <v>2022</v>
      </c>
      <c r="AV775">
        <v>303</v>
      </c>
      <c r="AW775" t="s">
        <v>74</v>
      </c>
      <c r="AX775" t="s">
        <v>74</v>
      </c>
      <c r="AY775" t="s">
        <v>74</v>
      </c>
      <c r="AZ775" t="s">
        <v>74</v>
      </c>
      <c r="BA775" t="s">
        <v>74</v>
      </c>
      <c r="BB775" t="s">
        <v>74</v>
      </c>
      <c r="BC775" t="s">
        <v>74</v>
      </c>
      <c r="BD775">
        <v>119099</v>
      </c>
      <c r="BE775" t="s">
        <v>15244</v>
      </c>
      <c r="BF775" t="str">
        <f>HYPERLINK("http://dx.doi.org/10.1016/j.envpol.2022.119099","http://dx.doi.org/10.1016/j.envpol.2022.119099")</f>
        <v>http://dx.doi.org/10.1016/j.envpol.2022.119099</v>
      </c>
      <c r="BG775" t="s">
        <v>74</v>
      </c>
      <c r="BH775" t="s">
        <v>12992</v>
      </c>
      <c r="BI775">
        <v>5</v>
      </c>
      <c r="BJ775" t="s">
        <v>1104</v>
      </c>
      <c r="BK775" t="s">
        <v>101</v>
      </c>
      <c r="BL775" t="s">
        <v>840</v>
      </c>
      <c r="BM775" t="s">
        <v>15245</v>
      </c>
      <c r="BN775">
        <v>35278585</v>
      </c>
      <c r="BO775" t="s">
        <v>74</v>
      </c>
      <c r="BP775" t="s">
        <v>74</v>
      </c>
      <c r="BQ775" t="s">
        <v>74</v>
      </c>
      <c r="BR775" t="s">
        <v>103</v>
      </c>
      <c r="BS775" t="s">
        <v>15246</v>
      </c>
      <c r="BT775" t="str">
        <f>HYPERLINK("https%3A%2F%2Fwww.webofscience.com%2Fwos%2Fwoscc%2Ffull-record%2FWOS:000782759700005","View Full Record in Web of Science")</f>
        <v>View Full Record in Web of Science</v>
      </c>
    </row>
    <row r="776" spans="1:72" x14ac:dyDescent="0.15">
      <c r="A776" t="s">
        <v>72</v>
      </c>
      <c r="B776" t="s">
        <v>15247</v>
      </c>
      <c r="C776" t="s">
        <v>74</v>
      </c>
      <c r="D776" t="s">
        <v>74</v>
      </c>
      <c r="E776" t="s">
        <v>74</v>
      </c>
      <c r="F776" t="s">
        <v>15248</v>
      </c>
      <c r="G776" t="s">
        <v>74</v>
      </c>
      <c r="H776" t="s">
        <v>74</v>
      </c>
      <c r="I776" t="s">
        <v>15249</v>
      </c>
      <c r="J776" t="s">
        <v>9250</v>
      </c>
      <c r="K776" t="s">
        <v>74</v>
      </c>
      <c r="L776" t="s">
        <v>74</v>
      </c>
      <c r="M776" t="s">
        <v>78</v>
      </c>
      <c r="N776" t="s">
        <v>79</v>
      </c>
      <c r="O776" t="s">
        <v>74</v>
      </c>
      <c r="P776" t="s">
        <v>74</v>
      </c>
      <c r="Q776" t="s">
        <v>74</v>
      </c>
      <c r="R776" t="s">
        <v>74</v>
      </c>
      <c r="S776" t="s">
        <v>74</v>
      </c>
      <c r="T776" t="s">
        <v>74</v>
      </c>
      <c r="U776" t="s">
        <v>15250</v>
      </c>
      <c r="V776" t="s">
        <v>15251</v>
      </c>
      <c r="W776" t="s">
        <v>15252</v>
      </c>
      <c r="X776" t="s">
        <v>15253</v>
      </c>
      <c r="Y776" t="s">
        <v>15254</v>
      </c>
      <c r="Z776" t="s">
        <v>15255</v>
      </c>
      <c r="AA776" t="s">
        <v>15256</v>
      </c>
      <c r="AB776" t="s">
        <v>15257</v>
      </c>
      <c r="AC776" t="s">
        <v>15258</v>
      </c>
      <c r="AD776" t="s">
        <v>15259</v>
      </c>
      <c r="AE776" t="s">
        <v>15260</v>
      </c>
      <c r="AF776" t="s">
        <v>74</v>
      </c>
      <c r="AG776">
        <v>105</v>
      </c>
      <c r="AH776">
        <v>24</v>
      </c>
      <c r="AI776">
        <v>26</v>
      </c>
      <c r="AJ776">
        <v>4</v>
      </c>
      <c r="AK776">
        <v>18</v>
      </c>
      <c r="AL776" t="s">
        <v>117</v>
      </c>
      <c r="AM776" t="s">
        <v>118</v>
      </c>
      <c r="AN776" t="s">
        <v>119</v>
      </c>
      <c r="AO776" t="s">
        <v>9262</v>
      </c>
      <c r="AP776" t="s">
        <v>9263</v>
      </c>
      <c r="AQ776" t="s">
        <v>74</v>
      </c>
      <c r="AR776" t="s">
        <v>9264</v>
      </c>
      <c r="AS776" t="s">
        <v>9265</v>
      </c>
      <c r="AT776" t="s">
        <v>15261</v>
      </c>
      <c r="AU776">
        <v>2022</v>
      </c>
      <c r="AV776">
        <v>18</v>
      </c>
      <c r="AW776">
        <v>3</v>
      </c>
      <c r="AX776" t="s">
        <v>74</v>
      </c>
      <c r="AY776" t="s">
        <v>74</v>
      </c>
      <c r="AZ776" t="s">
        <v>74</v>
      </c>
      <c r="BA776" t="s">
        <v>74</v>
      </c>
      <c r="BB776">
        <v>485</v>
      </c>
      <c r="BC776">
        <v>506</v>
      </c>
      <c r="BD776" t="s">
        <v>74</v>
      </c>
      <c r="BE776" t="s">
        <v>15262</v>
      </c>
      <c r="BF776" t="str">
        <f>HYPERLINK("http://dx.doi.org/10.5194/cp-18-485-2022","http://dx.doi.org/10.5194/cp-18-485-2022")</f>
        <v>http://dx.doi.org/10.5194/cp-18-485-2022</v>
      </c>
      <c r="BG776" t="s">
        <v>74</v>
      </c>
      <c r="BH776" t="s">
        <v>74</v>
      </c>
      <c r="BI776">
        <v>22</v>
      </c>
      <c r="BJ776" t="s">
        <v>613</v>
      </c>
      <c r="BK776" t="s">
        <v>101</v>
      </c>
      <c r="BL776" t="s">
        <v>614</v>
      </c>
      <c r="BM776" t="s">
        <v>15263</v>
      </c>
      <c r="BN776" t="s">
        <v>74</v>
      </c>
      <c r="BO776" t="s">
        <v>15264</v>
      </c>
      <c r="BP776" t="s">
        <v>74</v>
      </c>
      <c r="BQ776" t="s">
        <v>74</v>
      </c>
      <c r="BR776" t="s">
        <v>103</v>
      </c>
      <c r="BS776" t="s">
        <v>15265</v>
      </c>
      <c r="BT776" t="str">
        <f>HYPERLINK("https%3A%2F%2Fwww.webofscience.com%2Fwos%2Fwoscc%2Ffull-record%2FWOS:000771361200001","View Full Record in Web of Science")</f>
        <v>View Full Record in Web of Science</v>
      </c>
    </row>
    <row r="777" spans="1:72" x14ac:dyDescent="0.15">
      <c r="A777" t="s">
        <v>72</v>
      </c>
      <c r="B777" t="s">
        <v>15266</v>
      </c>
      <c r="C777" t="s">
        <v>74</v>
      </c>
      <c r="D777" t="s">
        <v>74</v>
      </c>
      <c r="E777" t="s">
        <v>74</v>
      </c>
      <c r="F777" t="s">
        <v>15267</v>
      </c>
      <c r="G777" t="s">
        <v>74</v>
      </c>
      <c r="H777" t="s">
        <v>74</v>
      </c>
      <c r="I777" t="s">
        <v>15268</v>
      </c>
      <c r="J777" t="s">
        <v>415</v>
      </c>
      <c r="K777" t="s">
        <v>74</v>
      </c>
      <c r="L777" t="s">
        <v>74</v>
      </c>
      <c r="M777" t="s">
        <v>78</v>
      </c>
      <c r="N777" t="s">
        <v>79</v>
      </c>
      <c r="O777" t="s">
        <v>74</v>
      </c>
      <c r="P777" t="s">
        <v>74</v>
      </c>
      <c r="Q777" t="s">
        <v>74</v>
      </c>
      <c r="R777" t="s">
        <v>74</v>
      </c>
      <c r="S777" t="s">
        <v>74</v>
      </c>
      <c r="T777" t="s">
        <v>15269</v>
      </c>
      <c r="U777" t="s">
        <v>15270</v>
      </c>
      <c r="V777" t="s">
        <v>15271</v>
      </c>
      <c r="W777" t="s">
        <v>15272</v>
      </c>
      <c r="X777" t="s">
        <v>15273</v>
      </c>
      <c r="Y777" t="s">
        <v>15274</v>
      </c>
      <c r="Z777" t="s">
        <v>15275</v>
      </c>
      <c r="AA777" t="s">
        <v>9741</v>
      </c>
      <c r="AB777" t="s">
        <v>15276</v>
      </c>
      <c r="AC777" t="s">
        <v>15277</v>
      </c>
      <c r="AD777" t="s">
        <v>15278</v>
      </c>
      <c r="AE777" t="s">
        <v>15279</v>
      </c>
      <c r="AF777" t="s">
        <v>74</v>
      </c>
      <c r="AG777">
        <v>58</v>
      </c>
      <c r="AH777">
        <v>11</v>
      </c>
      <c r="AI777">
        <v>13</v>
      </c>
      <c r="AJ777">
        <v>2</v>
      </c>
      <c r="AK777">
        <v>15</v>
      </c>
      <c r="AL777" t="s">
        <v>428</v>
      </c>
      <c r="AM777" t="s">
        <v>174</v>
      </c>
      <c r="AN777" t="s">
        <v>429</v>
      </c>
      <c r="AO777" t="s">
        <v>430</v>
      </c>
      <c r="AP777" t="s">
        <v>431</v>
      </c>
      <c r="AQ777" t="s">
        <v>74</v>
      </c>
      <c r="AR777" t="s">
        <v>432</v>
      </c>
      <c r="AS777" t="s">
        <v>433</v>
      </c>
      <c r="AT777" t="s">
        <v>484</v>
      </c>
      <c r="AU777">
        <v>2022</v>
      </c>
      <c r="AV777">
        <v>68</v>
      </c>
      <c r="AW777">
        <v>271</v>
      </c>
      <c r="AX777" t="s">
        <v>74</v>
      </c>
      <c r="AY777" t="s">
        <v>74</v>
      </c>
      <c r="AZ777" t="s">
        <v>74</v>
      </c>
      <c r="BA777" t="s">
        <v>74</v>
      </c>
      <c r="BB777">
        <v>999</v>
      </c>
      <c r="BC777">
        <v>1013</v>
      </c>
      <c r="BD777" t="s">
        <v>15280</v>
      </c>
      <c r="BE777" t="s">
        <v>15281</v>
      </c>
      <c r="BF777" t="str">
        <f>HYPERLINK("http://dx.doi.org/10.1017/jog.2022.14","http://dx.doi.org/10.1017/jog.2022.14")</f>
        <v>http://dx.doi.org/10.1017/jog.2022.14</v>
      </c>
      <c r="BG777" t="s">
        <v>74</v>
      </c>
      <c r="BH777" t="s">
        <v>12992</v>
      </c>
      <c r="BI777">
        <v>15</v>
      </c>
      <c r="BJ777" t="s">
        <v>125</v>
      </c>
      <c r="BK777" t="s">
        <v>101</v>
      </c>
      <c r="BL777" t="s">
        <v>126</v>
      </c>
      <c r="BM777" t="s">
        <v>10808</v>
      </c>
      <c r="BN777" t="s">
        <v>74</v>
      </c>
      <c r="BO777" t="s">
        <v>14238</v>
      </c>
      <c r="BP777" t="s">
        <v>74</v>
      </c>
      <c r="BQ777" t="s">
        <v>74</v>
      </c>
      <c r="BR777" t="s">
        <v>103</v>
      </c>
      <c r="BS777" t="s">
        <v>15282</v>
      </c>
      <c r="BT777" t="str">
        <f>HYPERLINK("https%3A%2F%2Fwww.webofscience.com%2Fwos%2Fwoscc%2Ffull-record%2FWOS:000769204800001","View Full Record in Web of Science")</f>
        <v>View Full Record in Web of Science</v>
      </c>
    </row>
    <row r="778" spans="1:72" x14ac:dyDescent="0.15">
      <c r="A778" t="s">
        <v>72</v>
      </c>
      <c r="B778" t="s">
        <v>15283</v>
      </c>
      <c r="C778" t="s">
        <v>74</v>
      </c>
      <c r="D778" t="s">
        <v>74</v>
      </c>
      <c r="E778" t="s">
        <v>74</v>
      </c>
      <c r="F778" t="s">
        <v>15284</v>
      </c>
      <c r="G778" t="s">
        <v>74</v>
      </c>
      <c r="H778" t="s">
        <v>74</v>
      </c>
      <c r="I778" t="s">
        <v>15285</v>
      </c>
      <c r="J778" t="s">
        <v>15286</v>
      </c>
      <c r="K778" t="s">
        <v>74</v>
      </c>
      <c r="L778" t="s">
        <v>74</v>
      </c>
      <c r="M778" t="s">
        <v>78</v>
      </c>
      <c r="N778" t="s">
        <v>79</v>
      </c>
      <c r="O778" t="s">
        <v>74</v>
      </c>
      <c r="P778" t="s">
        <v>74</v>
      </c>
      <c r="Q778" t="s">
        <v>74</v>
      </c>
      <c r="R778" t="s">
        <v>74</v>
      </c>
      <c r="S778" t="s">
        <v>74</v>
      </c>
      <c r="T778" t="s">
        <v>15287</v>
      </c>
      <c r="U778" t="s">
        <v>15288</v>
      </c>
      <c r="V778" t="s">
        <v>15289</v>
      </c>
      <c r="W778" t="s">
        <v>15290</v>
      </c>
      <c r="X778" t="s">
        <v>15291</v>
      </c>
      <c r="Y778" t="s">
        <v>15292</v>
      </c>
      <c r="Z778" t="s">
        <v>15293</v>
      </c>
      <c r="AA778" t="s">
        <v>74</v>
      </c>
      <c r="AB778" t="s">
        <v>15294</v>
      </c>
      <c r="AC778" t="s">
        <v>74</v>
      </c>
      <c r="AD778" t="s">
        <v>74</v>
      </c>
      <c r="AE778" t="s">
        <v>74</v>
      </c>
      <c r="AF778" t="s">
        <v>74</v>
      </c>
      <c r="AG778">
        <v>41</v>
      </c>
      <c r="AH778">
        <v>4</v>
      </c>
      <c r="AI778">
        <v>4</v>
      </c>
      <c r="AJ778">
        <v>0</v>
      </c>
      <c r="AK778">
        <v>8</v>
      </c>
      <c r="AL778" t="s">
        <v>530</v>
      </c>
      <c r="AM778" t="s">
        <v>531</v>
      </c>
      <c r="AN778" t="s">
        <v>532</v>
      </c>
      <c r="AO778" t="s">
        <v>74</v>
      </c>
      <c r="AP778" t="s">
        <v>15295</v>
      </c>
      <c r="AQ778" t="s">
        <v>74</v>
      </c>
      <c r="AR778" t="s">
        <v>15296</v>
      </c>
      <c r="AS778" t="s">
        <v>15297</v>
      </c>
      <c r="AT778" t="s">
        <v>15261</v>
      </c>
      <c r="AU778">
        <v>2022</v>
      </c>
      <c r="AV778">
        <v>74</v>
      </c>
      <c r="AW778">
        <v>1</v>
      </c>
      <c r="AX778" t="s">
        <v>74</v>
      </c>
      <c r="AY778" t="s">
        <v>74</v>
      </c>
      <c r="AZ778" t="s">
        <v>74</v>
      </c>
      <c r="BA778" t="s">
        <v>74</v>
      </c>
      <c r="BB778" t="s">
        <v>74</v>
      </c>
      <c r="BC778" t="s">
        <v>74</v>
      </c>
      <c r="BD778">
        <v>41</v>
      </c>
      <c r="BE778" t="s">
        <v>15298</v>
      </c>
      <c r="BF778" t="str">
        <f>HYPERLINK("http://dx.doi.org/10.1186/s40623-022-01598-2","http://dx.doi.org/10.1186/s40623-022-01598-2")</f>
        <v>http://dx.doi.org/10.1186/s40623-022-01598-2</v>
      </c>
      <c r="BG778" t="s">
        <v>74</v>
      </c>
      <c r="BH778" t="s">
        <v>74</v>
      </c>
      <c r="BI778">
        <v>11</v>
      </c>
      <c r="BJ778" t="s">
        <v>265</v>
      </c>
      <c r="BK778" t="s">
        <v>101</v>
      </c>
      <c r="BL778" t="s">
        <v>100</v>
      </c>
      <c r="BM778" t="s">
        <v>15299</v>
      </c>
      <c r="BN778" t="s">
        <v>74</v>
      </c>
      <c r="BO778" t="s">
        <v>5588</v>
      </c>
      <c r="BP778" t="s">
        <v>74</v>
      </c>
      <c r="BQ778" t="s">
        <v>74</v>
      </c>
      <c r="BR778" t="s">
        <v>103</v>
      </c>
      <c r="BS778" t="s">
        <v>15300</v>
      </c>
      <c r="BT778" t="str">
        <f>HYPERLINK("https%3A%2F%2Fwww.webofscience.com%2Fwos%2Fwoscc%2Ffull-record%2FWOS:000769441300001","View Full Record in Web of Science")</f>
        <v>View Full Record in Web of Science</v>
      </c>
    </row>
    <row r="779" spans="1:72" x14ac:dyDescent="0.15">
      <c r="A779" t="s">
        <v>72</v>
      </c>
      <c r="B779" t="s">
        <v>15301</v>
      </c>
      <c r="C779" t="s">
        <v>74</v>
      </c>
      <c r="D779" t="s">
        <v>74</v>
      </c>
      <c r="E779" t="s">
        <v>74</v>
      </c>
      <c r="F779" t="s">
        <v>15302</v>
      </c>
      <c r="G779" t="s">
        <v>74</v>
      </c>
      <c r="H779" t="s">
        <v>74</v>
      </c>
      <c r="I779" t="s">
        <v>15303</v>
      </c>
      <c r="J779" t="s">
        <v>4294</v>
      </c>
      <c r="K779" t="s">
        <v>74</v>
      </c>
      <c r="L779" t="s">
        <v>74</v>
      </c>
      <c r="M779" t="s">
        <v>78</v>
      </c>
      <c r="N779" t="s">
        <v>79</v>
      </c>
      <c r="O779" t="s">
        <v>74</v>
      </c>
      <c r="P779" t="s">
        <v>74</v>
      </c>
      <c r="Q779" t="s">
        <v>74</v>
      </c>
      <c r="R779" t="s">
        <v>74</v>
      </c>
      <c r="S779" t="s">
        <v>74</v>
      </c>
      <c r="T779" t="s">
        <v>74</v>
      </c>
      <c r="U779" t="s">
        <v>15304</v>
      </c>
      <c r="V779" t="s">
        <v>15305</v>
      </c>
      <c r="W779" t="s">
        <v>15306</v>
      </c>
      <c r="X779" t="s">
        <v>15307</v>
      </c>
      <c r="Y779" t="s">
        <v>15308</v>
      </c>
      <c r="Z779" t="s">
        <v>4141</v>
      </c>
      <c r="AA779" t="s">
        <v>15309</v>
      </c>
      <c r="AB779" t="s">
        <v>15310</v>
      </c>
      <c r="AC779" t="s">
        <v>15311</v>
      </c>
      <c r="AD779" t="s">
        <v>15312</v>
      </c>
      <c r="AE779" t="s">
        <v>15313</v>
      </c>
      <c r="AF779" t="s">
        <v>74</v>
      </c>
      <c r="AG779">
        <v>107</v>
      </c>
      <c r="AH779">
        <v>3</v>
      </c>
      <c r="AI779">
        <v>3</v>
      </c>
      <c r="AJ779">
        <v>0</v>
      </c>
      <c r="AK779">
        <v>11</v>
      </c>
      <c r="AL779" t="s">
        <v>455</v>
      </c>
      <c r="AM779" t="s">
        <v>456</v>
      </c>
      <c r="AN779" t="s">
        <v>457</v>
      </c>
      <c r="AO779" t="s">
        <v>4306</v>
      </c>
      <c r="AP779" t="s">
        <v>74</v>
      </c>
      <c r="AQ779" t="s">
        <v>74</v>
      </c>
      <c r="AR779" t="s">
        <v>4307</v>
      </c>
      <c r="AS779" t="s">
        <v>4308</v>
      </c>
      <c r="AT779" t="s">
        <v>15261</v>
      </c>
      <c r="AU779">
        <v>2022</v>
      </c>
      <c r="AV779">
        <v>12</v>
      </c>
      <c r="AW779">
        <v>1</v>
      </c>
      <c r="AX779" t="s">
        <v>74</v>
      </c>
      <c r="AY779" t="s">
        <v>74</v>
      </c>
      <c r="AZ779" t="s">
        <v>74</v>
      </c>
      <c r="BA779" t="s">
        <v>74</v>
      </c>
      <c r="BB779" t="s">
        <v>74</v>
      </c>
      <c r="BC779" t="s">
        <v>74</v>
      </c>
      <c r="BD779">
        <v>4412</v>
      </c>
      <c r="BE779" t="s">
        <v>15314</v>
      </c>
      <c r="BF779" t="str">
        <f>HYPERLINK("http://dx.doi.org/10.1038/s41598-022-08208-x","http://dx.doi.org/10.1038/s41598-022-08208-x")</f>
        <v>http://dx.doi.org/10.1038/s41598-022-08208-x</v>
      </c>
      <c r="BG779" t="s">
        <v>74</v>
      </c>
      <c r="BH779" t="s">
        <v>74</v>
      </c>
      <c r="BI779">
        <v>15</v>
      </c>
      <c r="BJ779" t="s">
        <v>657</v>
      </c>
      <c r="BK779" t="s">
        <v>101</v>
      </c>
      <c r="BL779" t="s">
        <v>658</v>
      </c>
      <c r="BM779" t="s">
        <v>15315</v>
      </c>
      <c r="BN779">
        <v>35292683</v>
      </c>
      <c r="BO779" t="s">
        <v>3298</v>
      </c>
      <c r="BP779" t="s">
        <v>74</v>
      </c>
      <c r="BQ779" t="s">
        <v>74</v>
      </c>
      <c r="BR779" t="s">
        <v>103</v>
      </c>
      <c r="BS779" t="s">
        <v>15316</v>
      </c>
      <c r="BT779" t="str">
        <f>HYPERLINK("https%3A%2F%2Fwww.webofscience.com%2Fwos%2Fwoscc%2Ffull-record%2FWOS:000769466200070","View Full Record in Web of Science")</f>
        <v>View Full Record in Web of Science</v>
      </c>
    </row>
    <row r="780" spans="1:72" x14ac:dyDescent="0.15">
      <c r="A780" t="s">
        <v>72</v>
      </c>
      <c r="B780" t="s">
        <v>15317</v>
      </c>
      <c r="C780" t="s">
        <v>74</v>
      </c>
      <c r="D780" t="s">
        <v>74</v>
      </c>
      <c r="E780" t="s">
        <v>74</v>
      </c>
      <c r="F780" t="s">
        <v>15318</v>
      </c>
      <c r="G780" t="s">
        <v>74</v>
      </c>
      <c r="H780" t="s">
        <v>74</v>
      </c>
      <c r="I780" t="s">
        <v>15319</v>
      </c>
      <c r="J780" t="s">
        <v>108</v>
      </c>
      <c r="K780" t="s">
        <v>74</v>
      </c>
      <c r="L780" t="s">
        <v>74</v>
      </c>
      <c r="M780" t="s">
        <v>78</v>
      </c>
      <c r="N780" t="s">
        <v>79</v>
      </c>
      <c r="O780" t="s">
        <v>74</v>
      </c>
      <c r="P780" t="s">
        <v>74</v>
      </c>
      <c r="Q780" t="s">
        <v>74</v>
      </c>
      <c r="R780" t="s">
        <v>74</v>
      </c>
      <c r="S780" t="s">
        <v>74</v>
      </c>
      <c r="T780" t="s">
        <v>74</v>
      </c>
      <c r="U780" t="s">
        <v>15320</v>
      </c>
      <c r="V780" t="s">
        <v>15321</v>
      </c>
      <c r="W780" t="s">
        <v>15322</v>
      </c>
      <c r="X780" t="s">
        <v>7176</v>
      </c>
      <c r="Y780" t="s">
        <v>15323</v>
      </c>
      <c r="Z780" t="s">
        <v>15324</v>
      </c>
      <c r="AA780" t="s">
        <v>9741</v>
      </c>
      <c r="AB780" t="s">
        <v>15325</v>
      </c>
      <c r="AC780" t="s">
        <v>15326</v>
      </c>
      <c r="AD780" t="s">
        <v>15327</v>
      </c>
      <c r="AE780" t="s">
        <v>15328</v>
      </c>
      <c r="AF780" t="s">
        <v>74</v>
      </c>
      <c r="AG780">
        <v>39</v>
      </c>
      <c r="AH780">
        <v>1</v>
      </c>
      <c r="AI780">
        <v>1</v>
      </c>
      <c r="AJ780">
        <v>0</v>
      </c>
      <c r="AK780">
        <v>6</v>
      </c>
      <c r="AL780" t="s">
        <v>117</v>
      </c>
      <c r="AM780" t="s">
        <v>118</v>
      </c>
      <c r="AN780" t="s">
        <v>119</v>
      </c>
      <c r="AO780" t="s">
        <v>120</v>
      </c>
      <c r="AP780" t="s">
        <v>121</v>
      </c>
      <c r="AQ780" t="s">
        <v>74</v>
      </c>
      <c r="AR780" t="s">
        <v>108</v>
      </c>
      <c r="AS780" t="s">
        <v>122</v>
      </c>
      <c r="AT780" t="s">
        <v>15329</v>
      </c>
      <c r="AU780">
        <v>2022</v>
      </c>
      <c r="AV780">
        <v>16</v>
      </c>
      <c r="AW780">
        <v>3</v>
      </c>
      <c r="AX780" t="s">
        <v>74</v>
      </c>
      <c r="AY780" t="s">
        <v>74</v>
      </c>
      <c r="AZ780" t="s">
        <v>74</v>
      </c>
      <c r="BA780" t="s">
        <v>74</v>
      </c>
      <c r="BB780">
        <v>925</v>
      </c>
      <c r="BC780">
        <v>940</v>
      </c>
      <c r="BD780" t="s">
        <v>74</v>
      </c>
      <c r="BE780" t="s">
        <v>15330</v>
      </c>
      <c r="BF780" t="str">
        <f>HYPERLINK("http://dx.doi.org/10.5194/tc-16-925-2022","http://dx.doi.org/10.5194/tc-16-925-2022")</f>
        <v>http://dx.doi.org/10.5194/tc-16-925-2022</v>
      </c>
      <c r="BG780" t="s">
        <v>74</v>
      </c>
      <c r="BH780" t="s">
        <v>74</v>
      </c>
      <c r="BI780">
        <v>16</v>
      </c>
      <c r="BJ780" t="s">
        <v>125</v>
      </c>
      <c r="BK780" t="s">
        <v>101</v>
      </c>
      <c r="BL780" t="s">
        <v>126</v>
      </c>
      <c r="BM780" t="s">
        <v>15331</v>
      </c>
      <c r="BN780" t="s">
        <v>74</v>
      </c>
      <c r="BO780" t="s">
        <v>128</v>
      </c>
      <c r="BP780" t="s">
        <v>74</v>
      </c>
      <c r="BQ780" t="s">
        <v>74</v>
      </c>
      <c r="BR780" t="s">
        <v>103</v>
      </c>
      <c r="BS780" t="s">
        <v>15332</v>
      </c>
      <c r="BT780" t="str">
        <f>HYPERLINK("https%3A%2F%2Fwww.webofscience.com%2Fwos%2Fwoscc%2Ffull-record%2FWOS:000773389100001","View Full Record in Web of Science")</f>
        <v>View Full Record in Web of Science</v>
      </c>
    </row>
    <row r="781" spans="1:72" x14ac:dyDescent="0.15">
      <c r="A781" t="s">
        <v>72</v>
      </c>
      <c r="B781" t="s">
        <v>15333</v>
      </c>
      <c r="C781" t="s">
        <v>74</v>
      </c>
      <c r="D781" t="s">
        <v>74</v>
      </c>
      <c r="E781" t="s">
        <v>74</v>
      </c>
      <c r="F781" t="s">
        <v>15334</v>
      </c>
      <c r="G781" t="s">
        <v>74</v>
      </c>
      <c r="H781" t="s">
        <v>74</v>
      </c>
      <c r="I781" t="s">
        <v>15335</v>
      </c>
      <c r="J781" t="s">
        <v>9250</v>
      </c>
      <c r="K781" t="s">
        <v>74</v>
      </c>
      <c r="L781" t="s">
        <v>74</v>
      </c>
      <c r="M781" t="s">
        <v>78</v>
      </c>
      <c r="N781" t="s">
        <v>79</v>
      </c>
      <c r="O781" t="s">
        <v>74</v>
      </c>
      <c r="P781" t="s">
        <v>74</v>
      </c>
      <c r="Q781" t="s">
        <v>74</v>
      </c>
      <c r="R781" t="s">
        <v>74</v>
      </c>
      <c r="S781" t="s">
        <v>74</v>
      </c>
      <c r="T781" t="s">
        <v>74</v>
      </c>
      <c r="U781" t="s">
        <v>15336</v>
      </c>
      <c r="V781" t="s">
        <v>15337</v>
      </c>
      <c r="W781" t="s">
        <v>15338</v>
      </c>
      <c r="X781" t="s">
        <v>15339</v>
      </c>
      <c r="Y781" t="s">
        <v>15340</v>
      </c>
      <c r="Z781" t="s">
        <v>15341</v>
      </c>
      <c r="AA781" t="s">
        <v>15342</v>
      </c>
      <c r="AB781" t="s">
        <v>15343</v>
      </c>
      <c r="AC781" t="s">
        <v>15344</v>
      </c>
      <c r="AD781" t="s">
        <v>15345</v>
      </c>
      <c r="AE781" t="s">
        <v>15346</v>
      </c>
      <c r="AF781" t="s">
        <v>74</v>
      </c>
      <c r="AG781">
        <v>88</v>
      </c>
      <c r="AH781">
        <v>3</v>
      </c>
      <c r="AI781">
        <v>3</v>
      </c>
      <c r="AJ781">
        <v>1</v>
      </c>
      <c r="AK781">
        <v>6</v>
      </c>
      <c r="AL781" t="s">
        <v>117</v>
      </c>
      <c r="AM781" t="s">
        <v>118</v>
      </c>
      <c r="AN781" t="s">
        <v>119</v>
      </c>
      <c r="AO781" t="s">
        <v>9262</v>
      </c>
      <c r="AP781" t="s">
        <v>9263</v>
      </c>
      <c r="AQ781" t="s">
        <v>74</v>
      </c>
      <c r="AR781" t="s">
        <v>9264</v>
      </c>
      <c r="AS781" t="s">
        <v>9265</v>
      </c>
      <c r="AT781" t="s">
        <v>15329</v>
      </c>
      <c r="AU781">
        <v>2022</v>
      </c>
      <c r="AV781">
        <v>18</v>
      </c>
      <c r="AW781">
        <v>3</v>
      </c>
      <c r="AX781" t="s">
        <v>74</v>
      </c>
      <c r="AY781" t="s">
        <v>74</v>
      </c>
      <c r="AZ781" t="s">
        <v>74</v>
      </c>
      <c r="BA781" t="s">
        <v>74</v>
      </c>
      <c r="BB781">
        <v>465</v>
      </c>
      <c r="BC781">
        <v>483</v>
      </c>
      <c r="BD781" t="s">
        <v>74</v>
      </c>
      <c r="BE781" t="s">
        <v>15347</v>
      </c>
      <c r="BF781" t="str">
        <f>HYPERLINK("http://dx.doi.org/10.5194/cp-18-465-2022","http://dx.doi.org/10.5194/cp-18-465-2022")</f>
        <v>http://dx.doi.org/10.5194/cp-18-465-2022</v>
      </c>
      <c r="BG781" t="s">
        <v>74</v>
      </c>
      <c r="BH781" t="s">
        <v>74</v>
      </c>
      <c r="BI781">
        <v>19</v>
      </c>
      <c r="BJ781" t="s">
        <v>613</v>
      </c>
      <c r="BK781" t="s">
        <v>101</v>
      </c>
      <c r="BL781" t="s">
        <v>614</v>
      </c>
      <c r="BM781" t="s">
        <v>15348</v>
      </c>
      <c r="BN781" t="s">
        <v>74</v>
      </c>
      <c r="BO781" t="s">
        <v>2560</v>
      </c>
      <c r="BP781" t="s">
        <v>74</v>
      </c>
      <c r="BQ781" t="s">
        <v>74</v>
      </c>
      <c r="BR781" t="s">
        <v>103</v>
      </c>
      <c r="BS781" t="s">
        <v>15349</v>
      </c>
      <c r="BT781" t="str">
        <f>HYPERLINK("https%3A%2F%2Fwww.webofscience.com%2Fwos%2Fwoscc%2Ffull-record%2FWOS:000771207300001","View Full Record in Web of Science")</f>
        <v>View Full Record in Web of Science</v>
      </c>
    </row>
    <row r="782" spans="1:72" x14ac:dyDescent="0.15">
      <c r="A782" t="s">
        <v>72</v>
      </c>
      <c r="B782" t="s">
        <v>15350</v>
      </c>
      <c r="C782" t="s">
        <v>74</v>
      </c>
      <c r="D782" t="s">
        <v>74</v>
      </c>
      <c r="E782" t="s">
        <v>74</v>
      </c>
      <c r="F782" t="s">
        <v>15351</v>
      </c>
      <c r="G782" t="s">
        <v>74</v>
      </c>
      <c r="H782" t="s">
        <v>74</v>
      </c>
      <c r="I782" t="s">
        <v>15352</v>
      </c>
      <c r="J782" t="s">
        <v>108</v>
      </c>
      <c r="K782" t="s">
        <v>74</v>
      </c>
      <c r="L782" t="s">
        <v>74</v>
      </c>
      <c r="M782" t="s">
        <v>78</v>
      </c>
      <c r="N782" t="s">
        <v>79</v>
      </c>
      <c r="O782" t="s">
        <v>74</v>
      </c>
      <c r="P782" t="s">
        <v>74</v>
      </c>
      <c r="Q782" t="s">
        <v>74</v>
      </c>
      <c r="R782" t="s">
        <v>74</v>
      </c>
      <c r="S782" t="s">
        <v>74</v>
      </c>
      <c r="T782" t="s">
        <v>74</v>
      </c>
      <c r="U782" t="s">
        <v>15353</v>
      </c>
      <c r="V782" t="s">
        <v>15354</v>
      </c>
      <c r="W782" t="s">
        <v>15355</v>
      </c>
      <c r="X782" t="s">
        <v>15356</v>
      </c>
      <c r="Y782" t="s">
        <v>15357</v>
      </c>
      <c r="Z782" t="s">
        <v>15358</v>
      </c>
      <c r="AA782" t="s">
        <v>15359</v>
      </c>
      <c r="AB782" t="s">
        <v>15360</v>
      </c>
      <c r="AC782" t="s">
        <v>74</v>
      </c>
      <c r="AD782" t="s">
        <v>74</v>
      </c>
      <c r="AE782" t="s">
        <v>74</v>
      </c>
      <c r="AF782" t="s">
        <v>74</v>
      </c>
      <c r="AG782">
        <v>85</v>
      </c>
      <c r="AH782">
        <v>5</v>
      </c>
      <c r="AI782">
        <v>5</v>
      </c>
      <c r="AJ782">
        <v>4</v>
      </c>
      <c r="AK782">
        <v>13</v>
      </c>
      <c r="AL782" t="s">
        <v>117</v>
      </c>
      <c r="AM782" t="s">
        <v>118</v>
      </c>
      <c r="AN782" t="s">
        <v>119</v>
      </c>
      <c r="AO782" t="s">
        <v>120</v>
      </c>
      <c r="AP782" t="s">
        <v>121</v>
      </c>
      <c r="AQ782" t="s">
        <v>74</v>
      </c>
      <c r="AR782" t="s">
        <v>108</v>
      </c>
      <c r="AS782" t="s">
        <v>122</v>
      </c>
      <c r="AT782" t="s">
        <v>15329</v>
      </c>
      <c r="AU782">
        <v>2022</v>
      </c>
      <c r="AV782">
        <v>16</v>
      </c>
      <c r="AW782">
        <v>3</v>
      </c>
      <c r="AX782" t="s">
        <v>74</v>
      </c>
      <c r="AY782" t="s">
        <v>74</v>
      </c>
      <c r="AZ782" t="s">
        <v>74</v>
      </c>
      <c r="BA782" t="s">
        <v>74</v>
      </c>
      <c r="BB782">
        <v>981</v>
      </c>
      <c r="BC782">
        <v>1005</v>
      </c>
      <c r="BD782" t="s">
        <v>74</v>
      </c>
      <c r="BE782" t="s">
        <v>15361</v>
      </c>
      <c r="BF782" t="str">
        <f>HYPERLINK("http://dx.doi.org/10.5194/tc-16-981-2022","http://dx.doi.org/10.5194/tc-16-981-2022")</f>
        <v>http://dx.doi.org/10.5194/tc-16-981-2022</v>
      </c>
      <c r="BG782" t="s">
        <v>74</v>
      </c>
      <c r="BH782" t="s">
        <v>74</v>
      </c>
      <c r="BI782">
        <v>25</v>
      </c>
      <c r="BJ782" t="s">
        <v>125</v>
      </c>
      <c r="BK782" t="s">
        <v>101</v>
      </c>
      <c r="BL782" t="s">
        <v>126</v>
      </c>
      <c r="BM782" t="s">
        <v>15362</v>
      </c>
      <c r="BN782" t="s">
        <v>74</v>
      </c>
      <c r="BO782" t="s">
        <v>2560</v>
      </c>
      <c r="BP782" t="s">
        <v>74</v>
      </c>
      <c r="BQ782" t="s">
        <v>74</v>
      </c>
      <c r="BR782" t="s">
        <v>103</v>
      </c>
      <c r="BS782" t="s">
        <v>15363</v>
      </c>
      <c r="BT782" t="str">
        <f>HYPERLINK("https%3A%2F%2Fwww.webofscience.com%2Fwos%2Fwoscc%2Ffull-record%2FWOS:000771207900001","View Full Record in Web of Science")</f>
        <v>View Full Record in Web of Science</v>
      </c>
    </row>
    <row r="783" spans="1:72" x14ac:dyDescent="0.15">
      <c r="A783" t="s">
        <v>72</v>
      </c>
      <c r="B783" t="s">
        <v>15364</v>
      </c>
      <c r="C783" t="s">
        <v>74</v>
      </c>
      <c r="D783" t="s">
        <v>74</v>
      </c>
      <c r="E783" t="s">
        <v>74</v>
      </c>
      <c r="F783" t="s">
        <v>15365</v>
      </c>
      <c r="G783" t="s">
        <v>74</v>
      </c>
      <c r="H783" t="s">
        <v>74</v>
      </c>
      <c r="I783" t="s">
        <v>15366</v>
      </c>
      <c r="J783" t="s">
        <v>648</v>
      </c>
      <c r="K783" t="s">
        <v>74</v>
      </c>
      <c r="L783" t="s">
        <v>74</v>
      </c>
      <c r="M783" t="s">
        <v>78</v>
      </c>
      <c r="N783" t="s">
        <v>79</v>
      </c>
      <c r="O783" t="s">
        <v>74</v>
      </c>
      <c r="P783" t="s">
        <v>74</v>
      </c>
      <c r="Q783" t="s">
        <v>74</v>
      </c>
      <c r="R783" t="s">
        <v>74</v>
      </c>
      <c r="S783" t="s">
        <v>74</v>
      </c>
      <c r="T783" t="s">
        <v>74</v>
      </c>
      <c r="U783" t="s">
        <v>15367</v>
      </c>
      <c r="V783" t="s">
        <v>15368</v>
      </c>
      <c r="W783" t="s">
        <v>15369</v>
      </c>
      <c r="X783" t="s">
        <v>15370</v>
      </c>
      <c r="Y783" t="s">
        <v>15371</v>
      </c>
      <c r="Z783" t="s">
        <v>15372</v>
      </c>
      <c r="AA783" t="s">
        <v>15373</v>
      </c>
      <c r="AB783" t="s">
        <v>15374</v>
      </c>
      <c r="AC783" t="s">
        <v>15375</v>
      </c>
      <c r="AD783" t="s">
        <v>15376</v>
      </c>
      <c r="AE783" t="s">
        <v>15377</v>
      </c>
      <c r="AF783" t="s">
        <v>74</v>
      </c>
      <c r="AG783">
        <v>73</v>
      </c>
      <c r="AH783">
        <v>22</v>
      </c>
      <c r="AI783">
        <v>24</v>
      </c>
      <c r="AJ783">
        <v>19</v>
      </c>
      <c r="AK783">
        <v>63</v>
      </c>
      <c r="AL783" t="s">
        <v>455</v>
      </c>
      <c r="AM783" t="s">
        <v>456</v>
      </c>
      <c r="AN783" t="s">
        <v>457</v>
      </c>
      <c r="AO783" t="s">
        <v>74</v>
      </c>
      <c r="AP783" t="s">
        <v>652</v>
      </c>
      <c r="AQ783" t="s">
        <v>74</v>
      </c>
      <c r="AR783" t="s">
        <v>653</v>
      </c>
      <c r="AS783" t="s">
        <v>654</v>
      </c>
      <c r="AT783" t="s">
        <v>15329</v>
      </c>
      <c r="AU783">
        <v>2022</v>
      </c>
      <c r="AV783">
        <v>13</v>
      </c>
      <c r="AW783">
        <v>1</v>
      </c>
      <c r="AX783" t="s">
        <v>74</v>
      </c>
      <c r="AY783" t="s">
        <v>74</v>
      </c>
      <c r="AZ783" t="s">
        <v>74</v>
      </c>
      <c r="BA783" t="s">
        <v>74</v>
      </c>
      <c r="BB783" t="s">
        <v>74</v>
      </c>
      <c r="BC783" t="s">
        <v>74</v>
      </c>
      <c r="BD783">
        <v>1301</v>
      </c>
      <c r="BE783" t="s">
        <v>15378</v>
      </c>
      <c r="BF783" t="str">
        <f>HYPERLINK("http://dx.doi.org/10.1038/s41467-022-28867-8","http://dx.doi.org/10.1038/s41467-022-28867-8")</f>
        <v>http://dx.doi.org/10.1038/s41467-022-28867-8</v>
      </c>
      <c r="BG783" t="s">
        <v>74</v>
      </c>
      <c r="BH783" t="s">
        <v>74</v>
      </c>
      <c r="BI783">
        <v>15</v>
      </c>
      <c r="BJ783" t="s">
        <v>657</v>
      </c>
      <c r="BK783" t="s">
        <v>101</v>
      </c>
      <c r="BL783" t="s">
        <v>658</v>
      </c>
      <c r="BM783" t="s">
        <v>15379</v>
      </c>
      <c r="BN783">
        <v>35288549</v>
      </c>
      <c r="BO783" t="s">
        <v>295</v>
      </c>
      <c r="BP783" t="s">
        <v>74</v>
      </c>
      <c r="BQ783" t="s">
        <v>74</v>
      </c>
      <c r="BR783" t="s">
        <v>103</v>
      </c>
      <c r="BS783" t="s">
        <v>15380</v>
      </c>
      <c r="BT783" t="str">
        <f>HYPERLINK("https%3A%2F%2Fwww.webofscience.com%2Fwos%2Fwoscc%2Ffull-record%2FWOS:000769063600007","View Full Record in Web of Science")</f>
        <v>View Full Record in Web of Science</v>
      </c>
    </row>
    <row r="784" spans="1:72" x14ac:dyDescent="0.15">
      <c r="A784" t="s">
        <v>72</v>
      </c>
      <c r="B784" t="s">
        <v>15381</v>
      </c>
      <c r="C784" t="s">
        <v>74</v>
      </c>
      <c r="D784" t="s">
        <v>74</v>
      </c>
      <c r="E784" t="s">
        <v>74</v>
      </c>
      <c r="F784" t="s">
        <v>15382</v>
      </c>
      <c r="G784" t="s">
        <v>74</v>
      </c>
      <c r="H784" t="s">
        <v>74</v>
      </c>
      <c r="I784" t="s">
        <v>15383</v>
      </c>
      <c r="J784" t="s">
        <v>9536</v>
      </c>
      <c r="K784" t="s">
        <v>74</v>
      </c>
      <c r="L784" t="s">
        <v>74</v>
      </c>
      <c r="M784" t="s">
        <v>78</v>
      </c>
      <c r="N784" t="s">
        <v>79</v>
      </c>
      <c r="O784" t="s">
        <v>74</v>
      </c>
      <c r="P784" t="s">
        <v>74</v>
      </c>
      <c r="Q784" t="s">
        <v>74</v>
      </c>
      <c r="R784" t="s">
        <v>74</v>
      </c>
      <c r="S784" t="s">
        <v>74</v>
      </c>
      <c r="T784" t="s">
        <v>15384</v>
      </c>
      <c r="U784" t="s">
        <v>15385</v>
      </c>
      <c r="V784" t="s">
        <v>15386</v>
      </c>
      <c r="W784" t="s">
        <v>15387</v>
      </c>
      <c r="X784" t="s">
        <v>15388</v>
      </c>
      <c r="Y784" t="s">
        <v>15389</v>
      </c>
      <c r="Z784" t="s">
        <v>15390</v>
      </c>
      <c r="AA784" t="s">
        <v>74</v>
      </c>
      <c r="AB784" t="s">
        <v>15391</v>
      </c>
      <c r="AC784" t="s">
        <v>15392</v>
      </c>
      <c r="AD784" t="s">
        <v>15393</v>
      </c>
      <c r="AE784" t="s">
        <v>15394</v>
      </c>
      <c r="AF784" t="s">
        <v>74</v>
      </c>
      <c r="AG784">
        <v>77</v>
      </c>
      <c r="AH784">
        <v>6</v>
      </c>
      <c r="AI784">
        <v>6</v>
      </c>
      <c r="AJ784">
        <v>0</v>
      </c>
      <c r="AK784">
        <v>14</v>
      </c>
      <c r="AL784" t="s">
        <v>9549</v>
      </c>
      <c r="AM784" t="s">
        <v>9550</v>
      </c>
      <c r="AN784" t="s">
        <v>9551</v>
      </c>
      <c r="AO784" t="s">
        <v>9552</v>
      </c>
      <c r="AP784" t="s">
        <v>74</v>
      </c>
      <c r="AQ784" t="s">
        <v>74</v>
      </c>
      <c r="AR784" t="s">
        <v>9553</v>
      </c>
      <c r="AS784" t="s">
        <v>9554</v>
      </c>
      <c r="AT784" t="s">
        <v>15329</v>
      </c>
      <c r="AU784">
        <v>2022</v>
      </c>
      <c r="AV784">
        <v>10</v>
      </c>
      <c r="AW784">
        <v>1</v>
      </c>
      <c r="AX784" t="s">
        <v>74</v>
      </c>
      <c r="AY784" t="s">
        <v>74</v>
      </c>
      <c r="AZ784" t="s">
        <v>74</v>
      </c>
      <c r="BA784" t="s">
        <v>74</v>
      </c>
      <c r="BB784" t="s">
        <v>74</v>
      </c>
      <c r="BC784" t="s">
        <v>74</v>
      </c>
      <c r="BD784">
        <v>1</v>
      </c>
      <c r="BE784" t="s">
        <v>15395</v>
      </c>
      <c r="BF784" t="str">
        <f>HYPERLINK("http://dx.doi.org/10.1525/elementa.2021.00029","http://dx.doi.org/10.1525/elementa.2021.00029")</f>
        <v>http://dx.doi.org/10.1525/elementa.2021.00029</v>
      </c>
      <c r="BG784" t="s">
        <v>74</v>
      </c>
      <c r="BH784" t="s">
        <v>74</v>
      </c>
      <c r="BI784">
        <v>19</v>
      </c>
      <c r="BJ784" t="s">
        <v>1797</v>
      </c>
      <c r="BK784" t="s">
        <v>101</v>
      </c>
      <c r="BL784" t="s">
        <v>957</v>
      </c>
      <c r="BM784" t="s">
        <v>15396</v>
      </c>
      <c r="BN784" t="s">
        <v>74</v>
      </c>
      <c r="BO784" t="s">
        <v>4312</v>
      </c>
      <c r="BP784" t="s">
        <v>74</v>
      </c>
      <c r="BQ784" t="s">
        <v>74</v>
      </c>
      <c r="BR784" t="s">
        <v>103</v>
      </c>
      <c r="BS784" t="s">
        <v>15397</v>
      </c>
      <c r="BT784" t="str">
        <f>HYPERLINK("https%3A%2F%2Fwww.webofscience.com%2Fwos%2Fwoscc%2Ffull-record%2FWOS:000769431100001","View Full Record in Web of Science")</f>
        <v>View Full Record in Web of Science</v>
      </c>
    </row>
    <row r="785" spans="1:72" x14ac:dyDescent="0.15">
      <c r="A785" t="s">
        <v>72</v>
      </c>
      <c r="B785" t="s">
        <v>15398</v>
      </c>
      <c r="C785" t="s">
        <v>74</v>
      </c>
      <c r="D785" t="s">
        <v>74</v>
      </c>
      <c r="E785" t="s">
        <v>74</v>
      </c>
      <c r="F785" t="s">
        <v>15399</v>
      </c>
      <c r="G785" t="s">
        <v>74</v>
      </c>
      <c r="H785" t="s">
        <v>74</v>
      </c>
      <c r="I785" t="s">
        <v>15400</v>
      </c>
      <c r="J785" t="s">
        <v>3150</v>
      </c>
      <c r="K785" t="s">
        <v>74</v>
      </c>
      <c r="L785" t="s">
        <v>74</v>
      </c>
      <c r="M785" t="s">
        <v>78</v>
      </c>
      <c r="N785" t="s">
        <v>79</v>
      </c>
      <c r="O785" t="s">
        <v>74</v>
      </c>
      <c r="P785" t="s">
        <v>74</v>
      </c>
      <c r="Q785" t="s">
        <v>74</v>
      </c>
      <c r="R785" t="s">
        <v>74</v>
      </c>
      <c r="S785" t="s">
        <v>74</v>
      </c>
      <c r="T785" t="s">
        <v>15401</v>
      </c>
      <c r="U785" t="s">
        <v>15402</v>
      </c>
      <c r="V785" t="s">
        <v>15403</v>
      </c>
      <c r="W785" t="s">
        <v>15404</v>
      </c>
      <c r="X785" t="s">
        <v>15405</v>
      </c>
      <c r="Y785" t="s">
        <v>15406</v>
      </c>
      <c r="Z785" t="s">
        <v>15407</v>
      </c>
      <c r="AA785" t="s">
        <v>15408</v>
      </c>
      <c r="AB785" t="s">
        <v>15409</v>
      </c>
      <c r="AC785" t="s">
        <v>15410</v>
      </c>
      <c r="AD785" t="s">
        <v>15411</v>
      </c>
      <c r="AE785" t="s">
        <v>15412</v>
      </c>
      <c r="AF785" t="s">
        <v>74</v>
      </c>
      <c r="AG785">
        <v>22</v>
      </c>
      <c r="AH785">
        <v>2</v>
      </c>
      <c r="AI785">
        <v>2</v>
      </c>
      <c r="AJ785">
        <v>0</v>
      </c>
      <c r="AK785">
        <v>8</v>
      </c>
      <c r="AL785" t="s">
        <v>530</v>
      </c>
      <c r="AM785" t="s">
        <v>531</v>
      </c>
      <c r="AN785" t="s">
        <v>532</v>
      </c>
      <c r="AO785" t="s">
        <v>3162</v>
      </c>
      <c r="AP785" t="s">
        <v>3163</v>
      </c>
      <c r="AQ785" t="s">
        <v>74</v>
      </c>
      <c r="AR785" t="s">
        <v>3164</v>
      </c>
      <c r="AS785" t="s">
        <v>3165</v>
      </c>
      <c r="AT785" t="s">
        <v>4918</v>
      </c>
      <c r="AU785">
        <v>2022</v>
      </c>
      <c r="AV785">
        <v>59</v>
      </c>
      <c r="AW785" t="s">
        <v>15413</v>
      </c>
      <c r="AX785" t="s">
        <v>74</v>
      </c>
      <c r="AY785" t="s">
        <v>74</v>
      </c>
      <c r="AZ785" t="s">
        <v>74</v>
      </c>
      <c r="BA785" t="s">
        <v>74</v>
      </c>
      <c r="BB785">
        <v>2619</v>
      </c>
      <c r="BC785">
        <v>2641</v>
      </c>
      <c r="BD785" t="s">
        <v>74</v>
      </c>
      <c r="BE785" t="s">
        <v>15414</v>
      </c>
      <c r="BF785" t="str">
        <f>HYPERLINK("http://dx.doi.org/10.1007/s00382-022-06231-2","http://dx.doi.org/10.1007/s00382-022-06231-2")</f>
        <v>http://dx.doi.org/10.1007/s00382-022-06231-2</v>
      </c>
      <c r="BG785" t="s">
        <v>74</v>
      </c>
      <c r="BH785" t="s">
        <v>12992</v>
      </c>
      <c r="BI785">
        <v>23</v>
      </c>
      <c r="BJ785" t="s">
        <v>510</v>
      </c>
      <c r="BK785" t="s">
        <v>101</v>
      </c>
      <c r="BL785" t="s">
        <v>510</v>
      </c>
      <c r="BM785" t="s">
        <v>15415</v>
      </c>
      <c r="BN785" t="s">
        <v>74</v>
      </c>
      <c r="BO785" t="s">
        <v>267</v>
      </c>
      <c r="BP785" t="s">
        <v>74</v>
      </c>
      <c r="BQ785" t="s">
        <v>74</v>
      </c>
      <c r="BR785" t="s">
        <v>103</v>
      </c>
      <c r="BS785" t="s">
        <v>15416</v>
      </c>
      <c r="BT785" t="str">
        <f>HYPERLINK("https%3A%2F%2Fwww.webofscience.com%2Fwos%2Fwoscc%2Ffull-record%2FWOS:000768668900001","View Full Record in Web of Science")</f>
        <v>View Full Record in Web of Science</v>
      </c>
    </row>
    <row r="786" spans="1:72" x14ac:dyDescent="0.15">
      <c r="A786" t="s">
        <v>72</v>
      </c>
      <c r="B786" t="s">
        <v>14206</v>
      </c>
      <c r="C786" t="s">
        <v>74</v>
      </c>
      <c r="D786" t="s">
        <v>74</v>
      </c>
      <c r="E786" t="s">
        <v>74</v>
      </c>
      <c r="F786" t="s">
        <v>14207</v>
      </c>
      <c r="G786" t="s">
        <v>74</v>
      </c>
      <c r="H786" t="s">
        <v>74</v>
      </c>
      <c r="I786" t="s">
        <v>15417</v>
      </c>
      <c r="J786" t="s">
        <v>14209</v>
      </c>
      <c r="K786" t="s">
        <v>74</v>
      </c>
      <c r="L786" t="s">
        <v>74</v>
      </c>
      <c r="M786" t="s">
        <v>78</v>
      </c>
      <c r="N786" t="s">
        <v>79</v>
      </c>
      <c r="O786" t="s">
        <v>74</v>
      </c>
      <c r="P786" t="s">
        <v>74</v>
      </c>
      <c r="Q786" t="s">
        <v>74</v>
      </c>
      <c r="R786" t="s">
        <v>74</v>
      </c>
      <c r="S786" t="s">
        <v>74</v>
      </c>
      <c r="T786" t="s">
        <v>15418</v>
      </c>
      <c r="U786" t="s">
        <v>15419</v>
      </c>
      <c r="V786" t="s">
        <v>15420</v>
      </c>
      <c r="W786" t="s">
        <v>15421</v>
      </c>
      <c r="X786" t="s">
        <v>14211</v>
      </c>
      <c r="Y786" t="s">
        <v>15422</v>
      </c>
      <c r="Z786" t="s">
        <v>15423</v>
      </c>
      <c r="AA786" t="s">
        <v>15424</v>
      </c>
      <c r="AB786" t="s">
        <v>15425</v>
      </c>
      <c r="AC786" t="s">
        <v>15426</v>
      </c>
      <c r="AD786" t="s">
        <v>15427</v>
      </c>
      <c r="AE786" t="s">
        <v>15428</v>
      </c>
      <c r="AF786" t="s">
        <v>74</v>
      </c>
      <c r="AG786">
        <v>62</v>
      </c>
      <c r="AH786">
        <v>6</v>
      </c>
      <c r="AI786">
        <v>6</v>
      </c>
      <c r="AJ786">
        <v>2</v>
      </c>
      <c r="AK786">
        <v>16</v>
      </c>
      <c r="AL786" t="s">
        <v>5856</v>
      </c>
      <c r="AM786" t="s">
        <v>401</v>
      </c>
      <c r="AN786" t="s">
        <v>5857</v>
      </c>
      <c r="AO786" t="s">
        <v>14215</v>
      </c>
      <c r="AP786" t="s">
        <v>74</v>
      </c>
      <c r="AQ786" t="s">
        <v>74</v>
      </c>
      <c r="AR786" t="s">
        <v>14216</v>
      </c>
      <c r="AS786" t="s">
        <v>14217</v>
      </c>
      <c r="AT786" t="s">
        <v>15329</v>
      </c>
      <c r="AU786">
        <v>2022</v>
      </c>
      <c r="AV786">
        <v>10</v>
      </c>
      <c r="AW786">
        <v>1</v>
      </c>
      <c r="AX786" t="s">
        <v>74</v>
      </c>
      <c r="AY786" t="s">
        <v>74</v>
      </c>
      <c r="AZ786" t="s">
        <v>74</v>
      </c>
      <c r="BA786" t="s">
        <v>74</v>
      </c>
      <c r="BB786" t="s">
        <v>74</v>
      </c>
      <c r="BC786" t="s">
        <v>74</v>
      </c>
      <c r="BD786">
        <v>13</v>
      </c>
      <c r="BE786" t="s">
        <v>15429</v>
      </c>
      <c r="BF786" t="str">
        <f>HYPERLINK("http://dx.doi.org/10.1186/s40462-022-00311-y","http://dx.doi.org/10.1186/s40462-022-00311-y")</f>
        <v>http://dx.doi.org/10.1186/s40462-022-00311-y</v>
      </c>
      <c r="BG786" t="s">
        <v>74</v>
      </c>
      <c r="BH786" t="s">
        <v>74</v>
      </c>
      <c r="BI786">
        <v>14</v>
      </c>
      <c r="BJ786" t="s">
        <v>2647</v>
      </c>
      <c r="BK786" t="s">
        <v>101</v>
      </c>
      <c r="BL786" t="s">
        <v>840</v>
      </c>
      <c r="BM786" t="s">
        <v>15430</v>
      </c>
      <c r="BN786">
        <v>35287747</v>
      </c>
      <c r="BO786" t="s">
        <v>5588</v>
      </c>
      <c r="BP786" t="s">
        <v>74</v>
      </c>
      <c r="BQ786" t="s">
        <v>74</v>
      </c>
      <c r="BR786" t="s">
        <v>103</v>
      </c>
      <c r="BS786" t="s">
        <v>15431</v>
      </c>
      <c r="BT786" t="str">
        <f>HYPERLINK("https%3A%2F%2Fwww.webofscience.com%2Fwos%2Fwoscc%2Ffull-record%2FWOS:000768824400001","View Full Record in Web of Science")</f>
        <v>View Full Record in Web of Science</v>
      </c>
    </row>
    <row r="787" spans="1:72" x14ac:dyDescent="0.15">
      <c r="A787" t="s">
        <v>72</v>
      </c>
      <c r="B787" t="s">
        <v>15432</v>
      </c>
      <c r="C787" t="s">
        <v>74</v>
      </c>
      <c r="D787" t="s">
        <v>74</v>
      </c>
      <c r="E787" t="s">
        <v>74</v>
      </c>
      <c r="F787" t="s">
        <v>15433</v>
      </c>
      <c r="G787" t="s">
        <v>74</v>
      </c>
      <c r="H787" t="s">
        <v>74</v>
      </c>
      <c r="I787" t="s">
        <v>15434</v>
      </c>
      <c r="J787" t="s">
        <v>77</v>
      </c>
      <c r="K787" t="s">
        <v>74</v>
      </c>
      <c r="L787" t="s">
        <v>74</v>
      </c>
      <c r="M787" t="s">
        <v>78</v>
      </c>
      <c r="N787" t="s">
        <v>79</v>
      </c>
      <c r="O787" t="s">
        <v>74</v>
      </c>
      <c r="P787" t="s">
        <v>74</v>
      </c>
      <c r="Q787" t="s">
        <v>74</v>
      </c>
      <c r="R787" t="s">
        <v>74</v>
      </c>
      <c r="S787" t="s">
        <v>74</v>
      </c>
      <c r="T787" t="s">
        <v>15435</v>
      </c>
      <c r="U787" t="s">
        <v>15436</v>
      </c>
      <c r="V787" t="s">
        <v>15437</v>
      </c>
      <c r="W787" t="s">
        <v>15438</v>
      </c>
      <c r="X787" t="s">
        <v>15439</v>
      </c>
      <c r="Y787" t="s">
        <v>250</v>
      </c>
      <c r="Z787" t="s">
        <v>251</v>
      </c>
      <c r="AA787" t="s">
        <v>15440</v>
      </c>
      <c r="AB787" t="s">
        <v>15441</v>
      </c>
      <c r="AC787" t="s">
        <v>15442</v>
      </c>
      <c r="AD787" t="s">
        <v>15443</v>
      </c>
      <c r="AE787" t="s">
        <v>15444</v>
      </c>
      <c r="AF787" t="s">
        <v>74</v>
      </c>
      <c r="AG787">
        <v>170</v>
      </c>
      <c r="AH787">
        <v>10</v>
      </c>
      <c r="AI787">
        <v>10</v>
      </c>
      <c r="AJ787">
        <v>6</v>
      </c>
      <c r="AK787">
        <v>14</v>
      </c>
      <c r="AL787" t="s">
        <v>91</v>
      </c>
      <c r="AM787" t="s">
        <v>92</v>
      </c>
      <c r="AN787" t="s">
        <v>93</v>
      </c>
      <c r="AO787" t="s">
        <v>94</v>
      </c>
      <c r="AP787" t="s">
        <v>95</v>
      </c>
      <c r="AQ787" t="s">
        <v>74</v>
      </c>
      <c r="AR787" t="s">
        <v>77</v>
      </c>
      <c r="AS787" t="s">
        <v>96</v>
      </c>
      <c r="AT787" t="s">
        <v>537</v>
      </c>
      <c r="AU787">
        <v>2022</v>
      </c>
      <c r="AV787">
        <v>69</v>
      </c>
      <c r="AW787">
        <v>4</v>
      </c>
      <c r="AX787" t="s">
        <v>74</v>
      </c>
      <c r="AY787" t="s">
        <v>74</v>
      </c>
      <c r="AZ787" t="s">
        <v>74</v>
      </c>
      <c r="BA787" t="s">
        <v>74</v>
      </c>
      <c r="BB787">
        <v>1953</v>
      </c>
      <c r="BC787">
        <v>1991</v>
      </c>
      <c r="BD787" t="s">
        <v>74</v>
      </c>
      <c r="BE787" t="s">
        <v>15445</v>
      </c>
      <c r="BF787" t="str">
        <f>HYPERLINK("http://dx.doi.org/10.1111/sed.12978","http://dx.doi.org/10.1111/sed.12978")</f>
        <v>http://dx.doi.org/10.1111/sed.12978</v>
      </c>
      <c r="BG787" t="s">
        <v>74</v>
      </c>
      <c r="BH787" t="s">
        <v>12992</v>
      </c>
      <c r="BI787">
        <v>39</v>
      </c>
      <c r="BJ787" t="s">
        <v>100</v>
      </c>
      <c r="BK787" t="s">
        <v>101</v>
      </c>
      <c r="BL787" t="s">
        <v>100</v>
      </c>
      <c r="BM787" t="s">
        <v>15446</v>
      </c>
      <c r="BN787" t="s">
        <v>74</v>
      </c>
      <c r="BO787" t="s">
        <v>2709</v>
      </c>
      <c r="BP787" t="s">
        <v>74</v>
      </c>
      <c r="BQ787" t="s">
        <v>74</v>
      </c>
      <c r="BR787" t="s">
        <v>103</v>
      </c>
      <c r="BS787" t="s">
        <v>15447</v>
      </c>
      <c r="BT787" t="str">
        <f>HYPERLINK("https%3A%2F%2Fwww.webofscience.com%2Fwos%2Fwoscc%2Ffull-record%2FWOS:000768455300001","View Full Record in Web of Science")</f>
        <v>View Full Record in Web of Science</v>
      </c>
    </row>
    <row r="788" spans="1:72" x14ac:dyDescent="0.15">
      <c r="A788" t="s">
        <v>72</v>
      </c>
      <c r="B788" t="s">
        <v>15448</v>
      </c>
      <c r="C788" t="s">
        <v>74</v>
      </c>
      <c r="D788" t="s">
        <v>74</v>
      </c>
      <c r="E788" t="s">
        <v>74</v>
      </c>
      <c r="F788" t="s">
        <v>15449</v>
      </c>
      <c r="G788" t="s">
        <v>74</v>
      </c>
      <c r="H788" t="s">
        <v>74</v>
      </c>
      <c r="I788" t="s">
        <v>15450</v>
      </c>
      <c r="J788" t="s">
        <v>692</v>
      </c>
      <c r="K788" t="s">
        <v>74</v>
      </c>
      <c r="L788" t="s">
        <v>74</v>
      </c>
      <c r="M788" t="s">
        <v>78</v>
      </c>
      <c r="N788" t="s">
        <v>79</v>
      </c>
      <c r="O788" t="s">
        <v>74</v>
      </c>
      <c r="P788" t="s">
        <v>74</v>
      </c>
      <c r="Q788" t="s">
        <v>74</v>
      </c>
      <c r="R788" t="s">
        <v>74</v>
      </c>
      <c r="S788" t="s">
        <v>74</v>
      </c>
      <c r="T788" t="s">
        <v>15451</v>
      </c>
      <c r="U788" t="s">
        <v>74</v>
      </c>
      <c r="V788" t="s">
        <v>15452</v>
      </c>
      <c r="W788" t="s">
        <v>15453</v>
      </c>
      <c r="X788" t="s">
        <v>15454</v>
      </c>
      <c r="Y788" t="s">
        <v>15455</v>
      </c>
      <c r="Z788" t="s">
        <v>15456</v>
      </c>
      <c r="AA788" t="s">
        <v>15457</v>
      </c>
      <c r="AB788" t="s">
        <v>15458</v>
      </c>
      <c r="AC788" t="s">
        <v>74</v>
      </c>
      <c r="AD788" t="s">
        <v>74</v>
      </c>
      <c r="AE788" t="s">
        <v>74</v>
      </c>
      <c r="AF788" t="s">
        <v>74</v>
      </c>
      <c r="AG788">
        <v>48</v>
      </c>
      <c r="AH788">
        <v>2</v>
      </c>
      <c r="AI788">
        <v>2</v>
      </c>
      <c r="AJ788">
        <v>0</v>
      </c>
      <c r="AK788">
        <v>3</v>
      </c>
      <c r="AL788" t="s">
        <v>428</v>
      </c>
      <c r="AM788" t="s">
        <v>174</v>
      </c>
      <c r="AN788" t="s">
        <v>429</v>
      </c>
      <c r="AO788" t="s">
        <v>703</v>
      </c>
      <c r="AP788" t="s">
        <v>704</v>
      </c>
      <c r="AQ788" t="s">
        <v>74</v>
      </c>
      <c r="AR788" t="s">
        <v>705</v>
      </c>
      <c r="AS788" t="s">
        <v>706</v>
      </c>
      <c r="AT788" t="s">
        <v>8316</v>
      </c>
      <c r="AU788">
        <v>2022</v>
      </c>
      <c r="AV788">
        <v>34</v>
      </c>
      <c r="AW788">
        <v>2</v>
      </c>
      <c r="AX788" t="s">
        <v>74</v>
      </c>
      <c r="AY788" t="s">
        <v>74</v>
      </c>
      <c r="AZ788" t="s">
        <v>74</v>
      </c>
      <c r="BA788" t="s">
        <v>74</v>
      </c>
      <c r="BB788">
        <v>180</v>
      </c>
      <c r="BC788">
        <v>190</v>
      </c>
      <c r="BD788" t="s">
        <v>15459</v>
      </c>
      <c r="BE788" t="s">
        <v>15460</v>
      </c>
      <c r="BF788" t="str">
        <f>HYPERLINK("http://dx.doi.org/10.1017/S0954102022000049","http://dx.doi.org/10.1017/S0954102022000049")</f>
        <v>http://dx.doi.org/10.1017/S0954102022000049</v>
      </c>
      <c r="BG788" t="s">
        <v>74</v>
      </c>
      <c r="BH788" t="s">
        <v>12992</v>
      </c>
      <c r="BI788">
        <v>11</v>
      </c>
      <c r="BJ788" t="s">
        <v>708</v>
      </c>
      <c r="BK788" t="s">
        <v>101</v>
      </c>
      <c r="BL788" t="s">
        <v>709</v>
      </c>
      <c r="BM788" t="s">
        <v>9226</v>
      </c>
      <c r="BN788" t="s">
        <v>74</v>
      </c>
      <c r="BO788" t="s">
        <v>74</v>
      </c>
      <c r="BP788" t="s">
        <v>74</v>
      </c>
      <c r="BQ788" t="s">
        <v>74</v>
      </c>
      <c r="BR788" t="s">
        <v>103</v>
      </c>
      <c r="BS788" t="s">
        <v>15461</v>
      </c>
      <c r="BT788" t="str">
        <f>HYPERLINK("https%3A%2F%2Fwww.webofscience.com%2Fwos%2Fwoscc%2Ffull-record%2FWOS:000768584300001","View Full Record in Web of Science")</f>
        <v>View Full Record in Web of Science</v>
      </c>
    </row>
    <row r="789" spans="1:72" x14ac:dyDescent="0.15">
      <c r="A789" t="s">
        <v>72</v>
      </c>
      <c r="B789" t="s">
        <v>15462</v>
      </c>
      <c r="C789" t="s">
        <v>74</v>
      </c>
      <c r="D789" t="s">
        <v>74</v>
      </c>
      <c r="E789" t="s">
        <v>74</v>
      </c>
      <c r="F789" t="s">
        <v>15463</v>
      </c>
      <c r="G789" t="s">
        <v>74</v>
      </c>
      <c r="H789" t="s">
        <v>74</v>
      </c>
      <c r="I789" t="s">
        <v>15464</v>
      </c>
      <c r="J789" t="s">
        <v>1200</v>
      </c>
      <c r="K789" t="s">
        <v>74</v>
      </c>
      <c r="L789" t="s">
        <v>74</v>
      </c>
      <c r="M789" t="s">
        <v>78</v>
      </c>
      <c r="N789" t="s">
        <v>79</v>
      </c>
      <c r="O789" t="s">
        <v>74</v>
      </c>
      <c r="P789" t="s">
        <v>74</v>
      </c>
      <c r="Q789" t="s">
        <v>74</v>
      </c>
      <c r="R789" t="s">
        <v>74</v>
      </c>
      <c r="S789" t="s">
        <v>74</v>
      </c>
      <c r="T789" t="s">
        <v>15465</v>
      </c>
      <c r="U789" t="s">
        <v>15466</v>
      </c>
      <c r="V789" t="s">
        <v>15467</v>
      </c>
      <c r="W789" t="s">
        <v>15468</v>
      </c>
      <c r="X789" t="s">
        <v>15469</v>
      </c>
      <c r="Y789" t="s">
        <v>15470</v>
      </c>
      <c r="Z789" t="s">
        <v>15471</v>
      </c>
      <c r="AA789" t="s">
        <v>15472</v>
      </c>
      <c r="AB789" t="s">
        <v>15473</v>
      </c>
      <c r="AC789" t="s">
        <v>15474</v>
      </c>
      <c r="AD789" t="s">
        <v>15475</v>
      </c>
      <c r="AE789" t="s">
        <v>15476</v>
      </c>
      <c r="AF789" t="s">
        <v>74</v>
      </c>
      <c r="AG789">
        <v>75</v>
      </c>
      <c r="AH789">
        <v>6</v>
      </c>
      <c r="AI789">
        <v>6</v>
      </c>
      <c r="AJ789">
        <v>3</v>
      </c>
      <c r="AK789">
        <v>10</v>
      </c>
      <c r="AL789" t="s">
        <v>91</v>
      </c>
      <c r="AM789" t="s">
        <v>92</v>
      </c>
      <c r="AN789" t="s">
        <v>93</v>
      </c>
      <c r="AO789" t="s">
        <v>1213</v>
      </c>
      <c r="AP789" t="s">
        <v>1214</v>
      </c>
      <c r="AQ789" t="s">
        <v>74</v>
      </c>
      <c r="AR789" t="s">
        <v>1215</v>
      </c>
      <c r="AS789" t="s">
        <v>1216</v>
      </c>
      <c r="AT789" t="s">
        <v>8316</v>
      </c>
      <c r="AU789">
        <v>2022</v>
      </c>
      <c r="AV789">
        <v>148</v>
      </c>
      <c r="AW789">
        <v>744</v>
      </c>
      <c r="AX789" t="s">
        <v>74</v>
      </c>
      <c r="AY789" t="s">
        <v>74</v>
      </c>
      <c r="AZ789" t="s">
        <v>74</v>
      </c>
      <c r="BA789" t="s">
        <v>74</v>
      </c>
      <c r="BB789">
        <v>1223</v>
      </c>
      <c r="BC789">
        <v>1241</v>
      </c>
      <c r="BD789" t="s">
        <v>74</v>
      </c>
      <c r="BE789" t="s">
        <v>15477</v>
      </c>
      <c r="BF789" t="str">
        <f>HYPERLINK("http://dx.doi.org/10.1002/qj.4256","http://dx.doi.org/10.1002/qj.4256")</f>
        <v>http://dx.doi.org/10.1002/qj.4256</v>
      </c>
      <c r="BG789" t="s">
        <v>74</v>
      </c>
      <c r="BH789" t="s">
        <v>12992</v>
      </c>
      <c r="BI789">
        <v>19</v>
      </c>
      <c r="BJ789" t="s">
        <v>510</v>
      </c>
      <c r="BK789" t="s">
        <v>101</v>
      </c>
      <c r="BL789" t="s">
        <v>510</v>
      </c>
      <c r="BM789" t="s">
        <v>15478</v>
      </c>
      <c r="BN789" t="s">
        <v>74</v>
      </c>
      <c r="BO789" t="s">
        <v>2709</v>
      </c>
      <c r="BP789" t="s">
        <v>74</v>
      </c>
      <c r="BQ789" t="s">
        <v>74</v>
      </c>
      <c r="BR789" t="s">
        <v>103</v>
      </c>
      <c r="BS789" t="s">
        <v>15479</v>
      </c>
      <c r="BT789" t="str">
        <f>HYPERLINK("https%3A%2F%2Fwww.webofscience.com%2Fwos%2Fwoscc%2Ffull-record%2FWOS:000767959100001","View Full Record in Web of Science")</f>
        <v>View Full Record in Web of Science</v>
      </c>
    </row>
    <row r="790" spans="1:72" x14ac:dyDescent="0.15">
      <c r="A790" t="s">
        <v>72</v>
      </c>
      <c r="B790" t="s">
        <v>15480</v>
      </c>
      <c r="C790" t="s">
        <v>74</v>
      </c>
      <c r="D790" t="s">
        <v>74</v>
      </c>
      <c r="E790" t="s">
        <v>74</v>
      </c>
      <c r="F790" t="s">
        <v>15481</v>
      </c>
      <c r="G790" t="s">
        <v>74</v>
      </c>
      <c r="H790" t="s">
        <v>74</v>
      </c>
      <c r="I790" t="s">
        <v>15482</v>
      </c>
      <c r="J790" t="s">
        <v>15483</v>
      </c>
      <c r="K790" t="s">
        <v>74</v>
      </c>
      <c r="L790" t="s">
        <v>74</v>
      </c>
      <c r="M790" t="s">
        <v>78</v>
      </c>
      <c r="N790" t="s">
        <v>79</v>
      </c>
      <c r="O790" t="s">
        <v>74</v>
      </c>
      <c r="P790" t="s">
        <v>74</v>
      </c>
      <c r="Q790" t="s">
        <v>74</v>
      </c>
      <c r="R790" t="s">
        <v>74</v>
      </c>
      <c r="S790" t="s">
        <v>74</v>
      </c>
      <c r="T790" t="s">
        <v>15484</v>
      </c>
      <c r="U790" t="s">
        <v>15485</v>
      </c>
      <c r="V790" t="s">
        <v>15486</v>
      </c>
      <c r="W790" t="s">
        <v>15487</v>
      </c>
      <c r="X790" t="s">
        <v>15488</v>
      </c>
      <c r="Y790" t="s">
        <v>15489</v>
      </c>
      <c r="Z790" t="s">
        <v>15490</v>
      </c>
      <c r="AA790" t="s">
        <v>15491</v>
      </c>
      <c r="AB790" t="s">
        <v>15492</v>
      </c>
      <c r="AC790" t="s">
        <v>15493</v>
      </c>
      <c r="AD790" t="s">
        <v>15494</v>
      </c>
      <c r="AE790" t="s">
        <v>15495</v>
      </c>
      <c r="AF790" t="s">
        <v>74</v>
      </c>
      <c r="AG790">
        <v>68</v>
      </c>
      <c r="AH790">
        <v>3</v>
      </c>
      <c r="AI790">
        <v>3</v>
      </c>
      <c r="AJ790">
        <v>4</v>
      </c>
      <c r="AK790">
        <v>23</v>
      </c>
      <c r="AL790" t="s">
        <v>199</v>
      </c>
      <c r="AM790" t="s">
        <v>200</v>
      </c>
      <c r="AN790" t="s">
        <v>201</v>
      </c>
      <c r="AO790" t="s">
        <v>15496</v>
      </c>
      <c r="AP790" t="s">
        <v>15497</v>
      </c>
      <c r="AQ790" t="s">
        <v>74</v>
      </c>
      <c r="AR790" t="s">
        <v>15498</v>
      </c>
      <c r="AS790" t="s">
        <v>15499</v>
      </c>
      <c r="AT790" t="s">
        <v>11776</v>
      </c>
      <c r="AU790">
        <v>2022</v>
      </c>
      <c r="AV790">
        <v>249</v>
      </c>
      <c r="AW790" t="s">
        <v>74</v>
      </c>
      <c r="AX790" t="s">
        <v>74</v>
      </c>
      <c r="AY790" t="s">
        <v>74</v>
      </c>
      <c r="AZ790" t="s">
        <v>74</v>
      </c>
      <c r="BA790" t="s">
        <v>74</v>
      </c>
      <c r="BB790" t="s">
        <v>74</v>
      </c>
      <c r="BC790" t="s">
        <v>74</v>
      </c>
      <c r="BD790">
        <v>110964</v>
      </c>
      <c r="BE790" t="s">
        <v>15500</v>
      </c>
      <c r="BF790" t="str">
        <f>HYPERLINK("http://dx.doi.org/10.1016/j.oceaneng.2022.110964","http://dx.doi.org/10.1016/j.oceaneng.2022.110964")</f>
        <v>http://dx.doi.org/10.1016/j.oceaneng.2022.110964</v>
      </c>
      <c r="BG790" t="s">
        <v>74</v>
      </c>
      <c r="BH790" t="s">
        <v>12992</v>
      </c>
      <c r="BI790">
        <v>20</v>
      </c>
      <c r="BJ790" t="s">
        <v>15501</v>
      </c>
      <c r="BK790" t="s">
        <v>101</v>
      </c>
      <c r="BL790" t="s">
        <v>2074</v>
      </c>
      <c r="BM790" t="s">
        <v>15502</v>
      </c>
      <c r="BN790" t="s">
        <v>74</v>
      </c>
      <c r="BO790" t="s">
        <v>74</v>
      </c>
      <c r="BP790" t="s">
        <v>74</v>
      </c>
      <c r="BQ790" t="s">
        <v>74</v>
      </c>
      <c r="BR790" t="s">
        <v>103</v>
      </c>
      <c r="BS790" t="s">
        <v>15503</v>
      </c>
      <c r="BT790" t="str">
        <f>HYPERLINK("https%3A%2F%2Fwww.webofscience.com%2Fwos%2Fwoscc%2Ffull-record%2FWOS:000784450100002","View Full Record in Web of Science")</f>
        <v>View Full Record in Web of Science</v>
      </c>
    </row>
    <row r="791" spans="1:72" x14ac:dyDescent="0.15">
      <c r="A791" t="s">
        <v>72</v>
      </c>
      <c r="B791" t="s">
        <v>15504</v>
      </c>
      <c r="C791" t="s">
        <v>74</v>
      </c>
      <c r="D791" t="s">
        <v>74</v>
      </c>
      <c r="E791" t="s">
        <v>74</v>
      </c>
      <c r="F791" t="s">
        <v>15505</v>
      </c>
      <c r="G791" t="s">
        <v>74</v>
      </c>
      <c r="H791" t="s">
        <v>74</v>
      </c>
      <c r="I791" t="s">
        <v>15506</v>
      </c>
      <c r="J791" t="s">
        <v>189</v>
      </c>
      <c r="K791" t="s">
        <v>74</v>
      </c>
      <c r="L791" t="s">
        <v>74</v>
      </c>
      <c r="M791" t="s">
        <v>78</v>
      </c>
      <c r="N791" t="s">
        <v>79</v>
      </c>
      <c r="O791" t="s">
        <v>74</v>
      </c>
      <c r="P791" t="s">
        <v>74</v>
      </c>
      <c r="Q791" t="s">
        <v>74</v>
      </c>
      <c r="R791" t="s">
        <v>74</v>
      </c>
      <c r="S791" t="s">
        <v>74</v>
      </c>
      <c r="T791" t="s">
        <v>15507</v>
      </c>
      <c r="U791" t="s">
        <v>15508</v>
      </c>
      <c r="V791" t="s">
        <v>15509</v>
      </c>
      <c r="W791" t="s">
        <v>15510</v>
      </c>
      <c r="X791" t="s">
        <v>15511</v>
      </c>
      <c r="Y791" t="s">
        <v>15512</v>
      </c>
      <c r="Z791" t="s">
        <v>15513</v>
      </c>
      <c r="AA791" t="s">
        <v>15514</v>
      </c>
      <c r="AB791" t="s">
        <v>15515</v>
      </c>
      <c r="AC791" t="s">
        <v>15516</v>
      </c>
      <c r="AD791" t="s">
        <v>15517</v>
      </c>
      <c r="AE791" t="s">
        <v>15518</v>
      </c>
      <c r="AF791" t="s">
        <v>74</v>
      </c>
      <c r="AG791">
        <v>92</v>
      </c>
      <c r="AH791">
        <v>2</v>
      </c>
      <c r="AI791">
        <v>2</v>
      </c>
      <c r="AJ791">
        <v>7</v>
      </c>
      <c r="AK791">
        <v>34</v>
      </c>
      <c r="AL791" t="s">
        <v>199</v>
      </c>
      <c r="AM791" t="s">
        <v>200</v>
      </c>
      <c r="AN791" t="s">
        <v>201</v>
      </c>
      <c r="AO791" t="s">
        <v>202</v>
      </c>
      <c r="AP791" t="s">
        <v>203</v>
      </c>
      <c r="AQ791" t="s">
        <v>74</v>
      </c>
      <c r="AR791" t="s">
        <v>204</v>
      </c>
      <c r="AS791" t="s">
        <v>205</v>
      </c>
      <c r="AT791" t="s">
        <v>6497</v>
      </c>
      <c r="AU791">
        <v>2022</v>
      </c>
      <c r="AV791">
        <v>197</v>
      </c>
      <c r="AW791" t="s">
        <v>74</v>
      </c>
      <c r="AX791" t="s">
        <v>74</v>
      </c>
      <c r="AY791" t="s">
        <v>74</v>
      </c>
      <c r="AZ791" t="s">
        <v>74</v>
      </c>
      <c r="BA791" t="s">
        <v>74</v>
      </c>
      <c r="BB791" t="s">
        <v>74</v>
      </c>
      <c r="BC791" t="s">
        <v>74</v>
      </c>
      <c r="BD791">
        <v>105044</v>
      </c>
      <c r="BE791" t="s">
        <v>15519</v>
      </c>
      <c r="BF791" t="str">
        <f>HYPERLINK("http://dx.doi.org/10.1016/j.dsr2.2022.105044","http://dx.doi.org/10.1016/j.dsr2.2022.105044")</f>
        <v>http://dx.doi.org/10.1016/j.dsr2.2022.105044</v>
      </c>
      <c r="BG791" t="s">
        <v>74</v>
      </c>
      <c r="BH791" t="s">
        <v>12992</v>
      </c>
      <c r="BI791">
        <v>16</v>
      </c>
      <c r="BJ791" t="s">
        <v>208</v>
      </c>
      <c r="BK791" t="s">
        <v>101</v>
      </c>
      <c r="BL791" t="s">
        <v>208</v>
      </c>
      <c r="BM791" t="s">
        <v>15520</v>
      </c>
      <c r="BN791" t="s">
        <v>74</v>
      </c>
      <c r="BO791" t="s">
        <v>74</v>
      </c>
      <c r="BP791" t="s">
        <v>74</v>
      </c>
      <c r="BQ791" t="s">
        <v>74</v>
      </c>
      <c r="BR791" t="s">
        <v>103</v>
      </c>
      <c r="BS791" t="s">
        <v>15521</v>
      </c>
      <c r="BT791" t="str">
        <f>HYPERLINK("https%3A%2F%2Fwww.webofscience.com%2Fwos%2Fwoscc%2Ffull-record%2FWOS:000772660500002","View Full Record in Web of Science")</f>
        <v>View Full Record in Web of Science</v>
      </c>
    </row>
    <row r="792" spans="1:72" x14ac:dyDescent="0.15">
      <c r="A792" t="s">
        <v>72</v>
      </c>
      <c r="B792" t="s">
        <v>15522</v>
      </c>
      <c r="C792" t="s">
        <v>74</v>
      </c>
      <c r="D792" t="s">
        <v>74</v>
      </c>
      <c r="E792" t="s">
        <v>74</v>
      </c>
      <c r="F792" t="s">
        <v>15523</v>
      </c>
      <c r="G792" t="s">
        <v>74</v>
      </c>
      <c r="H792" t="s">
        <v>74</v>
      </c>
      <c r="I792" t="s">
        <v>15524</v>
      </c>
      <c r="J792" t="s">
        <v>189</v>
      </c>
      <c r="K792" t="s">
        <v>74</v>
      </c>
      <c r="L792" t="s">
        <v>74</v>
      </c>
      <c r="M792" t="s">
        <v>78</v>
      </c>
      <c r="N792" t="s">
        <v>79</v>
      </c>
      <c r="O792" t="s">
        <v>74</v>
      </c>
      <c r="P792" t="s">
        <v>74</v>
      </c>
      <c r="Q792" t="s">
        <v>74</v>
      </c>
      <c r="R792" t="s">
        <v>74</v>
      </c>
      <c r="S792" t="s">
        <v>74</v>
      </c>
      <c r="T792" t="s">
        <v>15525</v>
      </c>
      <c r="U792" t="s">
        <v>15526</v>
      </c>
      <c r="V792" t="s">
        <v>15527</v>
      </c>
      <c r="W792" t="s">
        <v>15528</v>
      </c>
      <c r="X792" t="s">
        <v>15529</v>
      </c>
      <c r="Y792" t="s">
        <v>15530</v>
      </c>
      <c r="Z792" t="s">
        <v>359</v>
      </c>
      <c r="AA792" t="s">
        <v>15531</v>
      </c>
      <c r="AB792" t="s">
        <v>15532</v>
      </c>
      <c r="AC792" t="s">
        <v>15533</v>
      </c>
      <c r="AD792" t="s">
        <v>15534</v>
      </c>
      <c r="AE792" t="s">
        <v>15535</v>
      </c>
      <c r="AF792" t="s">
        <v>74</v>
      </c>
      <c r="AG792">
        <v>60</v>
      </c>
      <c r="AH792">
        <v>1</v>
      </c>
      <c r="AI792">
        <v>1</v>
      </c>
      <c r="AJ792">
        <v>3</v>
      </c>
      <c r="AK792">
        <v>17</v>
      </c>
      <c r="AL792" t="s">
        <v>199</v>
      </c>
      <c r="AM792" t="s">
        <v>200</v>
      </c>
      <c r="AN792" t="s">
        <v>201</v>
      </c>
      <c r="AO792" t="s">
        <v>202</v>
      </c>
      <c r="AP792" t="s">
        <v>203</v>
      </c>
      <c r="AQ792" t="s">
        <v>74</v>
      </c>
      <c r="AR792" t="s">
        <v>204</v>
      </c>
      <c r="AS792" t="s">
        <v>205</v>
      </c>
      <c r="AT792" t="s">
        <v>6497</v>
      </c>
      <c r="AU792">
        <v>2022</v>
      </c>
      <c r="AV792">
        <v>197</v>
      </c>
      <c r="AW792" t="s">
        <v>74</v>
      </c>
      <c r="AX792" t="s">
        <v>74</v>
      </c>
      <c r="AY792" t="s">
        <v>74</v>
      </c>
      <c r="AZ792" t="s">
        <v>74</v>
      </c>
      <c r="BA792" t="s">
        <v>74</v>
      </c>
      <c r="BB792" t="s">
        <v>74</v>
      </c>
      <c r="BC792" t="s">
        <v>74</v>
      </c>
      <c r="BD792">
        <v>105043</v>
      </c>
      <c r="BE792" t="s">
        <v>15536</v>
      </c>
      <c r="BF792" t="str">
        <f>HYPERLINK("http://dx.doi.org/10.1016/j.dsr2.2022.105043","http://dx.doi.org/10.1016/j.dsr2.2022.105043")</f>
        <v>http://dx.doi.org/10.1016/j.dsr2.2022.105043</v>
      </c>
      <c r="BG792" t="s">
        <v>74</v>
      </c>
      <c r="BH792" t="s">
        <v>12992</v>
      </c>
      <c r="BI792">
        <v>14</v>
      </c>
      <c r="BJ792" t="s">
        <v>208</v>
      </c>
      <c r="BK792" t="s">
        <v>101</v>
      </c>
      <c r="BL792" t="s">
        <v>208</v>
      </c>
      <c r="BM792" t="s">
        <v>15520</v>
      </c>
      <c r="BN792" t="s">
        <v>74</v>
      </c>
      <c r="BO792" t="s">
        <v>74</v>
      </c>
      <c r="BP792" t="s">
        <v>74</v>
      </c>
      <c r="BQ792" t="s">
        <v>74</v>
      </c>
      <c r="BR792" t="s">
        <v>103</v>
      </c>
      <c r="BS792" t="s">
        <v>15537</v>
      </c>
      <c r="BT792" t="str">
        <f>HYPERLINK("https%3A%2F%2Fwww.webofscience.com%2Fwos%2Fwoscc%2Ffull-record%2FWOS:000772660500001","View Full Record in Web of Science")</f>
        <v>View Full Record in Web of Science</v>
      </c>
    </row>
    <row r="793" spans="1:72" x14ac:dyDescent="0.15">
      <c r="A793" t="s">
        <v>72</v>
      </c>
      <c r="B793" t="s">
        <v>15538</v>
      </c>
      <c r="C793" t="s">
        <v>74</v>
      </c>
      <c r="D793" t="s">
        <v>74</v>
      </c>
      <c r="E793" t="s">
        <v>74</v>
      </c>
      <c r="F793" t="s">
        <v>15539</v>
      </c>
      <c r="G793" t="s">
        <v>74</v>
      </c>
      <c r="H793" t="s">
        <v>74</v>
      </c>
      <c r="I793" t="s">
        <v>15540</v>
      </c>
      <c r="J793" t="s">
        <v>15541</v>
      </c>
      <c r="K793" t="s">
        <v>74</v>
      </c>
      <c r="L793" t="s">
        <v>74</v>
      </c>
      <c r="M793" t="s">
        <v>78</v>
      </c>
      <c r="N793" t="s">
        <v>161</v>
      </c>
      <c r="O793" t="s">
        <v>74</v>
      </c>
      <c r="P793" t="s">
        <v>74</v>
      </c>
      <c r="Q793" t="s">
        <v>74</v>
      </c>
      <c r="R793" t="s">
        <v>74</v>
      </c>
      <c r="S793" t="s">
        <v>74</v>
      </c>
      <c r="T793" t="s">
        <v>15542</v>
      </c>
      <c r="U793" t="s">
        <v>15543</v>
      </c>
      <c r="V793" t="s">
        <v>15544</v>
      </c>
      <c r="W793" t="s">
        <v>15545</v>
      </c>
      <c r="X793" t="s">
        <v>15546</v>
      </c>
      <c r="Y793" t="s">
        <v>15547</v>
      </c>
      <c r="Z793" t="s">
        <v>15548</v>
      </c>
      <c r="AA793" t="s">
        <v>15549</v>
      </c>
      <c r="AB793" t="s">
        <v>15550</v>
      </c>
      <c r="AC793" t="s">
        <v>15551</v>
      </c>
      <c r="AD793" t="s">
        <v>15552</v>
      </c>
      <c r="AE793" t="s">
        <v>15553</v>
      </c>
      <c r="AF793" t="s">
        <v>74</v>
      </c>
      <c r="AG793">
        <v>321</v>
      </c>
      <c r="AH793">
        <v>22</v>
      </c>
      <c r="AI793">
        <v>24</v>
      </c>
      <c r="AJ793">
        <v>10</v>
      </c>
      <c r="AK793">
        <v>42</v>
      </c>
      <c r="AL793" t="s">
        <v>530</v>
      </c>
      <c r="AM793" t="s">
        <v>531</v>
      </c>
      <c r="AN793" t="s">
        <v>532</v>
      </c>
      <c r="AO793" t="s">
        <v>15554</v>
      </c>
      <c r="AP793" t="s">
        <v>15555</v>
      </c>
      <c r="AQ793" t="s">
        <v>74</v>
      </c>
      <c r="AR793" t="s">
        <v>15556</v>
      </c>
      <c r="AS793" t="s">
        <v>15557</v>
      </c>
      <c r="AT793" t="s">
        <v>5076</v>
      </c>
      <c r="AU793">
        <v>2022</v>
      </c>
      <c r="AV793">
        <v>114</v>
      </c>
      <c r="AW793">
        <v>1</v>
      </c>
      <c r="AX793" t="s">
        <v>74</v>
      </c>
      <c r="AY793" t="s">
        <v>74</v>
      </c>
      <c r="AZ793" t="s">
        <v>772</v>
      </c>
      <c r="BA793" t="s">
        <v>74</v>
      </c>
      <c r="BB793">
        <v>463</v>
      </c>
      <c r="BC793">
        <v>490</v>
      </c>
      <c r="BD793" t="s">
        <v>74</v>
      </c>
      <c r="BE793" t="s">
        <v>15558</v>
      </c>
      <c r="BF793" t="str">
        <f>HYPERLINK("http://dx.doi.org/10.1007/s13225-022-00500-5","http://dx.doi.org/10.1007/s13225-022-00500-5")</f>
        <v>http://dx.doi.org/10.1007/s13225-022-00500-5</v>
      </c>
      <c r="BG793" t="s">
        <v>74</v>
      </c>
      <c r="BH793" t="s">
        <v>12992</v>
      </c>
      <c r="BI793">
        <v>28</v>
      </c>
      <c r="BJ793" t="s">
        <v>15559</v>
      </c>
      <c r="BK793" t="s">
        <v>101</v>
      </c>
      <c r="BL793" t="s">
        <v>15559</v>
      </c>
      <c r="BM793" t="s">
        <v>15560</v>
      </c>
      <c r="BN793" t="s">
        <v>74</v>
      </c>
      <c r="BO793" t="s">
        <v>74</v>
      </c>
      <c r="BP793" t="s">
        <v>74</v>
      </c>
      <c r="BQ793" t="s">
        <v>74</v>
      </c>
      <c r="BR793" t="s">
        <v>103</v>
      </c>
      <c r="BS793" t="s">
        <v>15561</v>
      </c>
      <c r="BT793" t="str">
        <f>HYPERLINK("https%3A%2F%2Fwww.webofscience.com%2Fwos%2Fwoscc%2Ffull-record%2FWOS:000767900400001","View Full Record in Web of Science")</f>
        <v>View Full Record in Web of Science</v>
      </c>
    </row>
    <row r="794" spans="1:72" x14ac:dyDescent="0.15">
      <c r="A794" t="s">
        <v>72</v>
      </c>
      <c r="B794" t="s">
        <v>15562</v>
      </c>
      <c r="C794" t="s">
        <v>74</v>
      </c>
      <c r="D794" t="s">
        <v>74</v>
      </c>
      <c r="E794" t="s">
        <v>74</v>
      </c>
      <c r="F794" t="s">
        <v>15563</v>
      </c>
      <c r="G794" t="s">
        <v>74</v>
      </c>
      <c r="H794" t="s">
        <v>74</v>
      </c>
      <c r="I794" t="s">
        <v>15564</v>
      </c>
      <c r="J794" t="s">
        <v>11462</v>
      </c>
      <c r="K794" t="s">
        <v>74</v>
      </c>
      <c r="L794" t="s">
        <v>74</v>
      </c>
      <c r="M794" t="s">
        <v>78</v>
      </c>
      <c r="N794" t="s">
        <v>79</v>
      </c>
      <c r="O794" t="s">
        <v>74</v>
      </c>
      <c r="P794" t="s">
        <v>74</v>
      </c>
      <c r="Q794" t="s">
        <v>74</v>
      </c>
      <c r="R794" t="s">
        <v>74</v>
      </c>
      <c r="S794" t="s">
        <v>74</v>
      </c>
      <c r="T794" t="s">
        <v>15565</v>
      </c>
      <c r="U794" t="s">
        <v>15566</v>
      </c>
      <c r="V794" t="s">
        <v>15567</v>
      </c>
      <c r="W794" t="s">
        <v>15568</v>
      </c>
      <c r="X794" t="s">
        <v>15569</v>
      </c>
      <c r="Y794" t="s">
        <v>15570</v>
      </c>
      <c r="Z794" t="s">
        <v>15571</v>
      </c>
      <c r="AA794" t="s">
        <v>15572</v>
      </c>
      <c r="AB794" t="s">
        <v>15573</v>
      </c>
      <c r="AC794" t="s">
        <v>15574</v>
      </c>
      <c r="AD794" t="s">
        <v>15575</v>
      </c>
      <c r="AE794" t="s">
        <v>15576</v>
      </c>
      <c r="AF794" t="s">
        <v>74</v>
      </c>
      <c r="AG794">
        <v>56</v>
      </c>
      <c r="AH794">
        <v>2</v>
      </c>
      <c r="AI794">
        <v>2</v>
      </c>
      <c r="AJ794">
        <v>4</v>
      </c>
      <c r="AK794">
        <v>13</v>
      </c>
      <c r="AL794" t="s">
        <v>3228</v>
      </c>
      <c r="AM794" t="s">
        <v>200</v>
      </c>
      <c r="AN794" t="s">
        <v>3229</v>
      </c>
      <c r="AO794" t="s">
        <v>11474</v>
      </c>
      <c r="AP794" t="s">
        <v>11475</v>
      </c>
      <c r="AQ794" t="s">
        <v>74</v>
      </c>
      <c r="AR794" t="s">
        <v>11476</v>
      </c>
      <c r="AS794" t="s">
        <v>11477</v>
      </c>
      <c r="AT794" t="s">
        <v>11435</v>
      </c>
      <c r="AU794">
        <v>2022</v>
      </c>
      <c r="AV794">
        <v>221</v>
      </c>
      <c r="AW794" t="s">
        <v>74</v>
      </c>
      <c r="AX794" t="s">
        <v>74</v>
      </c>
      <c r="AY794" t="s">
        <v>74</v>
      </c>
      <c r="AZ794" t="s">
        <v>74</v>
      </c>
      <c r="BA794" t="s">
        <v>74</v>
      </c>
      <c r="BB794" t="s">
        <v>74</v>
      </c>
      <c r="BC794" t="s">
        <v>74</v>
      </c>
      <c r="BD794">
        <v>106114</v>
      </c>
      <c r="BE794" t="s">
        <v>15577</v>
      </c>
      <c r="BF794" t="str">
        <f>HYPERLINK("http://dx.doi.org/10.1016/j.ocecoaman.2022.106114","http://dx.doi.org/10.1016/j.ocecoaman.2022.106114")</f>
        <v>http://dx.doi.org/10.1016/j.ocecoaman.2022.106114</v>
      </c>
      <c r="BG794" t="s">
        <v>74</v>
      </c>
      <c r="BH794" t="s">
        <v>12992</v>
      </c>
      <c r="BI794">
        <v>9</v>
      </c>
      <c r="BJ794" t="s">
        <v>11479</v>
      </c>
      <c r="BK794" t="s">
        <v>101</v>
      </c>
      <c r="BL794" t="s">
        <v>11479</v>
      </c>
      <c r="BM794" t="s">
        <v>15578</v>
      </c>
      <c r="BN794" t="s">
        <v>74</v>
      </c>
      <c r="BO794" t="s">
        <v>74</v>
      </c>
      <c r="BP794" t="s">
        <v>74</v>
      </c>
      <c r="BQ794" t="s">
        <v>74</v>
      </c>
      <c r="BR794" t="s">
        <v>103</v>
      </c>
      <c r="BS794" t="s">
        <v>15579</v>
      </c>
      <c r="BT794" t="str">
        <f>HYPERLINK("https%3A%2F%2Fwww.webofscience.com%2Fwos%2Fwoscc%2Ffull-record%2FWOS:000819402300005","View Full Record in Web of Science")</f>
        <v>View Full Record in Web of Science</v>
      </c>
    </row>
    <row r="795" spans="1:72" x14ac:dyDescent="0.15">
      <c r="A795" t="s">
        <v>72</v>
      </c>
      <c r="B795" t="s">
        <v>15580</v>
      </c>
      <c r="C795" t="s">
        <v>74</v>
      </c>
      <c r="D795" t="s">
        <v>74</v>
      </c>
      <c r="E795" t="s">
        <v>74</v>
      </c>
      <c r="F795" t="s">
        <v>15581</v>
      </c>
      <c r="G795" t="s">
        <v>74</v>
      </c>
      <c r="H795" t="s">
        <v>74</v>
      </c>
      <c r="I795" t="s">
        <v>15582</v>
      </c>
      <c r="J795" t="s">
        <v>4476</v>
      </c>
      <c r="K795" t="s">
        <v>74</v>
      </c>
      <c r="L795" t="s">
        <v>74</v>
      </c>
      <c r="M795" t="s">
        <v>78</v>
      </c>
      <c r="N795" t="s">
        <v>161</v>
      </c>
      <c r="O795" t="s">
        <v>74</v>
      </c>
      <c r="P795" t="s">
        <v>74</v>
      </c>
      <c r="Q795" t="s">
        <v>74</v>
      </c>
      <c r="R795" t="s">
        <v>74</v>
      </c>
      <c r="S795" t="s">
        <v>74</v>
      </c>
      <c r="T795" t="s">
        <v>15583</v>
      </c>
      <c r="U795" t="s">
        <v>15584</v>
      </c>
      <c r="V795" t="s">
        <v>15585</v>
      </c>
      <c r="W795" t="s">
        <v>15586</v>
      </c>
      <c r="X795" t="s">
        <v>15587</v>
      </c>
      <c r="Y795" t="s">
        <v>15588</v>
      </c>
      <c r="Z795" t="s">
        <v>15589</v>
      </c>
      <c r="AA795" t="s">
        <v>15590</v>
      </c>
      <c r="AB795" t="s">
        <v>15591</v>
      </c>
      <c r="AC795" t="s">
        <v>15592</v>
      </c>
      <c r="AD795" t="s">
        <v>15593</v>
      </c>
      <c r="AE795" t="s">
        <v>15594</v>
      </c>
      <c r="AF795" t="s">
        <v>74</v>
      </c>
      <c r="AG795">
        <v>130</v>
      </c>
      <c r="AH795">
        <v>5</v>
      </c>
      <c r="AI795">
        <v>5</v>
      </c>
      <c r="AJ795">
        <v>14</v>
      </c>
      <c r="AK795">
        <v>28</v>
      </c>
      <c r="AL795" t="s">
        <v>633</v>
      </c>
      <c r="AM795" t="s">
        <v>200</v>
      </c>
      <c r="AN795" t="s">
        <v>634</v>
      </c>
      <c r="AO795" t="s">
        <v>4486</v>
      </c>
      <c r="AP795" t="s">
        <v>4487</v>
      </c>
      <c r="AQ795" t="s">
        <v>74</v>
      </c>
      <c r="AR795" t="s">
        <v>4488</v>
      </c>
      <c r="AS795" t="s">
        <v>4489</v>
      </c>
      <c r="AT795" t="s">
        <v>4490</v>
      </c>
      <c r="AU795">
        <v>2022</v>
      </c>
      <c r="AV795">
        <v>73</v>
      </c>
      <c r="AW795">
        <v>13</v>
      </c>
      <c r="AX795" t="s">
        <v>74</v>
      </c>
      <c r="AY795" t="s">
        <v>74</v>
      </c>
      <c r="AZ795" t="s">
        <v>772</v>
      </c>
      <c r="BA795" t="s">
        <v>74</v>
      </c>
      <c r="BB795">
        <v>4412</v>
      </c>
      <c r="BC795">
        <v>4426</v>
      </c>
      <c r="BD795" t="s">
        <v>74</v>
      </c>
      <c r="BE795" t="s">
        <v>15595</v>
      </c>
      <c r="BF795" t="str">
        <f>HYPERLINK("http://dx.doi.org/10.1093/jxb/erac090","http://dx.doi.org/10.1093/jxb/erac090")</f>
        <v>http://dx.doi.org/10.1093/jxb/erac090</v>
      </c>
      <c r="BG795" t="s">
        <v>74</v>
      </c>
      <c r="BH795" t="s">
        <v>12992</v>
      </c>
      <c r="BI795">
        <v>15</v>
      </c>
      <c r="BJ795" t="s">
        <v>1649</v>
      </c>
      <c r="BK795" t="s">
        <v>101</v>
      </c>
      <c r="BL795" t="s">
        <v>1649</v>
      </c>
      <c r="BM795" t="s">
        <v>4492</v>
      </c>
      <c r="BN795">
        <v>35274697</v>
      </c>
      <c r="BO795" t="s">
        <v>74</v>
      </c>
      <c r="BP795" t="s">
        <v>74</v>
      </c>
      <c r="BQ795" t="s">
        <v>74</v>
      </c>
      <c r="BR795" t="s">
        <v>103</v>
      </c>
      <c r="BS795" t="s">
        <v>15596</v>
      </c>
      <c r="BT795" t="str">
        <f>HYPERLINK("https%3A%2F%2Fwww.webofscience.com%2Fwos%2Fwoscc%2Ffull-record%2FWOS:000784528900001","View Full Record in Web of Science")</f>
        <v>View Full Record in Web of Science</v>
      </c>
    </row>
    <row r="796" spans="1:72" x14ac:dyDescent="0.15">
      <c r="A796" t="s">
        <v>72</v>
      </c>
      <c r="B796" t="s">
        <v>15597</v>
      </c>
      <c r="C796" t="s">
        <v>74</v>
      </c>
      <c r="D796" t="s">
        <v>74</v>
      </c>
      <c r="E796" t="s">
        <v>74</v>
      </c>
      <c r="F796" t="s">
        <v>15598</v>
      </c>
      <c r="G796" t="s">
        <v>74</v>
      </c>
      <c r="H796" t="s">
        <v>74</v>
      </c>
      <c r="I796" t="s">
        <v>15599</v>
      </c>
      <c r="J796" t="s">
        <v>15600</v>
      </c>
      <c r="K796" t="s">
        <v>74</v>
      </c>
      <c r="L796" t="s">
        <v>74</v>
      </c>
      <c r="M796" t="s">
        <v>78</v>
      </c>
      <c r="N796" t="s">
        <v>79</v>
      </c>
      <c r="O796" t="s">
        <v>74</v>
      </c>
      <c r="P796" t="s">
        <v>74</v>
      </c>
      <c r="Q796" t="s">
        <v>74</v>
      </c>
      <c r="R796" t="s">
        <v>74</v>
      </c>
      <c r="S796" t="s">
        <v>74</v>
      </c>
      <c r="T796" t="s">
        <v>15601</v>
      </c>
      <c r="U796" t="s">
        <v>15602</v>
      </c>
      <c r="V796" t="s">
        <v>15603</v>
      </c>
      <c r="W796" t="s">
        <v>15604</v>
      </c>
      <c r="X796" t="s">
        <v>15605</v>
      </c>
      <c r="Y796" t="s">
        <v>15606</v>
      </c>
      <c r="Z796" t="s">
        <v>15607</v>
      </c>
      <c r="AA796" t="s">
        <v>74</v>
      </c>
      <c r="AB796" t="s">
        <v>74</v>
      </c>
      <c r="AC796" t="s">
        <v>74</v>
      </c>
      <c r="AD796" t="s">
        <v>74</v>
      </c>
      <c r="AE796" t="s">
        <v>74</v>
      </c>
      <c r="AF796" t="s">
        <v>74</v>
      </c>
      <c r="AG796">
        <v>89</v>
      </c>
      <c r="AH796">
        <v>3</v>
      </c>
      <c r="AI796">
        <v>4</v>
      </c>
      <c r="AJ796">
        <v>0</v>
      </c>
      <c r="AK796">
        <v>2</v>
      </c>
      <c r="AL796" t="s">
        <v>285</v>
      </c>
      <c r="AM796" t="s">
        <v>286</v>
      </c>
      <c r="AN796" t="s">
        <v>287</v>
      </c>
      <c r="AO796" t="s">
        <v>74</v>
      </c>
      <c r="AP796" t="s">
        <v>15608</v>
      </c>
      <c r="AQ796" t="s">
        <v>74</v>
      </c>
      <c r="AR796" t="s">
        <v>15609</v>
      </c>
      <c r="AS796" t="s">
        <v>15610</v>
      </c>
      <c r="AT796" t="s">
        <v>15611</v>
      </c>
      <c r="AU796">
        <v>2022</v>
      </c>
      <c r="AV796">
        <v>13</v>
      </c>
      <c r="AW796" t="s">
        <v>74</v>
      </c>
      <c r="AX796" t="s">
        <v>74</v>
      </c>
      <c r="AY796" t="s">
        <v>74</v>
      </c>
      <c r="AZ796" t="s">
        <v>74</v>
      </c>
      <c r="BA796" t="s">
        <v>74</v>
      </c>
      <c r="BB796" t="s">
        <v>74</v>
      </c>
      <c r="BC796" t="s">
        <v>74</v>
      </c>
      <c r="BD796">
        <v>825269</v>
      </c>
      <c r="BE796" t="s">
        <v>15612</v>
      </c>
      <c r="BF796" t="str">
        <f>HYPERLINK("http://dx.doi.org/10.3389/fgene.2022.825269","http://dx.doi.org/10.3389/fgene.2022.825269")</f>
        <v>http://dx.doi.org/10.3389/fgene.2022.825269</v>
      </c>
      <c r="BG796" t="s">
        <v>74</v>
      </c>
      <c r="BH796" t="s">
        <v>74</v>
      </c>
      <c r="BI796">
        <v>13</v>
      </c>
      <c r="BJ796" t="s">
        <v>2023</v>
      </c>
      <c r="BK796" t="s">
        <v>101</v>
      </c>
      <c r="BL796" t="s">
        <v>2023</v>
      </c>
      <c r="BM796" t="s">
        <v>15613</v>
      </c>
      <c r="BN796">
        <v>35360867</v>
      </c>
      <c r="BO796" t="s">
        <v>295</v>
      </c>
      <c r="BP796" t="s">
        <v>74</v>
      </c>
      <c r="BQ796" t="s">
        <v>74</v>
      </c>
      <c r="BR796" t="s">
        <v>103</v>
      </c>
      <c r="BS796" t="s">
        <v>15614</v>
      </c>
      <c r="BT796" t="str">
        <f>HYPERLINK("https%3A%2F%2Fwww.webofscience.com%2Fwos%2Fwoscc%2Ffull-record%2FWOS:000777162900001","View Full Record in Web of Science")</f>
        <v>View Full Record in Web of Science</v>
      </c>
    </row>
    <row r="797" spans="1:72" x14ac:dyDescent="0.15">
      <c r="A797" t="s">
        <v>72</v>
      </c>
      <c r="B797" t="s">
        <v>15615</v>
      </c>
      <c r="C797" t="s">
        <v>74</v>
      </c>
      <c r="D797" t="s">
        <v>74</v>
      </c>
      <c r="E797" t="s">
        <v>74</v>
      </c>
      <c r="F797" t="s">
        <v>15616</v>
      </c>
      <c r="G797" t="s">
        <v>74</v>
      </c>
      <c r="H797" t="s">
        <v>74</v>
      </c>
      <c r="I797" t="s">
        <v>15617</v>
      </c>
      <c r="J797" t="s">
        <v>8210</v>
      </c>
      <c r="K797" t="s">
        <v>74</v>
      </c>
      <c r="L797" t="s">
        <v>74</v>
      </c>
      <c r="M797" t="s">
        <v>78</v>
      </c>
      <c r="N797" t="s">
        <v>79</v>
      </c>
      <c r="O797" t="s">
        <v>74</v>
      </c>
      <c r="P797" t="s">
        <v>74</v>
      </c>
      <c r="Q797" t="s">
        <v>74</v>
      </c>
      <c r="R797" t="s">
        <v>74</v>
      </c>
      <c r="S797" t="s">
        <v>74</v>
      </c>
      <c r="T797" t="s">
        <v>15618</v>
      </c>
      <c r="U797" t="s">
        <v>15619</v>
      </c>
      <c r="V797" t="s">
        <v>15620</v>
      </c>
      <c r="W797" t="s">
        <v>15621</v>
      </c>
      <c r="X797" t="s">
        <v>15242</v>
      </c>
      <c r="Y797" t="s">
        <v>15622</v>
      </c>
      <c r="Z797" t="s">
        <v>7320</v>
      </c>
      <c r="AA797" t="s">
        <v>74</v>
      </c>
      <c r="AB797" t="s">
        <v>15623</v>
      </c>
      <c r="AC797" t="s">
        <v>15624</v>
      </c>
      <c r="AD797" t="s">
        <v>15625</v>
      </c>
      <c r="AE797" t="s">
        <v>15626</v>
      </c>
      <c r="AF797" t="s">
        <v>74</v>
      </c>
      <c r="AG797">
        <v>76</v>
      </c>
      <c r="AH797">
        <v>1</v>
      </c>
      <c r="AI797">
        <v>2</v>
      </c>
      <c r="AJ797">
        <v>2</v>
      </c>
      <c r="AK797">
        <v>7</v>
      </c>
      <c r="AL797" t="s">
        <v>8223</v>
      </c>
      <c r="AM797" t="s">
        <v>8224</v>
      </c>
      <c r="AN797" t="s">
        <v>8225</v>
      </c>
      <c r="AO797" t="s">
        <v>8226</v>
      </c>
      <c r="AP797" t="s">
        <v>8227</v>
      </c>
      <c r="AQ797" t="s">
        <v>74</v>
      </c>
      <c r="AR797" t="s">
        <v>8228</v>
      </c>
      <c r="AS797" t="s">
        <v>8229</v>
      </c>
      <c r="AT797" t="s">
        <v>15611</v>
      </c>
      <c r="AU797">
        <v>2022</v>
      </c>
      <c r="AV797">
        <v>41</v>
      </c>
      <c r="AW797" t="s">
        <v>74</v>
      </c>
      <c r="AX797" t="s">
        <v>74</v>
      </c>
      <c r="AY797" t="s">
        <v>74</v>
      </c>
      <c r="AZ797" t="s">
        <v>74</v>
      </c>
      <c r="BA797" t="s">
        <v>74</v>
      </c>
      <c r="BB797" t="s">
        <v>74</v>
      </c>
      <c r="BC797" t="s">
        <v>74</v>
      </c>
      <c r="BD797">
        <v>6351</v>
      </c>
      <c r="BE797" t="s">
        <v>15627</v>
      </c>
      <c r="BF797" t="str">
        <f>HYPERLINK("http://dx.doi.org/10.33265/polar.v41.6351","http://dx.doi.org/10.33265/polar.v41.6351")</f>
        <v>http://dx.doi.org/10.33265/polar.v41.6351</v>
      </c>
      <c r="BG797" t="s">
        <v>74</v>
      </c>
      <c r="BH797" t="s">
        <v>74</v>
      </c>
      <c r="BI797">
        <v>13</v>
      </c>
      <c r="BJ797" t="s">
        <v>8231</v>
      </c>
      <c r="BK797" t="s">
        <v>101</v>
      </c>
      <c r="BL797" t="s">
        <v>8232</v>
      </c>
      <c r="BM797" t="s">
        <v>15628</v>
      </c>
      <c r="BN797" t="s">
        <v>74</v>
      </c>
      <c r="BO797" t="s">
        <v>438</v>
      </c>
      <c r="BP797" t="s">
        <v>74</v>
      </c>
      <c r="BQ797" t="s">
        <v>74</v>
      </c>
      <c r="BR797" t="s">
        <v>103</v>
      </c>
      <c r="BS797" t="s">
        <v>15629</v>
      </c>
      <c r="BT797" t="str">
        <f>HYPERLINK("https%3A%2F%2Fwww.webofscience.com%2Fwos%2Fwoscc%2Ffull-record%2FWOS:000779094500001","View Full Record in Web of Science")</f>
        <v>View Full Record in Web of Science</v>
      </c>
    </row>
    <row r="798" spans="1:72" x14ac:dyDescent="0.15">
      <c r="A798" t="s">
        <v>72</v>
      </c>
      <c r="B798" t="s">
        <v>15630</v>
      </c>
      <c r="C798" t="s">
        <v>74</v>
      </c>
      <c r="D798" t="s">
        <v>74</v>
      </c>
      <c r="E798" t="s">
        <v>74</v>
      </c>
      <c r="F798" t="s">
        <v>15631</v>
      </c>
      <c r="G798" t="s">
        <v>74</v>
      </c>
      <c r="H798" t="s">
        <v>74</v>
      </c>
      <c r="I798" t="s">
        <v>15632</v>
      </c>
      <c r="J798" t="s">
        <v>5803</v>
      </c>
      <c r="K798" t="s">
        <v>74</v>
      </c>
      <c r="L798" t="s">
        <v>74</v>
      </c>
      <c r="M798" t="s">
        <v>78</v>
      </c>
      <c r="N798" t="s">
        <v>79</v>
      </c>
      <c r="O798" t="s">
        <v>74</v>
      </c>
      <c r="P798" t="s">
        <v>74</v>
      </c>
      <c r="Q798" t="s">
        <v>74</v>
      </c>
      <c r="R798" t="s">
        <v>74</v>
      </c>
      <c r="S798" t="s">
        <v>74</v>
      </c>
      <c r="T798" t="s">
        <v>74</v>
      </c>
      <c r="U798" t="s">
        <v>15633</v>
      </c>
      <c r="V798" t="s">
        <v>15634</v>
      </c>
      <c r="W798" t="s">
        <v>15635</v>
      </c>
      <c r="X798" t="s">
        <v>15636</v>
      </c>
      <c r="Y798" t="s">
        <v>15637</v>
      </c>
      <c r="Z798" t="s">
        <v>15638</v>
      </c>
      <c r="AA798" t="s">
        <v>15639</v>
      </c>
      <c r="AB798" t="s">
        <v>15640</v>
      </c>
      <c r="AC798" t="s">
        <v>15641</v>
      </c>
      <c r="AD798" t="s">
        <v>15642</v>
      </c>
      <c r="AE798" t="s">
        <v>15643</v>
      </c>
      <c r="AF798" t="s">
        <v>74</v>
      </c>
      <c r="AG798">
        <v>105</v>
      </c>
      <c r="AH798">
        <v>6</v>
      </c>
      <c r="AI798">
        <v>7</v>
      </c>
      <c r="AJ798">
        <v>7</v>
      </c>
      <c r="AK798">
        <v>52</v>
      </c>
      <c r="AL798" t="s">
        <v>5815</v>
      </c>
      <c r="AM798" t="s">
        <v>2043</v>
      </c>
      <c r="AN798" t="s">
        <v>5816</v>
      </c>
      <c r="AO798" t="s">
        <v>5817</v>
      </c>
      <c r="AP798" t="s">
        <v>5818</v>
      </c>
      <c r="AQ798" t="s">
        <v>74</v>
      </c>
      <c r="AR798" t="s">
        <v>5803</v>
      </c>
      <c r="AS798" t="s">
        <v>5819</v>
      </c>
      <c r="AT798" t="s">
        <v>15611</v>
      </c>
      <c r="AU798">
        <v>2022</v>
      </c>
      <c r="AV798">
        <v>375</v>
      </c>
      <c r="AW798">
        <v>6585</v>
      </c>
      <c r="AX798" t="s">
        <v>74</v>
      </c>
      <c r="AY798" t="s">
        <v>74</v>
      </c>
      <c r="AZ798" t="s">
        <v>772</v>
      </c>
      <c r="BA798" t="s">
        <v>74</v>
      </c>
      <c r="BB798">
        <v>1145</v>
      </c>
      <c r="BC798" t="s">
        <v>462</v>
      </c>
      <c r="BD798" t="s">
        <v>74</v>
      </c>
      <c r="BE798" t="s">
        <v>15644</v>
      </c>
      <c r="BF798" t="str">
        <f>HYPERLINK("http://dx.doi.org/10.1126/science.abj8826","http://dx.doi.org/10.1126/science.abj8826")</f>
        <v>http://dx.doi.org/10.1126/science.abj8826</v>
      </c>
      <c r="BG798" t="s">
        <v>74</v>
      </c>
      <c r="BH798" t="s">
        <v>74</v>
      </c>
      <c r="BI798">
        <v>42</v>
      </c>
      <c r="BJ798" t="s">
        <v>657</v>
      </c>
      <c r="BK798" t="s">
        <v>101</v>
      </c>
      <c r="BL798" t="s">
        <v>658</v>
      </c>
      <c r="BM798" t="s">
        <v>15645</v>
      </c>
      <c r="BN798">
        <v>35271325</v>
      </c>
      <c r="BO798" t="s">
        <v>986</v>
      </c>
      <c r="BP798" t="s">
        <v>74</v>
      </c>
      <c r="BQ798" t="s">
        <v>74</v>
      </c>
      <c r="BR798" t="s">
        <v>103</v>
      </c>
      <c r="BS798" t="s">
        <v>15646</v>
      </c>
      <c r="BT798" t="str">
        <f>HYPERLINK("https%3A%2F%2Fwww.webofscience.com%2Fwos%2Fwoscc%2Ffull-record%2FWOS:000770385500057","View Full Record in Web of Science")</f>
        <v>View Full Record in Web of Science</v>
      </c>
    </row>
    <row r="799" spans="1:72" x14ac:dyDescent="0.15">
      <c r="A799" t="s">
        <v>72</v>
      </c>
      <c r="B799" t="s">
        <v>15647</v>
      </c>
      <c r="C799" t="s">
        <v>74</v>
      </c>
      <c r="D799" t="s">
        <v>74</v>
      </c>
      <c r="E799" t="s">
        <v>74</v>
      </c>
      <c r="F799" t="s">
        <v>15648</v>
      </c>
      <c r="G799" t="s">
        <v>74</v>
      </c>
      <c r="H799" t="s">
        <v>74</v>
      </c>
      <c r="I799" t="s">
        <v>15649</v>
      </c>
      <c r="J799" t="s">
        <v>108</v>
      </c>
      <c r="K799" t="s">
        <v>74</v>
      </c>
      <c r="L799" t="s">
        <v>74</v>
      </c>
      <c r="M799" t="s">
        <v>78</v>
      </c>
      <c r="N799" t="s">
        <v>79</v>
      </c>
      <c r="O799" t="s">
        <v>74</v>
      </c>
      <c r="P799" t="s">
        <v>74</v>
      </c>
      <c r="Q799" t="s">
        <v>74</v>
      </c>
      <c r="R799" t="s">
        <v>74</v>
      </c>
      <c r="S799" t="s">
        <v>74</v>
      </c>
      <c r="T799" t="s">
        <v>74</v>
      </c>
      <c r="U799" t="s">
        <v>15650</v>
      </c>
      <c r="V799" t="s">
        <v>15651</v>
      </c>
      <c r="W799" t="s">
        <v>15652</v>
      </c>
      <c r="X799" t="s">
        <v>15653</v>
      </c>
      <c r="Y799" t="s">
        <v>15654</v>
      </c>
      <c r="Z799" t="s">
        <v>15655</v>
      </c>
      <c r="AA799" t="s">
        <v>15656</v>
      </c>
      <c r="AB799" t="s">
        <v>15657</v>
      </c>
      <c r="AC799" t="s">
        <v>15658</v>
      </c>
      <c r="AD799" t="s">
        <v>15659</v>
      </c>
      <c r="AE799" t="s">
        <v>15660</v>
      </c>
      <c r="AF799" t="s">
        <v>74</v>
      </c>
      <c r="AG799">
        <v>49</v>
      </c>
      <c r="AH799">
        <v>12</v>
      </c>
      <c r="AI799">
        <v>13</v>
      </c>
      <c r="AJ799">
        <v>2</v>
      </c>
      <c r="AK799">
        <v>10</v>
      </c>
      <c r="AL799" t="s">
        <v>117</v>
      </c>
      <c r="AM799" t="s">
        <v>118</v>
      </c>
      <c r="AN799" t="s">
        <v>119</v>
      </c>
      <c r="AO799" t="s">
        <v>120</v>
      </c>
      <c r="AP799" t="s">
        <v>121</v>
      </c>
      <c r="AQ799" t="s">
        <v>74</v>
      </c>
      <c r="AR799" t="s">
        <v>108</v>
      </c>
      <c r="AS799" t="s">
        <v>122</v>
      </c>
      <c r="AT799" t="s">
        <v>15611</v>
      </c>
      <c r="AU799">
        <v>2022</v>
      </c>
      <c r="AV799">
        <v>16</v>
      </c>
      <c r="AW799">
        <v>3</v>
      </c>
      <c r="AX799" t="s">
        <v>74</v>
      </c>
      <c r="AY799" t="s">
        <v>74</v>
      </c>
      <c r="AZ799" t="s">
        <v>74</v>
      </c>
      <c r="BA799" t="s">
        <v>74</v>
      </c>
      <c r="BB799">
        <v>883</v>
      </c>
      <c r="BC799">
        <v>901</v>
      </c>
      <c r="BD799" t="s">
        <v>74</v>
      </c>
      <c r="BE799" t="s">
        <v>15661</v>
      </c>
      <c r="BF799" t="str">
        <f>HYPERLINK("http://dx.doi.org/10.5194/tc-16-883-2022","http://dx.doi.org/10.5194/tc-16-883-2022")</f>
        <v>http://dx.doi.org/10.5194/tc-16-883-2022</v>
      </c>
      <c r="BG799" t="s">
        <v>74</v>
      </c>
      <c r="BH799" t="s">
        <v>74</v>
      </c>
      <c r="BI799">
        <v>19</v>
      </c>
      <c r="BJ799" t="s">
        <v>125</v>
      </c>
      <c r="BK799" t="s">
        <v>101</v>
      </c>
      <c r="BL799" t="s">
        <v>126</v>
      </c>
      <c r="BM799" t="s">
        <v>15662</v>
      </c>
      <c r="BN799" t="s">
        <v>74</v>
      </c>
      <c r="BO799" t="s">
        <v>512</v>
      </c>
      <c r="BP799" t="s">
        <v>74</v>
      </c>
      <c r="BQ799" t="s">
        <v>74</v>
      </c>
      <c r="BR799" t="s">
        <v>103</v>
      </c>
      <c r="BS799" t="s">
        <v>15663</v>
      </c>
      <c r="BT799" t="str">
        <f>HYPERLINK("https%3A%2F%2Fwww.webofscience.com%2Fwos%2Fwoscc%2Ffull-record%2FWOS:000769794300001","View Full Record in Web of Science")</f>
        <v>View Full Record in Web of Science</v>
      </c>
    </row>
    <row r="800" spans="1:72" x14ac:dyDescent="0.15">
      <c r="A800" t="s">
        <v>72</v>
      </c>
      <c r="B800" t="s">
        <v>15664</v>
      </c>
      <c r="C800" t="s">
        <v>74</v>
      </c>
      <c r="D800" t="s">
        <v>74</v>
      </c>
      <c r="E800" t="s">
        <v>74</v>
      </c>
      <c r="F800" t="s">
        <v>15665</v>
      </c>
      <c r="G800" t="s">
        <v>74</v>
      </c>
      <c r="H800" t="s">
        <v>74</v>
      </c>
      <c r="I800" t="s">
        <v>15666</v>
      </c>
      <c r="J800" t="s">
        <v>517</v>
      </c>
      <c r="K800" t="s">
        <v>74</v>
      </c>
      <c r="L800" t="s">
        <v>74</v>
      </c>
      <c r="M800" t="s">
        <v>78</v>
      </c>
      <c r="N800" t="s">
        <v>79</v>
      </c>
      <c r="O800" t="s">
        <v>74</v>
      </c>
      <c r="P800" t="s">
        <v>74</v>
      </c>
      <c r="Q800" t="s">
        <v>74</v>
      </c>
      <c r="R800" t="s">
        <v>74</v>
      </c>
      <c r="S800" t="s">
        <v>74</v>
      </c>
      <c r="T800" t="s">
        <v>15667</v>
      </c>
      <c r="U800" t="s">
        <v>15668</v>
      </c>
      <c r="V800" t="s">
        <v>15669</v>
      </c>
      <c r="W800" t="s">
        <v>15670</v>
      </c>
      <c r="X800" t="s">
        <v>15671</v>
      </c>
      <c r="Y800" t="s">
        <v>15672</v>
      </c>
      <c r="Z800" t="s">
        <v>15673</v>
      </c>
      <c r="AA800" t="s">
        <v>15674</v>
      </c>
      <c r="AB800" t="s">
        <v>15675</v>
      </c>
      <c r="AC800" t="s">
        <v>15676</v>
      </c>
      <c r="AD800" t="s">
        <v>15677</v>
      </c>
      <c r="AE800" t="s">
        <v>15678</v>
      </c>
      <c r="AF800" t="s">
        <v>74</v>
      </c>
      <c r="AG800">
        <v>41</v>
      </c>
      <c r="AH800">
        <v>1</v>
      </c>
      <c r="AI800">
        <v>1</v>
      </c>
      <c r="AJ800">
        <v>1</v>
      </c>
      <c r="AK800">
        <v>11</v>
      </c>
      <c r="AL800" t="s">
        <v>530</v>
      </c>
      <c r="AM800" t="s">
        <v>531</v>
      </c>
      <c r="AN800" t="s">
        <v>532</v>
      </c>
      <c r="AO800" t="s">
        <v>533</v>
      </c>
      <c r="AP800" t="s">
        <v>534</v>
      </c>
      <c r="AQ800" t="s">
        <v>74</v>
      </c>
      <c r="AR800" t="s">
        <v>535</v>
      </c>
      <c r="AS800" t="s">
        <v>536</v>
      </c>
      <c r="AT800" t="s">
        <v>8316</v>
      </c>
      <c r="AU800">
        <v>2022</v>
      </c>
      <c r="AV800">
        <v>45</v>
      </c>
      <c r="AW800">
        <v>4</v>
      </c>
      <c r="AX800" t="s">
        <v>74</v>
      </c>
      <c r="AY800" t="s">
        <v>74</v>
      </c>
      <c r="AZ800" t="s">
        <v>74</v>
      </c>
      <c r="BA800" t="s">
        <v>74</v>
      </c>
      <c r="BB800">
        <v>763</v>
      </c>
      <c r="BC800">
        <v>768</v>
      </c>
      <c r="BD800" t="s">
        <v>74</v>
      </c>
      <c r="BE800" t="s">
        <v>15679</v>
      </c>
      <c r="BF800" t="str">
        <f>HYPERLINK("http://dx.doi.org/10.1007/s00300-022-03031-6","http://dx.doi.org/10.1007/s00300-022-03031-6")</f>
        <v>http://dx.doi.org/10.1007/s00300-022-03031-6</v>
      </c>
      <c r="BG800" t="s">
        <v>74</v>
      </c>
      <c r="BH800" t="s">
        <v>12992</v>
      </c>
      <c r="BI800">
        <v>6</v>
      </c>
      <c r="BJ800" t="s">
        <v>539</v>
      </c>
      <c r="BK800" t="s">
        <v>101</v>
      </c>
      <c r="BL800" t="s">
        <v>540</v>
      </c>
      <c r="BM800" t="s">
        <v>15680</v>
      </c>
      <c r="BN800" t="s">
        <v>74</v>
      </c>
      <c r="BO800" t="s">
        <v>15681</v>
      </c>
      <c r="BP800" t="s">
        <v>74</v>
      </c>
      <c r="BQ800" t="s">
        <v>74</v>
      </c>
      <c r="BR800" t="s">
        <v>103</v>
      </c>
      <c r="BS800" t="s">
        <v>15682</v>
      </c>
      <c r="BT800" t="str">
        <f>HYPERLINK("https%3A%2F%2Fwww.webofscience.com%2Fwos%2Fwoscc%2Ffull-record%2FWOS:000767709900001","View Full Record in Web of Science")</f>
        <v>View Full Record in Web of Science</v>
      </c>
    </row>
    <row r="801" spans="1:72" x14ac:dyDescent="0.15">
      <c r="A801" t="s">
        <v>72</v>
      </c>
      <c r="B801" t="s">
        <v>15683</v>
      </c>
      <c r="C801" t="s">
        <v>74</v>
      </c>
      <c r="D801" t="s">
        <v>74</v>
      </c>
      <c r="E801" t="s">
        <v>74</v>
      </c>
      <c r="F801" t="s">
        <v>15684</v>
      </c>
      <c r="G801" t="s">
        <v>74</v>
      </c>
      <c r="H801" t="s">
        <v>74</v>
      </c>
      <c r="I801" t="s">
        <v>15685</v>
      </c>
      <c r="J801" t="s">
        <v>15686</v>
      </c>
      <c r="K801" t="s">
        <v>74</v>
      </c>
      <c r="L801" t="s">
        <v>74</v>
      </c>
      <c r="M801" t="s">
        <v>78</v>
      </c>
      <c r="N801" t="s">
        <v>79</v>
      </c>
      <c r="O801" t="s">
        <v>74</v>
      </c>
      <c r="P801" t="s">
        <v>74</v>
      </c>
      <c r="Q801" t="s">
        <v>74</v>
      </c>
      <c r="R801" t="s">
        <v>74</v>
      </c>
      <c r="S801" t="s">
        <v>74</v>
      </c>
      <c r="T801" t="s">
        <v>15687</v>
      </c>
      <c r="U801" t="s">
        <v>15688</v>
      </c>
      <c r="V801" t="s">
        <v>15689</v>
      </c>
      <c r="W801" t="s">
        <v>15690</v>
      </c>
      <c r="X801" t="s">
        <v>15691</v>
      </c>
      <c r="Y801" t="s">
        <v>15692</v>
      </c>
      <c r="Z801" t="s">
        <v>15693</v>
      </c>
      <c r="AA801" t="s">
        <v>74</v>
      </c>
      <c r="AB801" t="s">
        <v>74</v>
      </c>
      <c r="AC801" t="s">
        <v>74</v>
      </c>
      <c r="AD801" t="s">
        <v>74</v>
      </c>
      <c r="AE801" t="s">
        <v>74</v>
      </c>
      <c r="AF801" t="s">
        <v>74</v>
      </c>
      <c r="AG801">
        <v>309</v>
      </c>
      <c r="AH801">
        <v>19</v>
      </c>
      <c r="AI801">
        <v>21</v>
      </c>
      <c r="AJ801">
        <v>4</v>
      </c>
      <c r="AK801">
        <v>29</v>
      </c>
      <c r="AL801" t="s">
        <v>15694</v>
      </c>
      <c r="AM801" t="s">
        <v>15695</v>
      </c>
      <c r="AN801" t="s">
        <v>15696</v>
      </c>
      <c r="AO801" t="s">
        <v>15697</v>
      </c>
      <c r="AP801" t="s">
        <v>15698</v>
      </c>
      <c r="AQ801" t="s">
        <v>74</v>
      </c>
      <c r="AR801" t="s">
        <v>15699</v>
      </c>
      <c r="AS801" t="s">
        <v>15700</v>
      </c>
      <c r="AT801" t="s">
        <v>8316</v>
      </c>
      <c r="AU801">
        <v>2022</v>
      </c>
      <c r="AV801">
        <v>82</v>
      </c>
      <c r="AW801">
        <v>1</v>
      </c>
      <c r="AX801" t="s">
        <v>74</v>
      </c>
      <c r="AY801" t="s">
        <v>74</v>
      </c>
      <c r="AZ801" t="s">
        <v>74</v>
      </c>
      <c r="BA801" t="s">
        <v>74</v>
      </c>
      <c r="BB801" t="s">
        <v>74</v>
      </c>
      <c r="BC801" t="s">
        <v>74</v>
      </c>
      <c r="BD801">
        <v>125741</v>
      </c>
      <c r="BE801" t="s">
        <v>15701</v>
      </c>
      <c r="BF801" t="str">
        <f>HYPERLINK("http://dx.doi.org/10.1016/j.chemer.2021.125741","http://dx.doi.org/10.1016/j.chemer.2021.125741")</f>
        <v>http://dx.doi.org/10.1016/j.chemer.2021.125741</v>
      </c>
      <c r="BG801" t="s">
        <v>74</v>
      </c>
      <c r="BH801" t="s">
        <v>12992</v>
      </c>
      <c r="BI801">
        <v>25</v>
      </c>
      <c r="BJ801" t="s">
        <v>2144</v>
      </c>
      <c r="BK801" t="s">
        <v>101</v>
      </c>
      <c r="BL801" t="s">
        <v>2144</v>
      </c>
      <c r="BM801" t="s">
        <v>15702</v>
      </c>
      <c r="BN801" t="s">
        <v>74</v>
      </c>
      <c r="BO801" t="s">
        <v>74</v>
      </c>
      <c r="BP801" t="s">
        <v>74</v>
      </c>
      <c r="BQ801" t="s">
        <v>74</v>
      </c>
      <c r="BR801" t="s">
        <v>103</v>
      </c>
      <c r="BS801" t="s">
        <v>15703</v>
      </c>
      <c r="BT801" t="str">
        <f>HYPERLINK("https%3A%2F%2Fwww.webofscience.com%2Fwos%2Fwoscc%2Ffull-record%2FWOS:000781346700003","View Full Record in Web of Science")</f>
        <v>View Full Record in Web of Science</v>
      </c>
    </row>
    <row r="802" spans="1:72" x14ac:dyDescent="0.15">
      <c r="A802" t="s">
        <v>72</v>
      </c>
      <c r="B802" t="s">
        <v>15704</v>
      </c>
      <c r="C802" t="s">
        <v>74</v>
      </c>
      <c r="D802" t="s">
        <v>74</v>
      </c>
      <c r="E802" t="s">
        <v>74</v>
      </c>
      <c r="F802" t="s">
        <v>15705</v>
      </c>
      <c r="G802" t="s">
        <v>74</v>
      </c>
      <c r="H802" t="s">
        <v>74</v>
      </c>
      <c r="I802" t="s">
        <v>15706</v>
      </c>
      <c r="J802" t="s">
        <v>14076</v>
      </c>
      <c r="K802" t="s">
        <v>74</v>
      </c>
      <c r="L802" t="s">
        <v>74</v>
      </c>
      <c r="M802" t="s">
        <v>78</v>
      </c>
      <c r="N802" t="s">
        <v>79</v>
      </c>
      <c r="O802" t="s">
        <v>74</v>
      </c>
      <c r="P802" t="s">
        <v>74</v>
      </c>
      <c r="Q802" t="s">
        <v>74</v>
      </c>
      <c r="R802" t="s">
        <v>74</v>
      </c>
      <c r="S802" t="s">
        <v>74</v>
      </c>
      <c r="T802" t="s">
        <v>74</v>
      </c>
      <c r="U802" t="s">
        <v>15707</v>
      </c>
      <c r="V802" t="s">
        <v>15708</v>
      </c>
      <c r="W802" t="s">
        <v>15709</v>
      </c>
      <c r="X802" t="s">
        <v>15710</v>
      </c>
      <c r="Y802" t="s">
        <v>15711</v>
      </c>
      <c r="Z802" t="s">
        <v>15712</v>
      </c>
      <c r="AA802" t="s">
        <v>74</v>
      </c>
      <c r="AB802" t="s">
        <v>15713</v>
      </c>
      <c r="AC802" t="s">
        <v>15714</v>
      </c>
      <c r="AD802" t="s">
        <v>15715</v>
      </c>
      <c r="AE802" t="s">
        <v>15716</v>
      </c>
      <c r="AF802" t="s">
        <v>74</v>
      </c>
      <c r="AG802">
        <v>79</v>
      </c>
      <c r="AH802">
        <v>10</v>
      </c>
      <c r="AI802">
        <v>11</v>
      </c>
      <c r="AJ802">
        <v>1</v>
      </c>
      <c r="AK802">
        <v>7</v>
      </c>
      <c r="AL802" t="s">
        <v>1587</v>
      </c>
      <c r="AM802" t="s">
        <v>1588</v>
      </c>
      <c r="AN802" t="s">
        <v>1589</v>
      </c>
      <c r="AO802" t="s">
        <v>14087</v>
      </c>
      <c r="AP802" t="s">
        <v>74</v>
      </c>
      <c r="AQ802" t="s">
        <v>74</v>
      </c>
      <c r="AR802" t="s">
        <v>14076</v>
      </c>
      <c r="AS802" t="s">
        <v>14088</v>
      </c>
      <c r="AT802" t="s">
        <v>15717</v>
      </c>
      <c r="AU802">
        <v>2022</v>
      </c>
      <c r="AV802">
        <v>17</v>
      </c>
      <c r="AW802">
        <v>3</v>
      </c>
      <c r="AX802" t="s">
        <v>74</v>
      </c>
      <c r="AY802" t="s">
        <v>74</v>
      </c>
      <c r="AZ802" t="s">
        <v>74</v>
      </c>
      <c r="BA802" t="s">
        <v>74</v>
      </c>
      <c r="BB802" t="s">
        <v>74</v>
      </c>
      <c r="BC802" t="s">
        <v>74</v>
      </c>
      <c r="BD802" t="s">
        <v>15718</v>
      </c>
      <c r="BE802" t="s">
        <v>15719</v>
      </c>
      <c r="BF802" t="str">
        <f>HYPERLINK("http://dx.doi.org/10.1371/journal.pone.0264214","http://dx.doi.org/10.1371/journal.pone.0264214")</f>
        <v>http://dx.doi.org/10.1371/journal.pone.0264214</v>
      </c>
      <c r="BG802" t="s">
        <v>74</v>
      </c>
      <c r="BH802" t="s">
        <v>74</v>
      </c>
      <c r="BI802">
        <v>16</v>
      </c>
      <c r="BJ802" t="s">
        <v>657</v>
      </c>
      <c r="BK802" t="s">
        <v>101</v>
      </c>
      <c r="BL802" t="s">
        <v>658</v>
      </c>
      <c r="BM802" t="s">
        <v>15720</v>
      </c>
      <c r="BN802">
        <v>35271610</v>
      </c>
      <c r="BO802" t="s">
        <v>295</v>
      </c>
      <c r="BP802" t="s">
        <v>74</v>
      </c>
      <c r="BQ802" t="s">
        <v>74</v>
      </c>
      <c r="BR802" t="s">
        <v>103</v>
      </c>
      <c r="BS802" t="s">
        <v>15721</v>
      </c>
      <c r="BT802" t="str">
        <f>HYPERLINK("https%3A%2F%2Fwww.webofscience.com%2Fwos%2Fwoscc%2Ffull-record%2FWOS:000820912700024","View Full Record in Web of Science")</f>
        <v>View Full Record in Web of Science</v>
      </c>
    </row>
    <row r="803" spans="1:72" x14ac:dyDescent="0.15">
      <c r="A803" t="s">
        <v>72</v>
      </c>
      <c r="B803" t="s">
        <v>15722</v>
      </c>
      <c r="C803" t="s">
        <v>74</v>
      </c>
      <c r="D803" t="s">
        <v>74</v>
      </c>
      <c r="E803" t="s">
        <v>74</v>
      </c>
      <c r="F803" t="s">
        <v>15723</v>
      </c>
      <c r="G803" t="s">
        <v>74</v>
      </c>
      <c r="H803" t="s">
        <v>74</v>
      </c>
      <c r="I803" t="s">
        <v>15724</v>
      </c>
      <c r="J803" t="s">
        <v>546</v>
      </c>
      <c r="K803" t="s">
        <v>74</v>
      </c>
      <c r="L803" t="s">
        <v>74</v>
      </c>
      <c r="M803" t="s">
        <v>78</v>
      </c>
      <c r="N803" t="s">
        <v>79</v>
      </c>
      <c r="O803" t="s">
        <v>74</v>
      </c>
      <c r="P803" t="s">
        <v>74</v>
      </c>
      <c r="Q803" t="s">
        <v>74</v>
      </c>
      <c r="R803" t="s">
        <v>74</v>
      </c>
      <c r="S803" t="s">
        <v>74</v>
      </c>
      <c r="T803" t="s">
        <v>15725</v>
      </c>
      <c r="U803" t="s">
        <v>15726</v>
      </c>
      <c r="V803" t="s">
        <v>15727</v>
      </c>
      <c r="W803" t="s">
        <v>15728</v>
      </c>
      <c r="X803" t="s">
        <v>15729</v>
      </c>
      <c r="Y803" t="s">
        <v>15730</v>
      </c>
      <c r="Z803" t="s">
        <v>15731</v>
      </c>
      <c r="AA803" t="s">
        <v>15732</v>
      </c>
      <c r="AB803" t="s">
        <v>15733</v>
      </c>
      <c r="AC803" t="s">
        <v>15734</v>
      </c>
      <c r="AD803" t="s">
        <v>15735</v>
      </c>
      <c r="AE803" t="s">
        <v>15736</v>
      </c>
      <c r="AF803" t="s">
        <v>74</v>
      </c>
      <c r="AG803">
        <v>47</v>
      </c>
      <c r="AH803">
        <v>3</v>
      </c>
      <c r="AI803">
        <v>3</v>
      </c>
      <c r="AJ803">
        <v>2</v>
      </c>
      <c r="AK803">
        <v>13</v>
      </c>
      <c r="AL803" t="s">
        <v>285</v>
      </c>
      <c r="AM803" t="s">
        <v>286</v>
      </c>
      <c r="AN803" t="s">
        <v>287</v>
      </c>
      <c r="AO803" t="s">
        <v>74</v>
      </c>
      <c r="AP803" t="s">
        <v>558</v>
      </c>
      <c r="AQ803" t="s">
        <v>74</v>
      </c>
      <c r="AR803" t="s">
        <v>559</v>
      </c>
      <c r="AS803" t="s">
        <v>560</v>
      </c>
      <c r="AT803" t="s">
        <v>15717</v>
      </c>
      <c r="AU803">
        <v>2022</v>
      </c>
      <c r="AV803">
        <v>9</v>
      </c>
      <c r="AW803" t="s">
        <v>74</v>
      </c>
      <c r="AX803" t="s">
        <v>74</v>
      </c>
      <c r="AY803" t="s">
        <v>74</v>
      </c>
      <c r="AZ803" t="s">
        <v>74</v>
      </c>
      <c r="BA803" t="s">
        <v>74</v>
      </c>
      <c r="BB803" t="s">
        <v>74</v>
      </c>
      <c r="BC803" t="s">
        <v>74</v>
      </c>
      <c r="BD803">
        <v>754517</v>
      </c>
      <c r="BE803" t="s">
        <v>15737</v>
      </c>
      <c r="BF803" t="str">
        <f>HYPERLINK("http://dx.doi.org/10.3389/fmars.2022.754517","http://dx.doi.org/10.3389/fmars.2022.754517")</f>
        <v>http://dx.doi.org/10.3389/fmars.2022.754517</v>
      </c>
      <c r="BG803" t="s">
        <v>74</v>
      </c>
      <c r="BH803" t="s">
        <v>74</v>
      </c>
      <c r="BI803">
        <v>10</v>
      </c>
      <c r="BJ803" t="s">
        <v>563</v>
      </c>
      <c r="BK803" t="s">
        <v>101</v>
      </c>
      <c r="BL803" t="s">
        <v>564</v>
      </c>
      <c r="BM803" t="s">
        <v>15738</v>
      </c>
      <c r="BN803" t="s">
        <v>74</v>
      </c>
      <c r="BO803" t="s">
        <v>4312</v>
      </c>
      <c r="BP803" t="s">
        <v>74</v>
      </c>
      <c r="BQ803" t="s">
        <v>74</v>
      </c>
      <c r="BR803" t="s">
        <v>103</v>
      </c>
      <c r="BS803" t="s">
        <v>15739</v>
      </c>
      <c r="BT803" t="str">
        <f>HYPERLINK("https%3A%2F%2Fwww.webofscience.com%2Fwos%2Fwoscc%2Ffull-record%2FWOS:000778628900001","View Full Record in Web of Science")</f>
        <v>View Full Record in Web of Science</v>
      </c>
    </row>
    <row r="804" spans="1:72" x14ac:dyDescent="0.15">
      <c r="A804" t="s">
        <v>72</v>
      </c>
      <c r="B804" t="s">
        <v>15740</v>
      </c>
      <c r="C804" t="s">
        <v>74</v>
      </c>
      <c r="D804" t="s">
        <v>74</v>
      </c>
      <c r="E804" t="s">
        <v>74</v>
      </c>
      <c r="F804" t="s">
        <v>15741</v>
      </c>
      <c r="G804" t="s">
        <v>74</v>
      </c>
      <c r="H804" t="s">
        <v>74</v>
      </c>
      <c r="I804" t="s">
        <v>15742</v>
      </c>
      <c r="J804" t="s">
        <v>546</v>
      </c>
      <c r="K804" t="s">
        <v>74</v>
      </c>
      <c r="L804" t="s">
        <v>74</v>
      </c>
      <c r="M804" t="s">
        <v>78</v>
      </c>
      <c r="N804" t="s">
        <v>79</v>
      </c>
      <c r="O804" t="s">
        <v>74</v>
      </c>
      <c r="P804" t="s">
        <v>74</v>
      </c>
      <c r="Q804" t="s">
        <v>74</v>
      </c>
      <c r="R804" t="s">
        <v>74</v>
      </c>
      <c r="S804" t="s">
        <v>74</v>
      </c>
      <c r="T804" t="s">
        <v>15743</v>
      </c>
      <c r="U804" t="s">
        <v>15744</v>
      </c>
      <c r="V804" t="s">
        <v>15745</v>
      </c>
      <c r="W804" t="s">
        <v>15746</v>
      </c>
      <c r="X804" t="s">
        <v>15747</v>
      </c>
      <c r="Y804" t="s">
        <v>15748</v>
      </c>
      <c r="Z804" t="s">
        <v>15749</v>
      </c>
      <c r="AA804" t="s">
        <v>15750</v>
      </c>
      <c r="AB804" t="s">
        <v>15751</v>
      </c>
      <c r="AC804" t="s">
        <v>15752</v>
      </c>
      <c r="AD804" t="s">
        <v>15753</v>
      </c>
      <c r="AE804" t="s">
        <v>15754</v>
      </c>
      <c r="AF804" t="s">
        <v>74</v>
      </c>
      <c r="AG804">
        <v>67</v>
      </c>
      <c r="AH804">
        <v>2</v>
      </c>
      <c r="AI804">
        <v>2</v>
      </c>
      <c r="AJ804">
        <v>2</v>
      </c>
      <c r="AK804">
        <v>28</v>
      </c>
      <c r="AL804" t="s">
        <v>285</v>
      </c>
      <c r="AM804" t="s">
        <v>286</v>
      </c>
      <c r="AN804" t="s">
        <v>287</v>
      </c>
      <c r="AO804" t="s">
        <v>74</v>
      </c>
      <c r="AP804" t="s">
        <v>558</v>
      </c>
      <c r="AQ804" t="s">
        <v>74</v>
      </c>
      <c r="AR804" t="s">
        <v>559</v>
      </c>
      <c r="AS804" t="s">
        <v>560</v>
      </c>
      <c r="AT804" t="s">
        <v>15717</v>
      </c>
      <c r="AU804">
        <v>2022</v>
      </c>
      <c r="AV804">
        <v>9</v>
      </c>
      <c r="AW804" t="s">
        <v>74</v>
      </c>
      <c r="AX804" t="s">
        <v>74</v>
      </c>
      <c r="AY804" t="s">
        <v>74</v>
      </c>
      <c r="AZ804" t="s">
        <v>74</v>
      </c>
      <c r="BA804" t="s">
        <v>74</v>
      </c>
      <c r="BB804" t="s">
        <v>74</v>
      </c>
      <c r="BC804" t="s">
        <v>74</v>
      </c>
      <c r="BD804">
        <v>818370</v>
      </c>
      <c r="BE804" t="s">
        <v>15755</v>
      </c>
      <c r="BF804" t="str">
        <f>HYPERLINK("http://dx.doi.org/10.3389/fmars.2022.818370","http://dx.doi.org/10.3389/fmars.2022.818370")</f>
        <v>http://dx.doi.org/10.3389/fmars.2022.818370</v>
      </c>
      <c r="BG804" t="s">
        <v>74</v>
      </c>
      <c r="BH804" t="s">
        <v>74</v>
      </c>
      <c r="BI804">
        <v>12</v>
      </c>
      <c r="BJ804" t="s">
        <v>563</v>
      </c>
      <c r="BK804" t="s">
        <v>101</v>
      </c>
      <c r="BL804" t="s">
        <v>564</v>
      </c>
      <c r="BM804" t="s">
        <v>15756</v>
      </c>
      <c r="BN804" t="s">
        <v>74</v>
      </c>
      <c r="BO804" t="s">
        <v>1533</v>
      </c>
      <c r="BP804" t="s">
        <v>74</v>
      </c>
      <c r="BQ804" t="s">
        <v>74</v>
      </c>
      <c r="BR804" t="s">
        <v>103</v>
      </c>
      <c r="BS804" t="s">
        <v>15757</v>
      </c>
      <c r="BT804" t="str">
        <f>HYPERLINK("https%3A%2F%2Fwww.webofscience.com%2Fwos%2Fwoscc%2Ffull-record%2FWOS:000778366300001","View Full Record in Web of Science")</f>
        <v>View Full Record in Web of Science</v>
      </c>
    </row>
    <row r="805" spans="1:72" x14ac:dyDescent="0.15">
      <c r="A805" t="s">
        <v>72</v>
      </c>
      <c r="B805" t="s">
        <v>15758</v>
      </c>
      <c r="C805" t="s">
        <v>74</v>
      </c>
      <c r="D805" t="s">
        <v>74</v>
      </c>
      <c r="E805" t="s">
        <v>74</v>
      </c>
      <c r="F805" t="s">
        <v>15759</v>
      </c>
      <c r="G805" t="s">
        <v>74</v>
      </c>
      <c r="H805" t="s">
        <v>74</v>
      </c>
      <c r="I805" t="s">
        <v>15760</v>
      </c>
      <c r="J805" t="s">
        <v>4373</v>
      </c>
      <c r="K805" t="s">
        <v>74</v>
      </c>
      <c r="L805" t="s">
        <v>74</v>
      </c>
      <c r="M805" t="s">
        <v>78</v>
      </c>
      <c r="N805" t="s">
        <v>79</v>
      </c>
      <c r="O805" t="s">
        <v>74</v>
      </c>
      <c r="P805" t="s">
        <v>74</v>
      </c>
      <c r="Q805" t="s">
        <v>74</v>
      </c>
      <c r="R805" t="s">
        <v>74</v>
      </c>
      <c r="S805" t="s">
        <v>74</v>
      </c>
      <c r="T805" t="s">
        <v>15761</v>
      </c>
      <c r="U805" t="s">
        <v>15762</v>
      </c>
      <c r="V805" t="s">
        <v>15763</v>
      </c>
      <c r="W805" t="s">
        <v>15764</v>
      </c>
      <c r="X805" t="s">
        <v>15765</v>
      </c>
      <c r="Y805" t="s">
        <v>15766</v>
      </c>
      <c r="Z805" t="s">
        <v>15767</v>
      </c>
      <c r="AA805" t="s">
        <v>15768</v>
      </c>
      <c r="AB805" t="s">
        <v>15769</v>
      </c>
      <c r="AC805" t="s">
        <v>15770</v>
      </c>
      <c r="AD805" t="s">
        <v>15771</v>
      </c>
      <c r="AE805" t="s">
        <v>15772</v>
      </c>
      <c r="AF805" t="s">
        <v>74</v>
      </c>
      <c r="AG805">
        <v>105</v>
      </c>
      <c r="AH805">
        <v>9</v>
      </c>
      <c r="AI805">
        <v>9</v>
      </c>
      <c r="AJ805">
        <v>1</v>
      </c>
      <c r="AK805">
        <v>7</v>
      </c>
      <c r="AL805" t="s">
        <v>199</v>
      </c>
      <c r="AM805" t="s">
        <v>200</v>
      </c>
      <c r="AN805" t="s">
        <v>201</v>
      </c>
      <c r="AO805" t="s">
        <v>4386</v>
      </c>
      <c r="AP805" t="s">
        <v>4387</v>
      </c>
      <c r="AQ805" t="s">
        <v>74</v>
      </c>
      <c r="AR805" t="s">
        <v>4388</v>
      </c>
      <c r="AS805" t="s">
        <v>4389</v>
      </c>
      <c r="AT805" t="s">
        <v>8316</v>
      </c>
      <c r="AU805">
        <v>2022</v>
      </c>
      <c r="AV805">
        <v>177</v>
      </c>
      <c r="AW805" t="s">
        <v>74</v>
      </c>
      <c r="AX805" t="s">
        <v>74</v>
      </c>
      <c r="AY805" t="s">
        <v>74</v>
      </c>
      <c r="AZ805" t="s">
        <v>74</v>
      </c>
      <c r="BA805" t="s">
        <v>74</v>
      </c>
      <c r="BB805" t="s">
        <v>74</v>
      </c>
      <c r="BC805" t="s">
        <v>74</v>
      </c>
      <c r="BD805">
        <v>113524</v>
      </c>
      <c r="BE805" t="s">
        <v>15773</v>
      </c>
      <c r="BF805" t="str">
        <f>HYPERLINK("http://dx.doi.org/10.1016/j.marpolbul.2022.113524","http://dx.doi.org/10.1016/j.marpolbul.2022.113524")</f>
        <v>http://dx.doi.org/10.1016/j.marpolbul.2022.113524</v>
      </c>
      <c r="BG805" t="s">
        <v>74</v>
      </c>
      <c r="BH805" t="s">
        <v>12992</v>
      </c>
      <c r="BI805">
        <v>14</v>
      </c>
      <c r="BJ805" t="s">
        <v>563</v>
      </c>
      <c r="BK805" t="s">
        <v>101</v>
      </c>
      <c r="BL805" t="s">
        <v>564</v>
      </c>
      <c r="BM805" t="s">
        <v>15774</v>
      </c>
      <c r="BN805">
        <v>35279547</v>
      </c>
      <c r="BO805" t="s">
        <v>267</v>
      </c>
      <c r="BP805" t="s">
        <v>74</v>
      </c>
      <c r="BQ805" t="s">
        <v>74</v>
      </c>
      <c r="BR805" t="s">
        <v>103</v>
      </c>
      <c r="BS805" t="s">
        <v>15775</v>
      </c>
      <c r="BT805" t="str">
        <f>HYPERLINK("https%3A%2F%2Fwww.webofscience.com%2Fwos%2Fwoscc%2Ffull-record%2FWOS:000778939000007","View Full Record in Web of Science")</f>
        <v>View Full Record in Web of Science</v>
      </c>
    </row>
    <row r="806" spans="1:72" x14ac:dyDescent="0.15">
      <c r="A806" t="s">
        <v>72</v>
      </c>
      <c r="B806" t="s">
        <v>15776</v>
      </c>
      <c r="C806" t="s">
        <v>74</v>
      </c>
      <c r="D806" t="s">
        <v>74</v>
      </c>
      <c r="E806" t="s">
        <v>74</v>
      </c>
      <c r="F806" t="s">
        <v>15777</v>
      </c>
      <c r="G806" t="s">
        <v>74</v>
      </c>
      <c r="H806" t="s">
        <v>74</v>
      </c>
      <c r="I806" t="s">
        <v>15778</v>
      </c>
      <c r="J806" t="s">
        <v>4998</v>
      </c>
      <c r="K806" t="s">
        <v>74</v>
      </c>
      <c r="L806" t="s">
        <v>74</v>
      </c>
      <c r="M806" t="s">
        <v>78</v>
      </c>
      <c r="N806" t="s">
        <v>79</v>
      </c>
      <c r="O806" t="s">
        <v>74</v>
      </c>
      <c r="P806" t="s">
        <v>74</v>
      </c>
      <c r="Q806" t="s">
        <v>74</v>
      </c>
      <c r="R806" t="s">
        <v>74</v>
      </c>
      <c r="S806" t="s">
        <v>74</v>
      </c>
      <c r="T806" t="s">
        <v>15779</v>
      </c>
      <c r="U806" t="s">
        <v>15780</v>
      </c>
      <c r="V806" t="s">
        <v>15781</v>
      </c>
      <c r="W806" t="s">
        <v>15782</v>
      </c>
      <c r="X806" t="s">
        <v>15783</v>
      </c>
      <c r="Y806" t="s">
        <v>15784</v>
      </c>
      <c r="Z806" t="s">
        <v>15785</v>
      </c>
      <c r="AA806" t="s">
        <v>15786</v>
      </c>
      <c r="AB806" t="s">
        <v>15787</v>
      </c>
      <c r="AC806" t="s">
        <v>15788</v>
      </c>
      <c r="AD806" t="s">
        <v>15789</v>
      </c>
      <c r="AE806" t="s">
        <v>15790</v>
      </c>
      <c r="AF806" t="s">
        <v>74</v>
      </c>
      <c r="AG806">
        <v>105</v>
      </c>
      <c r="AH806">
        <v>3</v>
      </c>
      <c r="AI806">
        <v>3</v>
      </c>
      <c r="AJ806">
        <v>2</v>
      </c>
      <c r="AK806">
        <v>13</v>
      </c>
      <c r="AL806" t="s">
        <v>5011</v>
      </c>
      <c r="AM806" t="s">
        <v>5012</v>
      </c>
      <c r="AN806" t="s">
        <v>5013</v>
      </c>
      <c r="AO806" t="s">
        <v>5014</v>
      </c>
      <c r="AP806" t="s">
        <v>5015</v>
      </c>
      <c r="AQ806" t="s">
        <v>74</v>
      </c>
      <c r="AR806" t="s">
        <v>5016</v>
      </c>
      <c r="AS806" t="s">
        <v>5017</v>
      </c>
      <c r="AT806" t="s">
        <v>15717</v>
      </c>
      <c r="AU806">
        <v>2022</v>
      </c>
      <c r="AV806">
        <v>685</v>
      </c>
      <c r="AW806" t="s">
        <v>74</v>
      </c>
      <c r="AX806" t="s">
        <v>74</v>
      </c>
      <c r="AY806" t="s">
        <v>74</v>
      </c>
      <c r="AZ806" t="s">
        <v>74</v>
      </c>
      <c r="BA806" t="s">
        <v>74</v>
      </c>
      <c r="BB806">
        <v>137</v>
      </c>
      <c r="BC806">
        <v>152</v>
      </c>
      <c r="BD806" t="s">
        <v>74</v>
      </c>
      <c r="BE806" t="s">
        <v>15791</v>
      </c>
      <c r="BF806" t="str">
        <f>HYPERLINK("http://dx.doi.org/10.3354/meps13990","http://dx.doi.org/10.3354/meps13990")</f>
        <v>http://dx.doi.org/10.3354/meps13990</v>
      </c>
      <c r="BG806" t="s">
        <v>74</v>
      </c>
      <c r="BH806" t="s">
        <v>74</v>
      </c>
      <c r="BI806">
        <v>16</v>
      </c>
      <c r="BJ806" t="s">
        <v>5020</v>
      </c>
      <c r="BK806" t="s">
        <v>101</v>
      </c>
      <c r="BL806" t="s">
        <v>5021</v>
      </c>
      <c r="BM806" t="s">
        <v>15792</v>
      </c>
      <c r="BN806" t="s">
        <v>74</v>
      </c>
      <c r="BO806" t="s">
        <v>74</v>
      </c>
      <c r="BP806" t="s">
        <v>74</v>
      </c>
      <c r="BQ806" t="s">
        <v>74</v>
      </c>
      <c r="BR806" t="s">
        <v>103</v>
      </c>
      <c r="BS806" t="s">
        <v>15793</v>
      </c>
      <c r="BT806" t="str">
        <f>HYPERLINK("https%3A%2F%2Fwww.webofscience.com%2Fwos%2Fwoscc%2Ffull-record%2FWOS:000771734400010","View Full Record in Web of Science")</f>
        <v>View Full Record in Web of Science</v>
      </c>
    </row>
    <row r="807" spans="1:72" x14ac:dyDescent="0.15">
      <c r="A807" t="s">
        <v>72</v>
      </c>
      <c r="B807" t="s">
        <v>15794</v>
      </c>
      <c r="C807" t="s">
        <v>74</v>
      </c>
      <c r="D807" t="s">
        <v>74</v>
      </c>
      <c r="E807" t="s">
        <v>74</v>
      </c>
      <c r="F807" t="s">
        <v>15795</v>
      </c>
      <c r="G807" t="s">
        <v>74</v>
      </c>
      <c r="H807" t="s">
        <v>74</v>
      </c>
      <c r="I807" t="s">
        <v>15796</v>
      </c>
      <c r="J807" t="s">
        <v>4998</v>
      </c>
      <c r="K807" t="s">
        <v>74</v>
      </c>
      <c r="L807" t="s">
        <v>74</v>
      </c>
      <c r="M807" t="s">
        <v>78</v>
      </c>
      <c r="N807" t="s">
        <v>79</v>
      </c>
      <c r="O807" t="s">
        <v>74</v>
      </c>
      <c r="P807" t="s">
        <v>74</v>
      </c>
      <c r="Q807" t="s">
        <v>74</v>
      </c>
      <c r="R807" t="s">
        <v>74</v>
      </c>
      <c r="S807" t="s">
        <v>74</v>
      </c>
      <c r="T807" t="s">
        <v>15797</v>
      </c>
      <c r="U807" t="s">
        <v>15798</v>
      </c>
      <c r="V807" t="s">
        <v>15799</v>
      </c>
      <c r="W807" t="s">
        <v>15800</v>
      </c>
      <c r="X807" t="s">
        <v>15801</v>
      </c>
      <c r="Y807" t="s">
        <v>15802</v>
      </c>
      <c r="Z807" t="s">
        <v>15803</v>
      </c>
      <c r="AA807" t="s">
        <v>15804</v>
      </c>
      <c r="AB807" t="s">
        <v>15805</v>
      </c>
      <c r="AC807" t="s">
        <v>15806</v>
      </c>
      <c r="AD807" t="s">
        <v>15807</v>
      </c>
      <c r="AE807" t="s">
        <v>15808</v>
      </c>
      <c r="AF807" t="s">
        <v>74</v>
      </c>
      <c r="AG807">
        <v>71</v>
      </c>
      <c r="AH807">
        <v>6</v>
      </c>
      <c r="AI807">
        <v>6</v>
      </c>
      <c r="AJ807">
        <v>2</v>
      </c>
      <c r="AK807">
        <v>16</v>
      </c>
      <c r="AL807" t="s">
        <v>5011</v>
      </c>
      <c r="AM807" t="s">
        <v>5012</v>
      </c>
      <c r="AN807" t="s">
        <v>5013</v>
      </c>
      <c r="AO807" t="s">
        <v>5014</v>
      </c>
      <c r="AP807" t="s">
        <v>5015</v>
      </c>
      <c r="AQ807" t="s">
        <v>74</v>
      </c>
      <c r="AR807" t="s">
        <v>5016</v>
      </c>
      <c r="AS807" t="s">
        <v>5017</v>
      </c>
      <c r="AT807" t="s">
        <v>15717</v>
      </c>
      <c r="AU807">
        <v>2022</v>
      </c>
      <c r="AV807">
        <v>685</v>
      </c>
      <c r="AW807" t="s">
        <v>74</v>
      </c>
      <c r="AX807" t="s">
        <v>74</v>
      </c>
      <c r="AY807" t="s">
        <v>74</v>
      </c>
      <c r="AZ807" t="s">
        <v>74</v>
      </c>
      <c r="BA807" t="s">
        <v>74</v>
      </c>
      <c r="BB807">
        <v>171</v>
      </c>
      <c r="BC807">
        <v>181</v>
      </c>
      <c r="BD807" t="s">
        <v>74</v>
      </c>
      <c r="BE807" t="s">
        <v>15809</v>
      </c>
      <c r="BF807" t="str">
        <f>HYPERLINK("http://dx.doi.org/10.3354/meps13984","http://dx.doi.org/10.3354/meps13984")</f>
        <v>http://dx.doi.org/10.3354/meps13984</v>
      </c>
      <c r="BG807" t="s">
        <v>74</v>
      </c>
      <c r="BH807" t="s">
        <v>74</v>
      </c>
      <c r="BI807">
        <v>11</v>
      </c>
      <c r="BJ807" t="s">
        <v>5020</v>
      </c>
      <c r="BK807" t="s">
        <v>101</v>
      </c>
      <c r="BL807" t="s">
        <v>5021</v>
      </c>
      <c r="BM807" t="s">
        <v>15792</v>
      </c>
      <c r="BN807" t="s">
        <v>74</v>
      </c>
      <c r="BO807" t="s">
        <v>643</v>
      </c>
      <c r="BP807" t="s">
        <v>74</v>
      </c>
      <c r="BQ807" t="s">
        <v>74</v>
      </c>
      <c r="BR807" t="s">
        <v>103</v>
      </c>
      <c r="BS807" t="s">
        <v>15810</v>
      </c>
      <c r="BT807" t="str">
        <f>HYPERLINK("https%3A%2F%2Fwww.webofscience.com%2Fwos%2Fwoscc%2Ffull-record%2FWOS:000771734400012","View Full Record in Web of Science")</f>
        <v>View Full Record in Web of Science</v>
      </c>
    </row>
    <row r="808" spans="1:72" x14ac:dyDescent="0.15">
      <c r="A808" t="s">
        <v>72</v>
      </c>
      <c r="B808" t="s">
        <v>15811</v>
      </c>
      <c r="C808" t="s">
        <v>74</v>
      </c>
      <c r="D808" t="s">
        <v>74</v>
      </c>
      <c r="E808" t="s">
        <v>74</v>
      </c>
      <c r="F808" t="s">
        <v>15812</v>
      </c>
      <c r="G808" t="s">
        <v>74</v>
      </c>
      <c r="H808" t="s">
        <v>74</v>
      </c>
      <c r="I808" t="s">
        <v>15813</v>
      </c>
      <c r="J808" t="s">
        <v>4998</v>
      </c>
      <c r="K808" t="s">
        <v>74</v>
      </c>
      <c r="L808" t="s">
        <v>74</v>
      </c>
      <c r="M808" t="s">
        <v>78</v>
      </c>
      <c r="N808" t="s">
        <v>79</v>
      </c>
      <c r="O808" t="s">
        <v>74</v>
      </c>
      <c r="P808" t="s">
        <v>74</v>
      </c>
      <c r="Q808" t="s">
        <v>74</v>
      </c>
      <c r="R808" t="s">
        <v>74</v>
      </c>
      <c r="S808" t="s">
        <v>74</v>
      </c>
      <c r="T808" t="s">
        <v>15814</v>
      </c>
      <c r="U808" t="s">
        <v>15815</v>
      </c>
      <c r="V808" t="s">
        <v>15816</v>
      </c>
      <c r="W808" t="s">
        <v>15817</v>
      </c>
      <c r="X808" t="s">
        <v>15818</v>
      </c>
      <c r="Y808" t="s">
        <v>15819</v>
      </c>
      <c r="Z808" t="s">
        <v>15820</v>
      </c>
      <c r="AA808" t="s">
        <v>74</v>
      </c>
      <c r="AB808" t="s">
        <v>74</v>
      </c>
      <c r="AC808" t="s">
        <v>15821</v>
      </c>
      <c r="AD808" t="s">
        <v>15822</v>
      </c>
      <c r="AE808" t="s">
        <v>15823</v>
      </c>
      <c r="AF808" t="s">
        <v>74</v>
      </c>
      <c r="AG808">
        <v>90</v>
      </c>
      <c r="AH808">
        <v>4</v>
      </c>
      <c r="AI808">
        <v>4</v>
      </c>
      <c r="AJ808">
        <v>2</v>
      </c>
      <c r="AK808">
        <v>13</v>
      </c>
      <c r="AL808" t="s">
        <v>5011</v>
      </c>
      <c r="AM808" t="s">
        <v>5012</v>
      </c>
      <c r="AN808" t="s">
        <v>5013</v>
      </c>
      <c r="AO808" t="s">
        <v>5014</v>
      </c>
      <c r="AP808" t="s">
        <v>5015</v>
      </c>
      <c r="AQ808" t="s">
        <v>74</v>
      </c>
      <c r="AR808" t="s">
        <v>5016</v>
      </c>
      <c r="AS808" t="s">
        <v>5017</v>
      </c>
      <c r="AT808" t="s">
        <v>15717</v>
      </c>
      <c r="AU808">
        <v>2022</v>
      </c>
      <c r="AV808">
        <v>685</v>
      </c>
      <c r="AW808" t="s">
        <v>74</v>
      </c>
      <c r="AX808" t="s">
        <v>74</v>
      </c>
      <c r="AY808" t="s">
        <v>74</v>
      </c>
      <c r="AZ808" t="s">
        <v>74</v>
      </c>
      <c r="BA808" t="s">
        <v>74</v>
      </c>
      <c r="BB808">
        <v>183</v>
      </c>
      <c r="BC808">
        <v>196</v>
      </c>
      <c r="BD808" t="s">
        <v>74</v>
      </c>
      <c r="BE808" t="s">
        <v>15824</v>
      </c>
      <c r="BF808" t="str">
        <f>HYPERLINK("http://dx.doi.org/10.3354/meps13980","http://dx.doi.org/10.3354/meps13980")</f>
        <v>http://dx.doi.org/10.3354/meps13980</v>
      </c>
      <c r="BG808" t="s">
        <v>74</v>
      </c>
      <c r="BH808" t="s">
        <v>74</v>
      </c>
      <c r="BI808">
        <v>14</v>
      </c>
      <c r="BJ808" t="s">
        <v>5020</v>
      </c>
      <c r="BK808" t="s">
        <v>101</v>
      </c>
      <c r="BL808" t="s">
        <v>5021</v>
      </c>
      <c r="BM808" t="s">
        <v>15792</v>
      </c>
      <c r="BN808" t="s">
        <v>74</v>
      </c>
      <c r="BO808" t="s">
        <v>4923</v>
      </c>
      <c r="BP808" t="s">
        <v>74</v>
      </c>
      <c r="BQ808" t="s">
        <v>74</v>
      </c>
      <c r="BR808" t="s">
        <v>103</v>
      </c>
      <c r="BS808" t="s">
        <v>15825</v>
      </c>
      <c r="BT808" t="str">
        <f>HYPERLINK("https%3A%2F%2Fwww.webofscience.com%2Fwos%2Fwoscc%2Ffull-record%2FWOS:000771734400013","View Full Record in Web of Science")</f>
        <v>View Full Record in Web of Science</v>
      </c>
    </row>
    <row r="809" spans="1:72" x14ac:dyDescent="0.15">
      <c r="A809" t="s">
        <v>72</v>
      </c>
      <c r="B809" t="s">
        <v>15826</v>
      </c>
      <c r="C809" t="s">
        <v>74</v>
      </c>
      <c r="D809" t="s">
        <v>74</v>
      </c>
      <c r="E809" t="s">
        <v>74</v>
      </c>
      <c r="F809" t="s">
        <v>15827</v>
      </c>
      <c r="G809" t="s">
        <v>74</v>
      </c>
      <c r="H809" t="s">
        <v>74</v>
      </c>
      <c r="I809" t="s">
        <v>15828</v>
      </c>
      <c r="J809" t="s">
        <v>3174</v>
      </c>
      <c r="K809" t="s">
        <v>74</v>
      </c>
      <c r="L809" t="s">
        <v>74</v>
      </c>
      <c r="M809" t="s">
        <v>78</v>
      </c>
      <c r="N809" t="s">
        <v>79</v>
      </c>
      <c r="O809" t="s">
        <v>74</v>
      </c>
      <c r="P809" t="s">
        <v>74</v>
      </c>
      <c r="Q809" t="s">
        <v>74</v>
      </c>
      <c r="R809" t="s">
        <v>74</v>
      </c>
      <c r="S809" t="s">
        <v>74</v>
      </c>
      <c r="T809" t="s">
        <v>15829</v>
      </c>
      <c r="U809" t="s">
        <v>15830</v>
      </c>
      <c r="V809" t="s">
        <v>15831</v>
      </c>
      <c r="W809" t="s">
        <v>15832</v>
      </c>
      <c r="X809" t="s">
        <v>15833</v>
      </c>
      <c r="Y809" t="s">
        <v>15834</v>
      </c>
      <c r="Z809" t="s">
        <v>15835</v>
      </c>
      <c r="AA809" t="s">
        <v>15836</v>
      </c>
      <c r="AB809" t="s">
        <v>15837</v>
      </c>
      <c r="AC809" t="s">
        <v>15838</v>
      </c>
      <c r="AD809" t="s">
        <v>15839</v>
      </c>
      <c r="AE809" t="s">
        <v>15840</v>
      </c>
      <c r="AF809" t="s">
        <v>74</v>
      </c>
      <c r="AG809">
        <v>124</v>
      </c>
      <c r="AH809">
        <v>3</v>
      </c>
      <c r="AI809">
        <v>3</v>
      </c>
      <c r="AJ809">
        <v>3</v>
      </c>
      <c r="AK809">
        <v>13</v>
      </c>
      <c r="AL809" t="s">
        <v>633</v>
      </c>
      <c r="AM809" t="s">
        <v>200</v>
      </c>
      <c r="AN809" t="s">
        <v>634</v>
      </c>
      <c r="AO809" t="s">
        <v>3183</v>
      </c>
      <c r="AP809" t="s">
        <v>3184</v>
      </c>
      <c r="AQ809" t="s">
        <v>74</v>
      </c>
      <c r="AR809" t="s">
        <v>3185</v>
      </c>
      <c r="AS809" t="s">
        <v>3186</v>
      </c>
      <c r="AT809" t="s">
        <v>15717</v>
      </c>
      <c r="AU809">
        <v>2022</v>
      </c>
      <c r="AV809">
        <v>79</v>
      </c>
      <c r="AW809">
        <v>2</v>
      </c>
      <c r="AX809" t="s">
        <v>74</v>
      </c>
      <c r="AY809" t="s">
        <v>74</v>
      </c>
      <c r="AZ809" t="s">
        <v>74</v>
      </c>
      <c r="BA809" t="s">
        <v>74</v>
      </c>
      <c r="BB809">
        <v>285</v>
      </c>
      <c r="BC809">
        <v>307</v>
      </c>
      <c r="BD809" t="s">
        <v>74</v>
      </c>
      <c r="BE809" t="s">
        <v>15841</v>
      </c>
      <c r="BF809" t="str">
        <f>HYPERLINK("http://dx.doi.org/10.1093/icesjms/fsab270","http://dx.doi.org/10.1093/icesjms/fsab270")</f>
        <v>http://dx.doi.org/10.1093/icesjms/fsab270</v>
      </c>
      <c r="BG809" t="s">
        <v>74</v>
      </c>
      <c r="BH809" t="s">
        <v>74</v>
      </c>
      <c r="BI809">
        <v>23</v>
      </c>
      <c r="BJ809" t="s">
        <v>3189</v>
      </c>
      <c r="BK809" t="s">
        <v>956</v>
      </c>
      <c r="BL809" t="s">
        <v>3189</v>
      </c>
      <c r="BM809" t="s">
        <v>15842</v>
      </c>
      <c r="BN809" t="s">
        <v>74</v>
      </c>
      <c r="BO809" t="s">
        <v>1483</v>
      </c>
      <c r="BP809" t="s">
        <v>74</v>
      </c>
      <c r="BQ809" t="s">
        <v>74</v>
      </c>
      <c r="BR809" t="s">
        <v>103</v>
      </c>
      <c r="BS809" t="s">
        <v>15843</v>
      </c>
      <c r="BT809" t="str">
        <f>HYPERLINK("https%3A%2F%2Fwww.webofscience.com%2Fwos%2Fwoscc%2Ffull-record%2FWOS:000766813800003","View Full Record in Web of Science")</f>
        <v>View Full Record in Web of Science</v>
      </c>
    </row>
    <row r="810" spans="1:72" x14ac:dyDescent="0.15">
      <c r="A810" t="s">
        <v>72</v>
      </c>
      <c r="B810" t="s">
        <v>15844</v>
      </c>
      <c r="C810" t="s">
        <v>74</v>
      </c>
      <c r="D810" t="s">
        <v>74</v>
      </c>
      <c r="E810" t="s">
        <v>74</v>
      </c>
      <c r="F810" t="s">
        <v>15845</v>
      </c>
      <c r="G810" t="s">
        <v>74</v>
      </c>
      <c r="H810" t="s">
        <v>74</v>
      </c>
      <c r="I810" t="s">
        <v>15846</v>
      </c>
      <c r="J810" t="s">
        <v>388</v>
      </c>
      <c r="K810" t="s">
        <v>74</v>
      </c>
      <c r="L810" t="s">
        <v>74</v>
      </c>
      <c r="M810" t="s">
        <v>78</v>
      </c>
      <c r="N810" t="s">
        <v>79</v>
      </c>
      <c r="O810" t="s">
        <v>74</v>
      </c>
      <c r="P810" t="s">
        <v>74</v>
      </c>
      <c r="Q810" t="s">
        <v>74</v>
      </c>
      <c r="R810" t="s">
        <v>74</v>
      </c>
      <c r="S810" t="s">
        <v>74</v>
      </c>
      <c r="T810" t="s">
        <v>74</v>
      </c>
      <c r="U810" t="s">
        <v>15847</v>
      </c>
      <c r="V810" t="s">
        <v>15848</v>
      </c>
      <c r="W810" t="s">
        <v>15849</v>
      </c>
      <c r="X810" t="s">
        <v>15850</v>
      </c>
      <c r="Y810" t="s">
        <v>15851</v>
      </c>
      <c r="Z810" t="s">
        <v>15852</v>
      </c>
      <c r="AA810" t="s">
        <v>74</v>
      </c>
      <c r="AB810" t="s">
        <v>15853</v>
      </c>
      <c r="AC810" t="s">
        <v>15854</v>
      </c>
      <c r="AD810" t="s">
        <v>15855</v>
      </c>
      <c r="AE810" t="s">
        <v>15856</v>
      </c>
      <c r="AF810" t="s">
        <v>74</v>
      </c>
      <c r="AG810">
        <v>44</v>
      </c>
      <c r="AH810">
        <v>18</v>
      </c>
      <c r="AI810">
        <v>19</v>
      </c>
      <c r="AJ810">
        <v>1</v>
      </c>
      <c r="AK810">
        <v>3</v>
      </c>
      <c r="AL810" t="s">
        <v>400</v>
      </c>
      <c r="AM810" t="s">
        <v>401</v>
      </c>
      <c r="AN810" t="s">
        <v>402</v>
      </c>
      <c r="AO810" t="s">
        <v>74</v>
      </c>
      <c r="AP810" t="s">
        <v>403</v>
      </c>
      <c r="AQ810" t="s">
        <v>74</v>
      </c>
      <c r="AR810" t="s">
        <v>404</v>
      </c>
      <c r="AS810" t="s">
        <v>405</v>
      </c>
      <c r="AT810" t="s">
        <v>15717</v>
      </c>
      <c r="AU810">
        <v>2022</v>
      </c>
      <c r="AV810">
        <v>3</v>
      </c>
      <c r="AW810">
        <v>1</v>
      </c>
      <c r="AX810" t="s">
        <v>74</v>
      </c>
      <c r="AY810" t="s">
        <v>74</v>
      </c>
      <c r="AZ810" t="s">
        <v>74</v>
      </c>
      <c r="BA810" t="s">
        <v>74</v>
      </c>
      <c r="BB810" t="s">
        <v>74</v>
      </c>
      <c r="BC810" t="s">
        <v>74</v>
      </c>
      <c r="BD810">
        <v>57</v>
      </c>
      <c r="BE810" t="s">
        <v>15857</v>
      </c>
      <c r="BF810" t="str">
        <f>HYPERLINK("http://dx.doi.org/10.1038/s43247-022-00385-x","http://dx.doi.org/10.1038/s43247-022-00385-x")</f>
        <v>http://dx.doi.org/10.1038/s43247-022-00385-x</v>
      </c>
      <c r="BG810" t="s">
        <v>74</v>
      </c>
      <c r="BH810" t="s">
        <v>74</v>
      </c>
      <c r="BI810">
        <v>7</v>
      </c>
      <c r="BJ810" t="s">
        <v>407</v>
      </c>
      <c r="BK810" t="s">
        <v>101</v>
      </c>
      <c r="BL810" t="s">
        <v>408</v>
      </c>
      <c r="BM810" t="s">
        <v>15858</v>
      </c>
      <c r="BN810" t="s">
        <v>74</v>
      </c>
      <c r="BO810" t="s">
        <v>295</v>
      </c>
      <c r="BP810" t="s">
        <v>74</v>
      </c>
      <c r="BQ810" t="s">
        <v>74</v>
      </c>
      <c r="BR810" t="s">
        <v>103</v>
      </c>
      <c r="BS810" t="s">
        <v>15859</v>
      </c>
      <c r="BT810" t="str">
        <f>HYPERLINK("https%3A%2F%2Fwww.webofscience.com%2Fwos%2Fwoscc%2Ffull-record%2FWOS:000767365500001","View Full Record in Web of Science")</f>
        <v>View Full Record in Web of Science</v>
      </c>
    </row>
    <row r="811" spans="1:72" x14ac:dyDescent="0.15">
      <c r="A811" t="s">
        <v>72</v>
      </c>
      <c r="B811" t="s">
        <v>15860</v>
      </c>
      <c r="C811" t="s">
        <v>74</v>
      </c>
      <c r="D811" t="s">
        <v>74</v>
      </c>
      <c r="E811" t="s">
        <v>74</v>
      </c>
      <c r="F811" t="s">
        <v>15861</v>
      </c>
      <c r="G811" t="s">
        <v>74</v>
      </c>
      <c r="H811" t="s">
        <v>74</v>
      </c>
      <c r="I811" t="s">
        <v>15862</v>
      </c>
      <c r="J811" t="s">
        <v>15863</v>
      </c>
      <c r="K811" t="s">
        <v>74</v>
      </c>
      <c r="L811" t="s">
        <v>74</v>
      </c>
      <c r="M811" t="s">
        <v>78</v>
      </c>
      <c r="N811" t="s">
        <v>190</v>
      </c>
      <c r="O811" t="s">
        <v>74</v>
      </c>
      <c r="P811" t="s">
        <v>74</v>
      </c>
      <c r="Q811" t="s">
        <v>74</v>
      </c>
      <c r="R811" t="s">
        <v>74</v>
      </c>
      <c r="S811" t="s">
        <v>74</v>
      </c>
      <c r="T811" t="s">
        <v>74</v>
      </c>
      <c r="U811" t="s">
        <v>74</v>
      </c>
      <c r="V811" t="s">
        <v>15864</v>
      </c>
      <c r="W811" t="s">
        <v>15865</v>
      </c>
      <c r="X811" t="s">
        <v>15866</v>
      </c>
      <c r="Y811" t="s">
        <v>15867</v>
      </c>
      <c r="Z811" t="s">
        <v>15868</v>
      </c>
      <c r="AA811" t="s">
        <v>15869</v>
      </c>
      <c r="AB811" t="s">
        <v>15870</v>
      </c>
      <c r="AC811" t="s">
        <v>15871</v>
      </c>
      <c r="AD811" t="s">
        <v>15872</v>
      </c>
      <c r="AE811" t="s">
        <v>15873</v>
      </c>
      <c r="AF811" t="s">
        <v>74</v>
      </c>
      <c r="AG811">
        <v>9</v>
      </c>
      <c r="AH811">
        <v>35</v>
      </c>
      <c r="AI811">
        <v>40</v>
      </c>
      <c r="AJ811">
        <v>9</v>
      </c>
      <c r="AK811">
        <v>27</v>
      </c>
      <c r="AL811" t="s">
        <v>400</v>
      </c>
      <c r="AM811" t="s">
        <v>401</v>
      </c>
      <c r="AN811" t="s">
        <v>402</v>
      </c>
      <c r="AO811" t="s">
        <v>74</v>
      </c>
      <c r="AP811" t="s">
        <v>15874</v>
      </c>
      <c r="AQ811" t="s">
        <v>74</v>
      </c>
      <c r="AR811" t="s">
        <v>15875</v>
      </c>
      <c r="AS811" t="s">
        <v>15876</v>
      </c>
      <c r="AT811" t="s">
        <v>8316</v>
      </c>
      <c r="AU811">
        <v>2022</v>
      </c>
      <c r="AV811">
        <v>3</v>
      </c>
      <c r="AW811">
        <v>4</v>
      </c>
      <c r="AX811" t="s">
        <v>74</v>
      </c>
      <c r="AY811" t="s">
        <v>74</v>
      </c>
      <c r="AZ811" t="s">
        <v>74</v>
      </c>
      <c r="BA811" t="s">
        <v>74</v>
      </c>
      <c r="BB811">
        <v>215</v>
      </c>
      <c r="BC811">
        <v>216</v>
      </c>
      <c r="BD811" t="s">
        <v>74</v>
      </c>
      <c r="BE811" t="s">
        <v>15877</v>
      </c>
      <c r="BF811" t="str">
        <f>HYPERLINK("http://dx.doi.org/10.1038/s43017-022-00281-0","http://dx.doi.org/10.1038/s43017-022-00281-0")</f>
        <v>http://dx.doi.org/10.1038/s43017-022-00281-0</v>
      </c>
      <c r="BG811" t="s">
        <v>74</v>
      </c>
      <c r="BH811" t="s">
        <v>12992</v>
      </c>
      <c r="BI811">
        <v>2</v>
      </c>
      <c r="BJ811" t="s">
        <v>6246</v>
      </c>
      <c r="BK811" t="s">
        <v>101</v>
      </c>
      <c r="BL811" t="s">
        <v>3113</v>
      </c>
      <c r="BM811" t="s">
        <v>15878</v>
      </c>
      <c r="BN811" t="s">
        <v>74</v>
      </c>
      <c r="BO811" t="s">
        <v>986</v>
      </c>
      <c r="BP811" t="s">
        <v>74</v>
      </c>
      <c r="BQ811" t="s">
        <v>74</v>
      </c>
      <c r="BR811" t="s">
        <v>103</v>
      </c>
      <c r="BS811" t="s">
        <v>15879</v>
      </c>
      <c r="BT811" t="str">
        <f>HYPERLINK("https%3A%2F%2Fwww.webofscience.com%2Fwos%2Fwoscc%2Ffull-record%2FWOS:000767004000001","View Full Record in Web of Science")</f>
        <v>View Full Record in Web of Science</v>
      </c>
    </row>
    <row r="812" spans="1:72" x14ac:dyDescent="0.15">
      <c r="A812" t="s">
        <v>72</v>
      </c>
      <c r="B812" t="s">
        <v>15880</v>
      </c>
      <c r="C812" t="s">
        <v>74</v>
      </c>
      <c r="D812" t="s">
        <v>74</v>
      </c>
      <c r="E812" t="s">
        <v>74</v>
      </c>
      <c r="F812" t="s">
        <v>15881</v>
      </c>
      <c r="G812" t="s">
        <v>74</v>
      </c>
      <c r="H812" t="s">
        <v>74</v>
      </c>
      <c r="I812" t="s">
        <v>15882</v>
      </c>
      <c r="J812" t="s">
        <v>10161</v>
      </c>
      <c r="K812" t="s">
        <v>74</v>
      </c>
      <c r="L812" t="s">
        <v>74</v>
      </c>
      <c r="M812" t="s">
        <v>78</v>
      </c>
      <c r="N812" t="s">
        <v>79</v>
      </c>
      <c r="O812" t="s">
        <v>74</v>
      </c>
      <c r="P812" t="s">
        <v>74</v>
      </c>
      <c r="Q812" t="s">
        <v>74</v>
      </c>
      <c r="R812" t="s">
        <v>74</v>
      </c>
      <c r="S812" t="s">
        <v>74</v>
      </c>
      <c r="T812" t="s">
        <v>15883</v>
      </c>
      <c r="U812" t="s">
        <v>15884</v>
      </c>
      <c r="V812" t="s">
        <v>15885</v>
      </c>
      <c r="W812" t="s">
        <v>15886</v>
      </c>
      <c r="X812" t="s">
        <v>15887</v>
      </c>
      <c r="Y812" t="s">
        <v>15888</v>
      </c>
      <c r="Z812" t="s">
        <v>15889</v>
      </c>
      <c r="AA812" t="s">
        <v>15890</v>
      </c>
      <c r="AB812" t="s">
        <v>15891</v>
      </c>
      <c r="AC812" t="s">
        <v>74</v>
      </c>
      <c r="AD812" t="s">
        <v>74</v>
      </c>
      <c r="AE812" t="s">
        <v>74</v>
      </c>
      <c r="AF812" t="s">
        <v>74</v>
      </c>
      <c r="AG812">
        <v>85</v>
      </c>
      <c r="AH812">
        <v>5</v>
      </c>
      <c r="AI812">
        <v>5</v>
      </c>
      <c r="AJ812">
        <v>4</v>
      </c>
      <c r="AK812">
        <v>23</v>
      </c>
      <c r="AL812" t="s">
        <v>580</v>
      </c>
      <c r="AM812" t="s">
        <v>401</v>
      </c>
      <c r="AN812" t="s">
        <v>581</v>
      </c>
      <c r="AO812" t="s">
        <v>10173</v>
      </c>
      <c r="AP812" t="s">
        <v>74</v>
      </c>
      <c r="AQ812" t="s">
        <v>74</v>
      </c>
      <c r="AR812" t="s">
        <v>10174</v>
      </c>
      <c r="AS812" t="s">
        <v>10175</v>
      </c>
      <c r="AT812" t="s">
        <v>15892</v>
      </c>
      <c r="AU812">
        <v>2022</v>
      </c>
      <c r="AV812">
        <v>9</v>
      </c>
      <c r="AW812">
        <v>3</v>
      </c>
      <c r="AX812" t="s">
        <v>74</v>
      </c>
      <c r="AY812" t="s">
        <v>74</v>
      </c>
      <c r="AZ812" t="s">
        <v>74</v>
      </c>
      <c r="BA812" t="s">
        <v>74</v>
      </c>
      <c r="BB812" t="s">
        <v>74</v>
      </c>
      <c r="BC812" t="s">
        <v>74</v>
      </c>
      <c r="BD812">
        <v>211272</v>
      </c>
      <c r="BE812" t="s">
        <v>15893</v>
      </c>
      <c r="BF812" t="str">
        <f>HYPERLINK("http://dx.doi.org/10.1098/rsos.211272","http://dx.doi.org/10.1098/rsos.211272")</f>
        <v>http://dx.doi.org/10.1098/rsos.211272</v>
      </c>
      <c r="BG812" t="s">
        <v>74</v>
      </c>
      <c r="BH812" t="s">
        <v>74</v>
      </c>
      <c r="BI812">
        <v>13</v>
      </c>
      <c r="BJ812" t="s">
        <v>657</v>
      </c>
      <c r="BK812" t="s">
        <v>101</v>
      </c>
      <c r="BL812" t="s">
        <v>658</v>
      </c>
      <c r="BM812" t="s">
        <v>15894</v>
      </c>
      <c r="BN812">
        <v>35291327</v>
      </c>
      <c r="BO812" t="s">
        <v>14238</v>
      </c>
      <c r="BP812" t="s">
        <v>74</v>
      </c>
      <c r="BQ812" t="s">
        <v>74</v>
      </c>
      <c r="BR812" t="s">
        <v>103</v>
      </c>
      <c r="BS812" t="s">
        <v>15895</v>
      </c>
      <c r="BT812" t="str">
        <f>HYPERLINK("https%3A%2F%2Fwww.webofscience.com%2Fwos%2Fwoscc%2Ffull-record%2FWOS:000791273300004","View Full Record in Web of Science")</f>
        <v>View Full Record in Web of Science</v>
      </c>
    </row>
    <row r="813" spans="1:72" x14ac:dyDescent="0.15">
      <c r="A813" t="s">
        <v>72</v>
      </c>
      <c r="B813" t="s">
        <v>15896</v>
      </c>
      <c r="C813" t="s">
        <v>74</v>
      </c>
      <c r="D813" t="s">
        <v>74</v>
      </c>
      <c r="E813" t="s">
        <v>74</v>
      </c>
      <c r="F813" t="s">
        <v>15897</v>
      </c>
      <c r="G813" t="s">
        <v>74</v>
      </c>
      <c r="H813" t="s">
        <v>74</v>
      </c>
      <c r="I813" t="s">
        <v>15898</v>
      </c>
      <c r="J813" t="s">
        <v>15899</v>
      </c>
      <c r="K813" t="s">
        <v>74</v>
      </c>
      <c r="L813" t="s">
        <v>74</v>
      </c>
      <c r="M813" t="s">
        <v>78</v>
      </c>
      <c r="N813" t="s">
        <v>79</v>
      </c>
      <c r="O813" t="s">
        <v>74</v>
      </c>
      <c r="P813" t="s">
        <v>74</v>
      </c>
      <c r="Q813" t="s">
        <v>74</v>
      </c>
      <c r="R813" t="s">
        <v>74</v>
      </c>
      <c r="S813" t="s">
        <v>74</v>
      </c>
      <c r="T813" t="s">
        <v>15900</v>
      </c>
      <c r="U813" t="s">
        <v>15901</v>
      </c>
      <c r="V813" t="s">
        <v>15902</v>
      </c>
      <c r="W813" t="s">
        <v>15903</v>
      </c>
      <c r="X813" t="s">
        <v>15904</v>
      </c>
      <c r="Y813" t="s">
        <v>15905</v>
      </c>
      <c r="Z813" t="s">
        <v>15906</v>
      </c>
      <c r="AA813" t="s">
        <v>15907</v>
      </c>
      <c r="AB813" t="s">
        <v>15908</v>
      </c>
      <c r="AC813" t="s">
        <v>15909</v>
      </c>
      <c r="AD813" t="s">
        <v>15910</v>
      </c>
      <c r="AE813" t="s">
        <v>15911</v>
      </c>
      <c r="AF813" t="s">
        <v>74</v>
      </c>
      <c r="AG813">
        <v>61</v>
      </c>
      <c r="AH813">
        <v>4</v>
      </c>
      <c r="AI813">
        <v>4</v>
      </c>
      <c r="AJ813">
        <v>2</v>
      </c>
      <c r="AK813">
        <v>21</v>
      </c>
      <c r="AL813" t="s">
        <v>1000</v>
      </c>
      <c r="AM813" t="s">
        <v>531</v>
      </c>
      <c r="AN813" t="s">
        <v>1001</v>
      </c>
      <c r="AO813" t="s">
        <v>15912</v>
      </c>
      <c r="AP813" t="s">
        <v>15913</v>
      </c>
      <c r="AQ813" t="s">
        <v>74</v>
      </c>
      <c r="AR813" t="s">
        <v>15914</v>
      </c>
      <c r="AS813" t="s">
        <v>15915</v>
      </c>
      <c r="AT813" t="s">
        <v>3999</v>
      </c>
      <c r="AU813">
        <v>2022</v>
      </c>
      <c r="AV813">
        <v>271</v>
      </c>
      <c r="AW813" t="s">
        <v>74</v>
      </c>
      <c r="AX813" t="s">
        <v>74</v>
      </c>
      <c r="AY813" t="s">
        <v>74</v>
      </c>
      <c r="AZ813" t="s">
        <v>74</v>
      </c>
      <c r="BA813" t="s">
        <v>74</v>
      </c>
      <c r="BB813" t="s">
        <v>74</v>
      </c>
      <c r="BC813" t="s">
        <v>74</v>
      </c>
      <c r="BD813">
        <v>106119</v>
      </c>
      <c r="BE813" t="s">
        <v>15916</v>
      </c>
      <c r="BF813" t="str">
        <f>HYPERLINK("http://dx.doi.org/10.1016/j.atmosres.2022.106119","http://dx.doi.org/10.1016/j.atmosres.2022.106119")</f>
        <v>http://dx.doi.org/10.1016/j.atmosres.2022.106119</v>
      </c>
      <c r="BG813" t="s">
        <v>74</v>
      </c>
      <c r="BH813" t="s">
        <v>12992</v>
      </c>
      <c r="BI813">
        <v>9</v>
      </c>
      <c r="BJ813" t="s">
        <v>510</v>
      </c>
      <c r="BK813" t="s">
        <v>101</v>
      </c>
      <c r="BL813" t="s">
        <v>510</v>
      </c>
      <c r="BM813" t="s">
        <v>15917</v>
      </c>
      <c r="BN813" t="s">
        <v>74</v>
      </c>
      <c r="BO813" t="s">
        <v>267</v>
      </c>
      <c r="BP813" t="s">
        <v>74</v>
      </c>
      <c r="BQ813" t="s">
        <v>74</v>
      </c>
      <c r="BR813" t="s">
        <v>103</v>
      </c>
      <c r="BS813" t="s">
        <v>15918</v>
      </c>
      <c r="BT813" t="str">
        <f>HYPERLINK("https%3A%2F%2Fwww.webofscience.com%2Fwos%2Fwoscc%2Ffull-record%2FWOS:000776075900003","View Full Record in Web of Science")</f>
        <v>View Full Record in Web of Science</v>
      </c>
    </row>
    <row r="814" spans="1:72" x14ac:dyDescent="0.15">
      <c r="A814" t="s">
        <v>72</v>
      </c>
      <c r="B814" t="s">
        <v>15919</v>
      </c>
      <c r="C814" t="s">
        <v>74</v>
      </c>
      <c r="D814" t="s">
        <v>74</v>
      </c>
      <c r="E814" t="s">
        <v>74</v>
      </c>
      <c r="F814" t="s">
        <v>15920</v>
      </c>
      <c r="G814" t="s">
        <v>74</v>
      </c>
      <c r="H814" t="s">
        <v>74</v>
      </c>
      <c r="I814" t="s">
        <v>15921</v>
      </c>
      <c r="J814" t="s">
        <v>15922</v>
      </c>
      <c r="K814" t="s">
        <v>74</v>
      </c>
      <c r="L814" t="s">
        <v>74</v>
      </c>
      <c r="M814" t="s">
        <v>78</v>
      </c>
      <c r="N814" t="s">
        <v>79</v>
      </c>
      <c r="O814" t="s">
        <v>74</v>
      </c>
      <c r="P814" t="s">
        <v>74</v>
      </c>
      <c r="Q814" t="s">
        <v>74</v>
      </c>
      <c r="R814" t="s">
        <v>74</v>
      </c>
      <c r="S814" t="s">
        <v>74</v>
      </c>
      <c r="T814" t="s">
        <v>15923</v>
      </c>
      <c r="U814" t="s">
        <v>15924</v>
      </c>
      <c r="V814" t="s">
        <v>15925</v>
      </c>
      <c r="W814" t="s">
        <v>15926</v>
      </c>
      <c r="X814" t="s">
        <v>15927</v>
      </c>
      <c r="Y814" t="s">
        <v>15928</v>
      </c>
      <c r="Z814" t="s">
        <v>15929</v>
      </c>
      <c r="AA814" t="s">
        <v>15930</v>
      </c>
      <c r="AB814" t="s">
        <v>15931</v>
      </c>
      <c r="AC814" t="s">
        <v>15932</v>
      </c>
      <c r="AD814" t="s">
        <v>15933</v>
      </c>
      <c r="AE814" t="s">
        <v>15934</v>
      </c>
      <c r="AF814" t="s">
        <v>74</v>
      </c>
      <c r="AG814">
        <v>67</v>
      </c>
      <c r="AH814">
        <v>1</v>
      </c>
      <c r="AI814">
        <v>1</v>
      </c>
      <c r="AJ814">
        <v>0</v>
      </c>
      <c r="AK814">
        <v>17</v>
      </c>
      <c r="AL814" t="s">
        <v>15935</v>
      </c>
      <c r="AM814" t="s">
        <v>401</v>
      </c>
      <c r="AN814" t="s">
        <v>15936</v>
      </c>
      <c r="AO814" t="s">
        <v>15937</v>
      </c>
      <c r="AP814" t="s">
        <v>74</v>
      </c>
      <c r="AQ814" t="s">
        <v>74</v>
      </c>
      <c r="AR814" t="s">
        <v>15922</v>
      </c>
      <c r="AS814" t="s">
        <v>15938</v>
      </c>
      <c r="AT814" t="s">
        <v>15892</v>
      </c>
      <c r="AU814">
        <v>2022</v>
      </c>
      <c r="AV814">
        <v>10</v>
      </c>
      <c r="AW814" t="s">
        <v>74</v>
      </c>
      <c r="AX814" t="s">
        <v>74</v>
      </c>
      <c r="AY814" t="s">
        <v>74</v>
      </c>
      <c r="AZ814" t="s">
        <v>74</v>
      </c>
      <c r="BA814" t="s">
        <v>74</v>
      </c>
      <c r="BB814" t="s">
        <v>74</v>
      </c>
      <c r="BC814" t="s">
        <v>74</v>
      </c>
      <c r="BD814" t="s">
        <v>15939</v>
      </c>
      <c r="BE814" t="s">
        <v>15940</v>
      </c>
      <c r="BF814" t="str">
        <f>HYPERLINK("http://dx.doi.org/10.7717/peerj.12737","http://dx.doi.org/10.7717/peerj.12737")</f>
        <v>http://dx.doi.org/10.7717/peerj.12737</v>
      </c>
      <c r="BG814" t="s">
        <v>74</v>
      </c>
      <c r="BH814" t="s">
        <v>74</v>
      </c>
      <c r="BI814">
        <v>19</v>
      </c>
      <c r="BJ814" t="s">
        <v>657</v>
      </c>
      <c r="BK814" t="s">
        <v>101</v>
      </c>
      <c r="BL814" t="s">
        <v>658</v>
      </c>
      <c r="BM814" t="s">
        <v>15941</v>
      </c>
      <c r="BN814">
        <v>35287351</v>
      </c>
      <c r="BO814" t="s">
        <v>295</v>
      </c>
      <c r="BP814" t="s">
        <v>74</v>
      </c>
      <c r="BQ814" t="s">
        <v>74</v>
      </c>
      <c r="BR814" t="s">
        <v>103</v>
      </c>
      <c r="BS814" t="s">
        <v>15942</v>
      </c>
      <c r="BT814" t="str">
        <f>HYPERLINK("https%3A%2F%2Fwww.webofscience.com%2Fwos%2Fwoscc%2Ffull-record%2FWOS:000772661600005","View Full Record in Web of Science")</f>
        <v>View Full Record in Web of Science</v>
      </c>
    </row>
    <row r="815" spans="1:72" x14ac:dyDescent="0.15">
      <c r="A815" t="s">
        <v>72</v>
      </c>
      <c r="B815" t="s">
        <v>15943</v>
      </c>
      <c r="C815" t="s">
        <v>74</v>
      </c>
      <c r="D815" t="s">
        <v>74</v>
      </c>
      <c r="E815" t="s">
        <v>74</v>
      </c>
      <c r="F815" t="s">
        <v>15944</v>
      </c>
      <c r="G815" t="s">
        <v>74</v>
      </c>
      <c r="H815" t="s">
        <v>74</v>
      </c>
      <c r="I815" t="s">
        <v>15945</v>
      </c>
      <c r="J815" t="s">
        <v>108</v>
      </c>
      <c r="K815" t="s">
        <v>74</v>
      </c>
      <c r="L815" t="s">
        <v>74</v>
      </c>
      <c r="M815" t="s">
        <v>78</v>
      </c>
      <c r="N815" t="s">
        <v>79</v>
      </c>
      <c r="O815" t="s">
        <v>74</v>
      </c>
      <c r="P815" t="s">
        <v>74</v>
      </c>
      <c r="Q815" t="s">
        <v>74</v>
      </c>
      <c r="R815" t="s">
        <v>74</v>
      </c>
      <c r="S815" t="s">
        <v>74</v>
      </c>
      <c r="T815" t="s">
        <v>74</v>
      </c>
      <c r="U815" t="s">
        <v>15946</v>
      </c>
      <c r="V815" t="s">
        <v>15947</v>
      </c>
      <c r="W815" t="s">
        <v>15948</v>
      </c>
      <c r="X815" t="s">
        <v>3661</v>
      </c>
      <c r="Y815" t="s">
        <v>15949</v>
      </c>
      <c r="Z815" t="s">
        <v>15950</v>
      </c>
      <c r="AA815" t="s">
        <v>15951</v>
      </c>
      <c r="AB815" t="s">
        <v>15952</v>
      </c>
      <c r="AC815" t="s">
        <v>15953</v>
      </c>
      <c r="AD815" t="s">
        <v>15954</v>
      </c>
      <c r="AE815" t="s">
        <v>15955</v>
      </c>
      <c r="AF815" t="s">
        <v>74</v>
      </c>
      <c r="AG815">
        <v>115</v>
      </c>
      <c r="AH815">
        <v>4</v>
      </c>
      <c r="AI815">
        <v>4</v>
      </c>
      <c r="AJ815">
        <v>0</v>
      </c>
      <c r="AK815">
        <v>6</v>
      </c>
      <c r="AL815" t="s">
        <v>117</v>
      </c>
      <c r="AM815" t="s">
        <v>118</v>
      </c>
      <c r="AN815" t="s">
        <v>119</v>
      </c>
      <c r="AO815" t="s">
        <v>120</v>
      </c>
      <c r="AP815" t="s">
        <v>121</v>
      </c>
      <c r="AQ815" t="s">
        <v>74</v>
      </c>
      <c r="AR815" t="s">
        <v>108</v>
      </c>
      <c r="AS815" t="s">
        <v>122</v>
      </c>
      <c r="AT815" t="s">
        <v>15892</v>
      </c>
      <c r="AU815">
        <v>2022</v>
      </c>
      <c r="AV815">
        <v>16</v>
      </c>
      <c r="AW815">
        <v>3</v>
      </c>
      <c r="AX815" t="s">
        <v>74</v>
      </c>
      <c r="AY815" t="s">
        <v>74</v>
      </c>
      <c r="AZ815" t="s">
        <v>74</v>
      </c>
      <c r="BA815" t="s">
        <v>74</v>
      </c>
      <c r="BB815">
        <v>779</v>
      </c>
      <c r="BC815">
        <v>798</v>
      </c>
      <c r="BD815" t="s">
        <v>74</v>
      </c>
      <c r="BE815" t="s">
        <v>15956</v>
      </c>
      <c r="BF815" t="str">
        <f>HYPERLINK("http://dx.doi.org/10.5194/tc-16-779-2022","http://dx.doi.org/10.5194/tc-16-779-2022")</f>
        <v>http://dx.doi.org/10.5194/tc-16-779-2022</v>
      </c>
      <c r="BG815" t="s">
        <v>74</v>
      </c>
      <c r="BH815" t="s">
        <v>74</v>
      </c>
      <c r="BI815">
        <v>20</v>
      </c>
      <c r="BJ815" t="s">
        <v>125</v>
      </c>
      <c r="BK815" t="s">
        <v>101</v>
      </c>
      <c r="BL815" t="s">
        <v>126</v>
      </c>
      <c r="BM815" t="s">
        <v>15957</v>
      </c>
      <c r="BN815" t="s">
        <v>74</v>
      </c>
      <c r="BO815" t="s">
        <v>6363</v>
      </c>
      <c r="BP815" t="s">
        <v>74</v>
      </c>
      <c r="BQ815" t="s">
        <v>74</v>
      </c>
      <c r="BR815" t="s">
        <v>103</v>
      </c>
      <c r="BS815" t="s">
        <v>15958</v>
      </c>
      <c r="BT815" t="str">
        <f>HYPERLINK("https%3A%2F%2Fwww.webofscience.com%2Fwos%2Fwoscc%2Ffull-record%2FWOS:000768242600001","View Full Record in Web of Science")</f>
        <v>View Full Record in Web of Science</v>
      </c>
    </row>
    <row r="816" spans="1:72" x14ac:dyDescent="0.15">
      <c r="A816" t="s">
        <v>72</v>
      </c>
      <c r="B816" t="s">
        <v>15959</v>
      </c>
      <c r="C816" t="s">
        <v>74</v>
      </c>
      <c r="D816" t="s">
        <v>74</v>
      </c>
      <c r="E816" t="s">
        <v>74</v>
      </c>
      <c r="F816" t="s">
        <v>15960</v>
      </c>
      <c r="G816" t="s">
        <v>74</v>
      </c>
      <c r="H816" t="s">
        <v>74</v>
      </c>
      <c r="I816" t="s">
        <v>15961</v>
      </c>
      <c r="J816" t="s">
        <v>15962</v>
      </c>
      <c r="K816" t="s">
        <v>74</v>
      </c>
      <c r="L816" t="s">
        <v>74</v>
      </c>
      <c r="M816" t="s">
        <v>78</v>
      </c>
      <c r="N816" t="s">
        <v>79</v>
      </c>
      <c r="O816" t="s">
        <v>74</v>
      </c>
      <c r="P816" t="s">
        <v>74</v>
      </c>
      <c r="Q816" t="s">
        <v>74</v>
      </c>
      <c r="R816" t="s">
        <v>74</v>
      </c>
      <c r="S816" t="s">
        <v>74</v>
      </c>
      <c r="T816" t="s">
        <v>15963</v>
      </c>
      <c r="U816" t="s">
        <v>15964</v>
      </c>
      <c r="V816" t="s">
        <v>15965</v>
      </c>
      <c r="W816" t="s">
        <v>15966</v>
      </c>
      <c r="X816" t="s">
        <v>15967</v>
      </c>
      <c r="Y816" t="s">
        <v>15968</v>
      </c>
      <c r="Z816" t="s">
        <v>3821</v>
      </c>
      <c r="AA816" t="s">
        <v>74</v>
      </c>
      <c r="AB816" t="s">
        <v>74</v>
      </c>
      <c r="AC816" t="s">
        <v>15969</v>
      </c>
      <c r="AD816" t="s">
        <v>15970</v>
      </c>
      <c r="AE816" t="s">
        <v>15971</v>
      </c>
      <c r="AF816" t="s">
        <v>74</v>
      </c>
      <c r="AG816">
        <v>50</v>
      </c>
      <c r="AH816">
        <v>5</v>
      </c>
      <c r="AI816">
        <v>5</v>
      </c>
      <c r="AJ816">
        <v>1</v>
      </c>
      <c r="AK816">
        <v>15</v>
      </c>
      <c r="AL816" t="s">
        <v>2883</v>
      </c>
      <c r="AM816" t="s">
        <v>2884</v>
      </c>
      <c r="AN816" t="s">
        <v>2885</v>
      </c>
      <c r="AO816" t="s">
        <v>74</v>
      </c>
      <c r="AP816" t="s">
        <v>15972</v>
      </c>
      <c r="AQ816" t="s">
        <v>74</v>
      </c>
      <c r="AR816" t="s">
        <v>15973</v>
      </c>
      <c r="AS816" t="s">
        <v>15974</v>
      </c>
      <c r="AT816" t="s">
        <v>15892</v>
      </c>
      <c r="AU816">
        <v>2022</v>
      </c>
      <c r="AV816">
        <v>9</v>
      </c>
      <c r="AW816">
        <v>1</v>
      </c>
      <c r="AX816" t="s">
        <v>74</v>
      </c>
      <c r="AY816" t="s">
        <v>74</v>
      </c>
      <c r="AZ816" t="s">
        <v>74</v>
      </c>
      <c r="BA816" t="s">
        <v>74</v>
      </c>
      <c r="BB816" t="s">
        <v>74</v>
      </c>
      <c r="BC816" t="s">
        <v>74</v>
      </c>
      <c r="BD816">
        <v>18</v>
      </c>
      <c r="BE816" t="s">
        <v>15975</v>
      </c>
      <c r="BF816" t="str">
        <f>HYPERLINK("http://dx.doi.org/10.1186/s40643-022-00507-5","http://dx.doi.org/10.1186/s40643-022-00507-5")</f>
        <v>http://dx.doi.org/10.1186/s40643-022-00507-5</v>
      </c>
      <c r="BG816" t="s">
        <v>74</v>
      </c>
      <c r="BH816" t="s">
        <v>74</v>
      </c>
      <c r="BI816">
        <v>12</v>
      </c>
      <c r="BJ816" t="s">
        <v>6144</v>
      </c>
      <c r="BK816" t="s">
        <v>101</v>
      </c>
      <c r="BL816" t="s">
        <v>6144</v>
      </c>
      <c r="BM816" t="s">
        <v>15976</v>
      </c>
      <c r="BN816" t="s">
        <v>74</v>
      </c>
      <c r="BO816" t="s">
        <v>295</v>
      </c>
      <c r="BP816" t="s">
        <v>74</v>
      </c>
      <c r="BQ816" t="s">
        <v>74</v>
      </c>
      <c r="BR816" t="s">
        <v>103</v>
      </c>
      <c r="BS816" t="s">
        <v>15977</v>
      </c>
      <c r="BT816" t="str">
        <f>HYPERLINK("https%3A%2F%2Fwww.webofscience.com%2Fwos%2Fwoscc%2Ffull-record%2FWOS:000766551000001","View Full Record in Web of Science")</f>
        <v>View Full Record in Web of Science</v>
      </c>
    </row>
    <row r="817" spans="1:72" x14ac:dyDescent="0.15">
      <c r="A817" t="s">
        <v>72</v>
      </c>
      <c r="B817" t="s">
        <v>15978</v>
      </c>
      <c r="C817" t="s">
        <v>74</v>
      </c>
      <c r="D817" t="s">
        <v>74</v>
      </c>
      <c r="E817" t="s">
        <v>74</v>
      </c>
      <c r="F817" t="s">
        <v>15979</v>
      </c>
      <c r="G817" t="s">
        <v>74</v>
      </c>
      <c r="H817" t="s">
        <v>74</v>
      </c>
      <c r="I817" t="s">
        <v>15980</v>
      </c>
      <c r="J817" t="s">
        <v>388</v>
      </c>
      <c r="K817" t="s">
        <v>74</v>
      </c>
      <c r="L817" t="s">
        <v>74</v>
      </c>
      <c r="M817" t="s">
        <v>78</v>
      </c>
      <c r="N817" t="s">
        <v>79</v>
      </c>
      <c r="O817" t="s">
        <v>74</v>
      </c>
      <c r="P817" t="s">
        <v>74</v>
      </c>
      <c r="Q817" t="s">
        <v>74</v>
      </c>
      <c r="R817" t="s">
        <v>74</v>
      </c>
      <c r="S817" t="s">
        <v>74</v>
      </c>
      <c r="T817" t="s">
        <v>74</v>
      </c>
      <c r="U817" t="s">
        <v>15981</v>
      </c>
      <c r="V817" t="s">
        <v>15982</v>
      </c>
      <c r="W817" t="s">
        <v>15983</v>
      </c>
      <c r="X817" t="s">
        <v>15984</v>
      </c>
      <c r="Y817" t="s">
        <v>15985</v>
      </c>
      <c r="Z817" t="s">
        <v>15986</v>
      </c>
      <c r="AA817" t="s">
        <v>74</v>
      </c>
      <c r="AB817" t="s">
        <v>15987</v>
      </c>
      <c r="AC817" t="s">
        <v>15988</v>
      </c>
      <c r="AD817" t="s">
        <v>15989</v>
      </c>
      <c r="AE817" t="s">
        <v>15990</v>
      </c>
      <c r="AF817" t="s">
        <v>74</v>
      </c>
      <c r="AG817">
        <v>54</v>
      </c>
      <c r="AH817">
        <v>5</v>
      </c>
      <c r="AI817">
        <v>5</v>
      </c>
      <c r="AJ817">
        <v>1</v>
      </c>
      <c r="AK817">
        <v>5</v>
      </c>
      <c r="AL817" t="s">
        <v>400</v>
      </c>
      <c r="AM817" t="s">
        <v>401</v>
      </c>
      <c r="AN817" t="s">
        <v>402</v>
      </c>
      <c r="AO817" t="s">
        <v>74</v>
      </c>
      <c r="AP817" t="s">
        <v>403</v>
      </c>
      <c r="AQ817" t="s">
        <v>74</v>
      </c>
      <c r="AR817" t="s">
        <v>404</v>
      </c>
      <c r="AS817" t="s">
        <v>405</v>
      </c>
      <c r="AT817" t="s">
        <v>15892</v>
      </c>
      <c r="AU817">
        <v>2022</v>
      </c>
      <c r="AV817">
        <v>3</v>
      </c>
      <c r="AW817">
        <v>1</v>
      </c>
      <c r="AX817" t="s">
        <v>74</v>
      </c>
      <c r="AY817" t="s">
        <v>74</v>
      </c>
      <c r="AZ817" t="s">
        <v>74</v>
      </c>
      <c r="BA817" t="s">
        <v>74</v>
      </c>
      <c r="BB817" t="s">
        <v>74</v>
      </c>
      <c r="BC817" t="s">
        <v>74</v>
      </c>
      <c r="BD817">
        <v>52</v>
      </c>
      <c r="BE817" t="s">
        <v>15991</v>
      </c>
      <c r="BF817" t="str">
        <f>HYPERLINK("http://dx.doi.org/10.1038/s43247-022-00375-z","http://dx.doi.org/10.1038/s43247-022-00375-z")</f>
        <v>http://dx.doi.org/10.1038/s43247-022-00375-z</v>
      </c>
      <c r="BG817" t="s">
        <v>74</v>
      </c>
      <c r="BH817" t="s">
        <v>74</v>
      </c>
      <c r="BI817">
        <v>8</v>
      </c>
      <c r="BJ817" t="s">
        <v>407</v>
      </c>
      <c r="BK817" t="s">
        <v>101</v>
      </c>
      <c r="BL817" t="s">
        <v>408</v>
      </c>
      <c r="BM817" t="s">
        <v>15992</v>
      </c>
      <c r="BN817" t="s">
        <v>74</v>
      </c>
      <c r="BO817" t="s">
        <v>3044</v>
      </c>
      <c r="BP817" t="s">
        <v>74</v>
      </c>
      <c r="BQ817" t="s">
        <v>74</v>
      </c>
      <c r="BR817" t="s">
        <v>103</v>
      </c>
      <c r="BS817" t="s">
        <v>15993</v>
      </c>
      <c r="BT817" t="str">
        <f>HYPERLINK("https%3A%2F%2Fwww.webofscience.com%2Fwos%2Fwoscc%2Ffull-record%2FWOS:000766597100001","View Full Record in Web of Science")</f>
        <v>View Full Record in Web of Science</v>
      </c>
    </row>
    <row r="818" spans="1:72" x14ac:dyDescent="0.15">
      <c r="A818" t="s">
        <v>72</v>
      </c>
      <c r="B818" t="s">
        <v>15994</v>
      </c>
      <c r="C818" t="s">
        <v>74</v>
      </c>
      <c r="D818" t="s">
        <v>74</v>
      </c>
      <c r="E818" t="s">
        <v>74</v>
      </c>
      <c r="F818" t="s">
        <v>15995</v>
      </c>
      <c r="G818" t="s">
        <v>74</v>
      </c>
      <c r="H818" t="s">
        <v>74</v>
      </c>
      <c r="I818" t="s">
        <v>15996</v>
      </c>
      <c r="J818" t="s">
        <v>517</v>
      </c>
      <c r="K818" t="s">
        <v>74</v>
      </c>
      <c r="L818" t="s">
        <v>74</v>
      </c>
      <c r="M818" t="s">
        <v>78</v>
      </c>
      <c r="N818" t="s">
        <v>79</v>
      </c>
      <c r="O818" t="s">
        <v>74</v>
      </c>
      <c r="P818" t="s">
        <v>74</v>
      </c>
      <c r="Q818" t="s">
        <v>74</v>
      </c>
      <c r="R818" t="s">
        <v>74</v>
      </c>
      <c r="S818" t="s">
        <v>74</v>
      </c>
      <c r="T818" t="s">
        <v>15997</v>
      </c>
      <c r="U818" t="s">
        <v>15998</v>
      </c>
      <c r="V818" t="s">
        <v>15999</v>
      </c>
      <c r="W818" t="s">
        <v>16000</v>
      </c>
      <c r="X818" t="s">
        <v>16001</v>
      </c>
      <c r="Y818" t="s">
        <v>16002</v>
      </c>
      <c r="Z818" t="s">
        <v>16003</v>
      </c>
      <c r="AA818" t="s">
        <v>74</v>
      </c>
      <c r="AB818" t="s">
        <v>74</v>
      </c>
      <c r="AC818" t="s">
        <v>16004</v>
      </c>
      <c r="AD818" t="s">
        <v>16005</v>
      </c>
      <c r="AE818" t="s">
        <v>16006</v>
      </c>
      <c r="AF818" t="s">
        <v>74</v>
      </c>
      <c r="AG818">
        <v>41</v>
      </c>
      <c r="AH818">
        <v>2</v>
      </c>
      <c r="AI818">
        <v>2</v>
      </c>
      <c r="AJ818">
        <v>1</v>
      </c>
      <c r="AK818">
        <v>2</v>
      </c>
      <c r="AL818" t="s">
        <v>530</v>
      </c>
      <c r="AM818" t="s">
        <v>531</v>
      </c>
      <c r="AN818" t="s">
        <v>532</v>
      </c>
      <c r="AO818" t="s">
        <v>533</v>
      </c>
      <c r="AP818" t="s">
        <v>534</v>
      </c>
      <c r="AQ818" t="s">
        <v>74</v>
      </c>
      <c r="AR818" t="s">
        <v>535</v>
      </c>
      <c r="AS818" t="s">
        <v>536</v>
      </c>
      <c r="AT818" t="s">
        <v>8316</v>
      </c>
      <c r="AU818">
        <v>2022</v>
      </c>
      <c r="AV818">
        <v>45</v>
      </c>
      <c r="AW818">
        <v>4</v>
      </c>
      <c r="AX818" t="s">
        <v>74</v>
      </c>
      <c r="AY818" t="s">
        <v>74</v>
      </c>
      <c r="AZ818" t="s">
        <v>74</v>
      </c>
      <c r="BA818" t="s">
        <v>74</v>
      </c>
      <c r="BB818">
        <v>749</v>
      </c>
      <c r="BC818">
        <v>762</v>
      </c>
      <c r="BD818" t="s">
        <v>74</v>
      </c>
      <c r="BE818" t="s">
        <v>16007</v>
      </c>
      <c r="BF818" t="str">
        <f>HYPERLINK("http://dx.doi.org/10.1007/s00300-022-03030-7","http://dx.doi.org/10.1007/s00300-022-03030-7")</f>
        <v>http://dx.doi.org/10.1007/s00300-022-03030-7</v>
      </c>
      <c r="BG818" t="s">
        <v>74</v>
      </c>
      <c r="BH818" t="s">
        <v>12992</v>
      </c>
      <c r="BI818">
        <v>14</v>
      </c>
      <c r="BJ818" t="s">
        <v>539</v>
      </c>
      <c r="BK818" t="s">
        <v>101</v>
      </c>
      <c r="BL818" t="s">
        <v>540</v>
      </c>
      <c r="BM818" t="s">
        <v>15680</v>
      </c>
      <c r="BN818" t="s">
        <v>74</v>
      </c>
      <c r="BO818" t="s">
        <v>74</v>
      </c>
      <c r="BP818" t="s">
        <v>74</v>
      </c>
      <c r="BQ818" t="s">
        <v>74</v>
      </c>
      <c r="BR818" t="s">
        <v>103</v>
      </c>
      <c r="BS818" t="s">
        <v>16008</v>
      </c>
      <c r="BT818" t="str">
        <f>HYPERLINK("https%3A%2F%2Fwww.webofscience.com%2Fwos%2Fwoscc%2Ffull-record%2FWOS:000766457500001","View Full Record in Web of Science")</f>
        <v>View Full Record in Web of Science</v>
      </c>
    </row>
    <row r="819" spans="1:72" x14ac:dyDescent="0.15">
      <c r="A819" t="s">
        <v>72</v>
      </c>
      <c r="B819" t="s">
        <v>16009</v>
      </c>
      <c r="C819" t="s">
        <v>74</v>
      </c>
      <c r="D819" t="s">
        <v>74</v>
      </c>
      <c r="E819" t="s">
        <v>74</v>
      </c>
      <c r="F819" t="s">
        <v>16010</v>
      </c>
      <c r="G819" t="s">
        <v>74</v>
      </c>
      <c r="H819" t="s">
        <v>74</v>
      </c>
      <c r="I819" t="s">
        <v>16011</v>
      </c>
      <c r="J819" t="s">
        <v>4294</v>
      </c>
      <c r="K819" t="s">
        <v>74</v>
      </c>
      <c r="L819" t="s">
        <v>74</v>
      </c>
      <c r="M819" t="s">
        <v>78</v>
      </c>
      <c r="N819" t="s">
        <v>79</v>
      </c>
      <c r="O819" t="s">
        <v>74</v>
      </c>
      <c r="P819" t="s">
        <v>74</v>
      </c>
      <c r="Q819" t="s">
        <v>74</v>
      </c>
      <c r="R819" t="s">
        <v>74</v>
      </c>
      <c r="S819" t="s">
        <v>74</v>
      </c>
      <c r="T819" t="s">
        <v>74</v>
      </c>
      <c r="U819" t="s">
        <v>16012</v>
      </c>
      <c r="V819" t="s">
        <v>16013</v>
      </c>
      <c r="W819" t="s">
        <v>16014</v>
      </c>
      <c r="X819" t="s">
        <v>16015</v>
      </c>
      <c r="Y819" t="s">
        <v>16016</v>
      </c>
      <c r="Z819" t="s">
        <v>16017</v>
      </c>
      <c r="AA819" t="s">
        <v>16018</v>
      </c>
      <c r="AB819" t="s">
        <v>16019</v>
      </c>
      <c r="AC819" t="s">
        <v>16020</v>
      </c>
      <c r="AD819" t="s">
        <v>16021</v>
      </c>
      <c r="AE819" t="s">
        <v>16022</v>
      </c>
      <c r="AF819" t="s">
        <v>74</v>
      </c>
      <c r="AG819">
        <v>98</v>
      </c>
      <c r="AH819">
        <v>6</v>
      </c>
      <c r="AI819">
        <v>6</v>
      </c>
      <c r="AJ819">
        <v>3</v>
      </c>
      <c r="AK819">
        <v>15</v>
      </c>
      <c r="AL819" t="s">
        <v>455</v>
      </c>
      <c r="AM819" t="s">
        <v>456</v>
      </c>
      <c r="AN819" t="s">
        <v>457</v>
      </c>
      <c r="AO819" t="s">
        <v>4306</v>
      </c>
      <c r="AP819" t="s">
        <v>74</v>
      </c>
      <c r="AQ819" t="s">
        <v>74</v>
      </c>
      <c r="AR819" t="s">
        <v>4307</v>
      </c>
      <c r="AS819" t="s">
        <v>4308</v>
      </c>
      <c r="AT819" t="s">
        <v>16023</v>
      </c>
      <c r="AU819">
        <v>2022</v>
      </c>
      <c r="AV819">
        <v>12</v>
      </c>
      <c r="AW819">
        <v>1</v>
      </c>
      <c r="AX819" t="s">
        <v>74</v>
      </c>
      <c r="AY819" t="s">
        <v>74</v>
      </c>
      <c r="AZ819" t="s">
        <v>74</v>
      </c>
      <c r="BA819" t="s">
        <v>74</v>
      </c>
      <c r="BB819" t="s">
        <v>74</v>
      </c>
      <c r="BC819" t="s">
        <v>74</v>
      </c>
      <c r="BD819">
        <v>3767</v>
      </c>
      <c r="BE819" t="s">
        <v>16024</v>
      </c>
      <c r="BF819" t="str">
        <f>HYPERLINK("http://dx.doi.org/10.1038/s41598-022-07562-0","http://dx.doi.org/10.1038/s41598-022-07562-0")</f>
        <v>http://dx.doi.org/10.1038/s41598-022-07562-0</v>
      </c>
      <c r="BG819" t="s">
        <v>74</v>
      </c>
      <c r="BH819" t="s">
        <v>74</v>
      </c>
      <c r="BI819">
        <v>13</v>
      </c>
      <c r="BJ819" t="s">
        <v>657</v>
      </c>
      <c r="BK819" t="s">
        <v>101</v>
      </c>
      <c r="BL819" t="s">
        <v>658</v>
      </c>
      <c r="BM819" t="s">
        <v>16025</v>
      </c>
      <c r="BN819">
        <v>35260629</v>
      </c>
      <c r="BO819" t="s">
        <v>5588</v>
      </c>
      <c r="BP819" t="s">
        <v>74</v>
      </c>
      <c r="BQ819" t="s">
        <v>74</v>
      </c>
      <c r="BR819" t="s">
        <v>103</v>
      </c>
      <c r="BS819" t="s">
        <v>16026</v>
      </c>
      <c r="BT819" t="str">
        <f>HYPERLINK("https%3A%2F%2Fwww.webofscience.com%2Fwos%2Fwoscc%2Ffull-record%2FWOS:000826474600031","View Full Record in Web of Science")</f>
        <v>View Full Record in Web of Science</v>
      </c>
    </row>
    <row r="820" spans="1:72" x14ac:dyDescent="0.15">
      <c r="A820" t="s">
        <v>72</v>
      </c>
      <c r="B820" t="s">
        <v>16027</v>
      </c>
      <c r="C820" t="s">
        <v>74</v>
      </c>
      <c r="D820" t="s">
        <v>74</v>
      </c>
      <c r="E820" t="s">
        <v>74</v>
      </c>
      <c r="F820" t="s">
        <v>16028</v>
      </c>
      <c r="G820" t="s">
        <v>74</v>
      </c>
      <c r="H820" t="s">
        <v>74</v>
      </c>
      <c r="I820" t="s">
        <v>16029</v>
      </c>
      <c r="J820" t="s">
        <v>10656</v>
      </c>
      <c r="K820" t="s">
        <v>74</v>
      </c>
      <c r="L820" t="s">
        <v>74</v>
      </c>
      <c r="M820" t="s">
        <v>78</v>
      </c>
      <c r="N820" t="s">
        <v>79</v>
      </c>
      <c r="O820" t="s">
        <v>74</v>
      </c>
      <c r="P820" t="s">
        <v>74</v>
      </c>
      <c r="Q820" t="s">
        <v>74</v>
      </c>
      <c r="R820" t="s">
        <v>74</v>
      </c>
      <c r="S820" t="s">
        <v>74</v>
      </c>
      <c r="T820" t="s">
        <v>16030</v>
      </c>
      <c r="U820" t="s">
        <v>16031</v>
      </c>
      <c r="V820" t="s">
        <v>16032</v>
      </c>
      <c r="W820" t="s">
        <v>16033</v>
      </c>
      <c r="X820" t="s">
        <v>9219</v>
      </c>
      <c r="Y820" t="s">
        <v>16034</v>
      </c>
      <c r="Z820" t="s">
        <v>16035</v>
      </c>
      <c r="AA820" t="s">
        <v>74</v>
      </c>
      <c r="AB820" t="s">
        <v>16036</v>
      </c>
      <c r="AC820" t="s">
        <v>16037</v>
      </c>
      <c r="AD820" t="s">
        <v>16037</v>
      </c>
      <c r="AE820" t="s">
        <v>16038</v>
      </c>
      <c r="AF820" t="s">
        <v>74</v>
      </c>
      <c r="AG820">
        <v>95</v>
      </c>
      <c r="AH820">
        <v>3</v>
      </c>
      <c r="AI820">
        <v>3</v>
      </c>
      <c r="AJ820">
        <v>2</v>
      </c>
      <c r="AK820">
        <v>12</v>
      </c>
      <c r="AL820" t="s">
        <v>3228</v>
      </c>
      <c r="AM820" t="s">
        <v>200</v>
      </c>
      <c r="AN820" t="s">
        <v>3229</v>
      </c>
      <c r="AO820" t="s">
        <v>10669</v>
      </c>
      <c r="AP820" t="s">
        <v>10670</v>
      </c>
      <c r="AQ820" t="s">
        <v>74</v>
      </c>
      <c r="AR820" t="s">
        <v>10671</v>
      </c>
      <c r="AS820" t="s">
        <v>10672</v>
      </c>
      <c r="AT820" t="s">
        <v>537</v>
      </c>
      <c r="AU820">
        <v>2022</v>
      </c>
      <c r="AV820">
        <v>132</v>
      </c>
      <c r="AW820" t="s">
        <v>74</v>
      </c>
      <c r="AX820" t="s">
        <v>74</v>
      </c>
      <c r="AY820" t="s">
        <v>74</v>
      </c>
      <c r="AZ820" t="s">
        <v>74</v>
      </c>
      <c r="BA820" t="s">
        <v>74</v>
      </c>
      <c r="BB820">
        <v>237</v>
      </c>
      <c r="BC820">
        <v>246</v>
      </c>
      <c r="BD820" t="s">
        <v>74</v>
      </c>
      <c r="BE820" t="s">
        <v>16039</v>
      </c>
      <c r="BF820" t="str">
        <f>HYPERLINK("http://dx.doi.org/10.1016/j.envsci.2022.02.031","http://dx.doi.org/10.1016/j.envsci.2022.02.031")</f>
        <v>http://dx.doi.org/10.1016/j.envsci.2022.02.031</v>
      </c>
      <c r="BG820" t="s">
        <v>74</v>
      </c>
      <c r="BH820" t="s">
        <v>12992</v>
      </c>
      <c r="BI820">
        <v>10</v>
      </c>
      <c r="BJ820" t="s">
        <v>1104</v>
      </c>
      <c r="BK820" t="s">
        <v>101</v>
      </c>
      <c r="BL820" t="s">
        <v>840</v>
      </c>
      <c r="BM820" t="s">
        <v>16040</v>
      </c>
      <c r="BN820" t="s">
        <v>74</v>
      </c>
      <c r="BO820" t="s">
        <v>74</v>
      </c>
      <c r="BP820" t="s">
        <v>74</v>
      </c>
      <c r="BQ820" t="s">
        <v>74</v>
      </c>
      <c r="BR820" t="s">
        <v>103</v>
      </c>
      <c r="BS820" t="s">
        <v>16041</v>
      </c>
      <c r="BT820" t="str">
        <f>HYPERLINK("https%3A%2F%2Fwww.webofscience.com%2Fwos%2Fwoscc%2Ffull-record%2FWOS:000820083100002","View Full Record in Web of Science")</f>
        <v>View Full Record in Web of Science</v>
      </c>
    </row>
    <row r="821" spans="1:72" x14ac:dyDescent="0.15">
      <c r="A821" t="s">
        <v>72</v>
      </c>
      <c r="B821" t="s">
        <v>16042</v>
      </c>
      <c r="C821" t="s">
        <v>74</v>
      </c>
      <c r="D821" t="s">
        <v>74</v>
      </c>
      <c r="E821" t="s">
        <v>74</v>
      </c>
      <c r="F821" t="s">
        <v>16043</v>
      </c>
      <c r="G821" t="s">
        <v>74</v>
      </c>
      <c r="H821" t="s">
        <v>74</v>
      </c>
      <c r="I821" t="s">
        <v>16044</v>
      </c>
      <c r="J821" t="s">
        <v>13651</v>
      </c>
      <c r="K821" t="s">
        <v>74</v>
      </c>
      <c r="L821" t="s">
        <v>74</v>
      </c>
      <c r="M821" t="s">
        <v>78</v>
      </c>
      <c r="N821" t="s">
        <v>79</v>
      </c>
      <c r="O821" t="s">
        <v>74</v>
      </c>
      <c r="P821" t="s">
        <v>74</v>
      </c>
      <c r="Q821" t="s">
        <v>74</v>
      </c>
      <c r="R821" t="s">
        <v>74</v>
      </c>
      <c r="S821" t="s">
        <v>74</v>
      </c>
      <c r="T821" t="s">
        <v>16045</v>
      </c>
      <c r="U821" t="s">
        <v>16046</v>
      </c>
      <c r="V821" t="s">
        <v>16047</v>
      </c>
      <c r="W821" t="s">
        <v>16048</v>
      </c>
      <c r="X821" t="s">
        <v>16049</v>
      </c>
      <c r="Y821" t="s">
        <v>16050</v>
      </c>
      <c r="Z821" t="s">
        <v>16051</v>
      </c>
      <c r="AA821" t="s">
        <v>16052</v>
      </c>
      <c r="AB821" t="s">
        <v>16053</v>
      </c>
      <c r="AC821" t="s">
        <v>16054</v>
      </c>
      <c r="AD821" t="s">
        <v>16054</v>
      </c>
      <c r="AE821" t="s">
        <v>16055</v>
      </c>
      <c r="AF821" t="s">
        <v>74</v>
      </c>
      <c r="AG821">
        <v>258</v>
      </c>
      <c r="AH821">
        <v>7</v>
      </c>
      <c r="AI821">
        <v>7</v>
      </c>
      <c r="AJ821">
        <v>0</v>
      </c>
      <c r="AK821">
        <v>6</v>
      </c>
      <c r="AL821" t="s">
        <v>5126</v>
      </c>
      <c r="AM821" t="s">
        <v>5127</v>
      </c>
      <c r="AN821" t="s">
        <v>5128</v>
      </c>
      <c r="AO821" t="s">
        <v>13664</v>
      </c>
      <c r="AP821" t="s">
        <v>13665</v>
      </c>
      <c r="AQ821" t="s">
        <v>74</v>
      </c>
      <c r="AR821" t="s">
        <v>13651</v>
      </c>
      <c r="AS821" t="s">
        <v>13666</v>
      </c>
      <c r="AT821" t="s">
        <v>16023</v>
      </c>
      <c r="AU821">
        <v>2022</v>
      </c>
      <c r="AV821">
        <v>5107</v>
      </c>
      <c r="AW821">
        <v>1</v>
      </c>
      <c r="AX821" t="s">
        <v>74</v>
      </c>
      <c r="AY821" t="s">
        <v>74</v>
      </c>
      <c r="AZ821" t="s">
        <v>74</v>
      </c>
      <c r="BA821" t="s">
        <v>74</v>
      </c>
      <c r="BB821">
        <v>1</v>
      </c>
      <c r="BC821">
        <v>119</v>
      </c>
      <c r="BD821" t="s">
        <v>74</v>
      </c>
      <c r="BE821" t="s">
        <v>16056</v>
      </c>
      <c r="BF821" t="str">
        <f>HYPERLINK("http://dx.doi.org/10.11646/zootaxa.5107.1.1","http://dx.doi.org/10.11646/zootaxa.5107.1.1")</f>
        <v>http://dx.doi.org/10.11646/zootaxa.5107.1.1</v>
      </c>
      <c r="BG821" t="s">
        <v>74</v>
      </c>
      <c r="BH821" t="s">
        <v>74</v>
      </c>
      <c r="BI821">
        <v>119</v>
      </c>
      <c r="BJ821" t="s">
        <v>1054</v>
      </c>
      <c r="BK821" t="s">
        <v>101</v>
      </c>
      <c r="BL821" t="s">
        <v>1054</v>
      </c>
      <c r="BM821" t="s">
        <v>16057</v>
      </c>
      <c r="BN821">
        <v>35391393</v>
      </c>
      <c r="BO821" t="s">
        <v>74</v>
      </c>
      <c r="BP821" t="s">
        <v>74</v>
      </c>
      <c r="BQ821" t="s">
        <v>74</v>
      </c>
      <c r="BR821" t="s">
        <v>103</v>
      </c>
      <c r="BS821" t="s">
        <v>16058</v>
      </c>
      <c r="BT821" t="str">
        <f>HYPERLINK("https%3A%2F%2Fwww.webofscience.com%2Fwos%2Fwoscc%2Ffull-record%2FWOS:000768400300001","View Full Record in Web of Science")</f>
        <v>View Full Record in Web of Science</v>
      </c>
    </row>
    <row r="822" spans="1:72" x14ac:dyDescent="0.15">
      <c r="A822" t="s">
        <v>72</v>
      </c>
      <c r="B822" t="s">
        <v>16059</v>
      </c>
      <c r="C822" t="s">
        <v>74</v>
      </c>
      <c r="D822" t="s">
        <v>74</v>
      </c>
      <c r="E822" t="s">
        <v>74</v>
      </c>
      <c r="F822" t="s">
        <v>16060</v>
      </c>
      <c r="G822" t="s">
        <v>74</v>
      </c>
      <c r="H822" t="s">
        <v>74</v>
      </c>
      <c r="I822" t="s">
        <v>16061</v>
      </c>
      <c r="J822" t="s">
        <v>2999</v>
      </c>
      <c r="K822" t="s">
        <v>74</v>
      </c>
      <c r="L822" t="s">
        <v>74</v>
      </c>
      <c r="M822" t="s">
        <v>78</v>
      </c>
      <c r="N822" t="s">
        <v>79</v>
      </c>
      <c r="O822" t="s">
        <v>74</v>
      </c>
      <c r="P822" t="s">
        <v>74</v>
      </c>
      <c r="Q822" t="s">
        <v>74</v>
      </c>
      <c r="R822" t="s">
        <v>74</v>
      </c>
      <c r="S822" t="s">
        <v>74</v>
      </c>
      <c r="T822" t="s">
        <v>16062</v>
      </c>
      <c r="U822" t="s">
        <v>16063</v>
      </c>
      <c r="V822" t="s">
        <v>16064</v>
      </c>
      <c r="W822" t="s">
        <v>16065</v>
      </c>
      <c r="X822" t="s">
        <v>16066</v>
      </c>
      <c r="Y822" t="s">
        <v>16067</v>
      </c>
      <c r="Z822" t="s">
        <v>16068</v>
      </c>
      <c r="AA822" t="s">
        <v>16069</v>
      </c>
      <c r="AB822" t="s">
        <v>16070</v>
      </c>
      <c r="AC822" t="s">
        <v>16071</v>
      </c>
      <c r="AD822" t="s">
        <v>16072</v>
      </c>
      <c r="AE822" t="s">
        <v>16073</v>
      </c>
      <c r="AF822" t="s">
        <v>74</v>
      </c>
      <c r="AG822">
        <v>65</v>
      </c>
      <c r="AH822">
        <v>10</v>
      </c>
      <c r="AI822">
        <v>12</v>
      </c>
      <c r="AJ822">
        <v>0</v>
      </c>
      <c r="AK822">
        <v>8</v>
      </c>
      <c r="AL822" t="s">
        <v>3012</v>
      </c>
      <c r="AM822" t="s">
        <v>2043</v>
      </c>
      <c r="AN822" t="s">
        <v>3013</v>
      </c>
      <c r="AO822" t="s">
        <v>3014</v>
      </c>
      <c r="AP822" t="s">
        <v>3015</v>
      </c>
      <c r="AQ822" t="s">
        <v>74</v>
      </c>
      <c r="AR822" t="s">
        <v>3016</v>
      </c>
      <c r="AS822" t="s">
        <v>3017</v>
      </c>
      <c r="AT822" t="s">
        <v>16023</v>
      </c>
      <c r="AU822">
        <v>2022</v>
      </c>
      <c r="AV822">
        <v>119</v>
      </c>
      <c r="AW822">
        <v>10</v>
      </c>
      <c r="AX822" t="s">
        <v>74</v>
      </c>
      <c r="AY822" t="s">
        <v>74</v>
      </c>
      <c r="AZ822" t="s">
        <v>74</v>
      </c>
      <c r="BA822" t="s">
        <v>74</v>
      </c>
      <c r="BB822" t="s">
        <v>74</v>
      </c>
      <c r="BC822" t="s">
        <v>74</v>
      </c>
      <c r="BD822" t="s">
        <v>16074</v>
      </c>
      <c r="BE822" t="s">
        <v>16075</v>
      </c>
      <c r="BF822" t="str">
        <f>HYPERLINK("http://dx.doi.org/10.1073/pnas.2116036119","http://dx.doi.org/10.1073/pnas.2116036119")</f>
        <v>http://dx.doi.org/10.1073/pnas.2116036119</v>
      </c>
      <c r="BG822" t="s">
        <v>74</v>
      </c>
      <c r="BH822" t="s">
        <v>74</v>
      </c>
      <c r="BI822">
        <v>8</v>
      </c>
      <c r="BJ822" t="s">
        <v>657</v>
      </c>
      <c r="BK822" t="s">
        <v>101</v>
      </c>
      <c r="BL822" t="s">
        <v>658</v>
      </c>
      <c r="BM822" t="s">
        <v>16076</v>
      </c>
      <c r="BN822">
        <v>35193940</v>
      </c>
      <c r="BO822" t="s">
        <v>16077</v>
      </c>
      <c r="BP822" t="s">
        <v>74</v>
      </c>
      <c r="BQ822" t="s">
        <v>74</v>
      </c>
      <c r="BR822" t="s">
        <v>103</v>
      </c>
      <c r="BS822" t="s">
        <v>16078</v>
      </c>
      <c r="BT822" t="str">
        <f>HYPERLINK("https%3A%2F%2Fwww.webofscience.com%2Fwos%2Fwoscc%2Ffull-record%2FWOS:000772220900004","View Full Record in Web of Science")</f>
        <v>View Full Record in Web of Science</v>
      </c>
    </row>
    <row r="823" spans="1:72" x14ac:dyDescent="0.15">
      <c r="A823" t="s">
        <v>72</v>
      </c>
      <c r="B823" t="s">
        <v>16079</v>
      </c>
      <c r="C823" t="s">
        <v>74</v>
      </c>
      <c r="D823" t="s">
        <v>74</v>
      </c>
      <c r="E823" t="s">
        <v>74</v>
      </c>
      <c r="F823" t="s">
        <v>16080</v>
      </c>
      <c r="G823" t="s">
        <v>74</v>
      </c>
      <c r="H823" t="s">
        <v>74</v>
      </c>
      <c r="I823" t="s">
        <v>16081</v>
      </c>
      <c r="J823" t="s">
        <v>3691</v>
      </c>
      <c r="K823" t="s">
        <v>74</v>
      </c>
      <c r="L823" t="s">
        <v>74</v>
      </c>
      <c r="M823" t="s">
        <v>78</v>
      </c>
      <c r="N823" t="s">
        <v>79</v>
      </c>
      <c r="O823" t="s">
        <v>74</v>
      </c>
      <c r="P823" t="s">
        <v>74</v>
      </c>
      <c r="Q823" t="s">
        <v>74</v>
      </c>
      <c r="R823" t="s">
        <v>74</v>
      </c>
      <c r="S823" t="s">
        <v>74</v>
      </c>
      <c r="T823" t="s">
        <v>16082</v>
      </c>
      <c r="U823" t="s">
        <v>16083</v>
      </c>
      <c r="V823" t="s">
        <v>16084</v>
      </c>
      <c r="W823" t="s">
        <v>16085</v>
      </c>
      <c r="X823" t="s">
        <v>16086</v>
      </c>
      <c r="Y823" t="s">
        <v>16087</v>
      </c>
      <c r="Z823" t="s">
        <v>16088</v>
      </c>
      <c r="AA823" t="s">
        <v>74</v>
      </c>
      <c r="AB823" t="s">
        <v>16089</v>
      </c>
      <c r="AC823" t="s">
        <v>16090</v>
      </c>
      <c r="AD823" t="s">
        <v>4081</v>
      </c>
      <c r="AE823" t="s">
        <v>16091</v>
      </c>
      <c r="AF823" t="s">
        <v>74</v>
      </c>
      <c r="AG823">
        <v>45</v>
      </c>
      <c r="AH823">
        <v>0</v>
      </c>
      <c r="AI823">
        <v>0</v>
      </c>
      <c r="AJ823">
        <v>1</v>
      </c>
      <c r="AK823">
        <v>4</v>
      </c>
      <c r="AL823" t="s">
        <v>428</v>
      </c>
      <c r="AM823" t="s">
        <v>531</v>
      </c>
      <c r="AN823" t="s">
        <v>748</v>
      </c>
      <c r="AO823" t="s">
        <v>3700</v>
      </c>
      <c r="AP823" t="s">
        <v>3701</v>
      </c>
      <c r="AQ823" t="s">
        <v>74</v>
      </c>
      <c r="AR823" t="s">
        <v>3702</v>
      </c>
      <c r="AS823" t="s">
        <v>3703</v>
      </c>
      <c r="AT823" t="s">
        <v>16023</v>
      </c>
      <c r="AU823">
        <v>2022</v>
      </c>
      <c r="AV823">
        <v>58</v>
      </c>
      <c r="AW823" t="s">
        <v>74</v>
      </c>
      <c r="AX823" t="s">
        <v>74</v>
      </c>
      <c r="AY823" t="s">
        <v>74</v>
      </c>
      <c r="AZ823" t="s">
        <v>74</v>
      </c>
      <c r="BA823" t="s">
        <v>74</v>
      </c>
      <c r="BB823" t="s">
        <v>74</v>
      </c>
      <c r="BC823" t="s">
        <v>74</v>
      </c>
      <c r="BD823" t="s">
        <v>16092</v>
      </c>
      <c r="BE823" t="s">
        <v>16093</v>
      </c>
      <c r="BF823" t="str">
        <f>HYPERLINK("http://dx.doi.org/10.1017/S0032247422000031","http://dx.doi.org/10.1017/S0032247422000031")</f>
        <v>http://dx.doi.org/10.1017/S0032247422000031</v>
      </c>
      <c r="BG823" t="s">
        <v>74</v>
      </c>
      <c r="BH823" t="s">
        <v>74</v>
      </c>
      <c r="BI823">
        <v>8</v>
      </c>
      <c r="BJ823" t="s">
        <v>2665</v>
      </c>
      <c r="BK823" t="s">
        <v>101</v>
      </c>
      <c r="BL823" t="s">
        <v>840</v>
      </c>
      <c r="BM823" t="s">
        <v>16094</v>
      </c>
      <c r="BN823" t="s">
        <v>74</v>
      </c>
      <c r="BO823" t="s">
        <v>74</v>
      </c>
      <c r="BP823" t="s">
        <v>74</v>
      </c>
      <c r="BQ823" t="s">
        <v>74</v>
      </c>
      <c r="BR823" t="s">
        <v>103</v>
      </c>
      <c r="BS823" t="s">
        <v>16095</v>
      </c>
      <c r="BT823" t="str">
        <f>HYPERLINK("https%3A%2F%2Fwww.webofscience.com%2Fwos%2Fwoscc%2Ffull-record%2FWOS:000765752200001","View Full Record in Web of Science")</f>
        <v>View Full Record in Web of Science</v>
      </c>
    </row>
    <row r="824" spans="1:72" x14ac:dyDescent="0.15">
      <c r="A824" t="s">
        <v>72</v>
      </c>
      <c r="B824" t="s">
        <v>16096</v>
      </c>
      <c r="C824" t="s">
        <v>74</v>
      </c>
      <c r="D824" t="s">
        <v>74</v>
      </c>
      <c r="E824" t="s">
        <v>74</v>
      </c>
      <c r="F824" t="s">
        <v>16097</v>
      </c>
      <c r="G824" t="s">
        <v>74</v>
      </c>
      <c r="H824" t="s">
        <v>74</v>
      </c>
      <c r="I824" t="s">
        <v>16098</v>
      </c>
      <c r="J824" t="s">
        <v>108</v>
      </c>
      <c r="K824" t="s">
        <v>74</v>
      </c>
      <c r="L824" t="s">
        <v>74</v>
      </c>
      <c r="M824" t="s">
        <v>78</v>
      </c>
      <c r="N824" t="s">
        <v>79</v>
      </c>
      <c r="O824" t="s">
        <v>74</v>
      </c>
      <c r="P824" t="s">
        <v>74</v>
      </c>
      <c r="Q824" t="s">
        <v>74</v>
      </c>
      <c r="R824" t="s">
        <v>74</v>
      </c>
      <c r="S824" t="s">
        <v>74</v>
      </c>
      <c r="T824" t="s">
        <v>74</v>
      </c>
      <c r="U824" t="s">
        <v>16099</v>
      </c>
      <c r="V824" t="s">
        <v>16100</v>
      </c>
      <c r="W824" t="s">
        <v>16101</v>
      </c>
      <c r="X824" t="s">
        <v>16102</v>
      </c>
      <c r="Y824" t="s">
        <v>16103</v>
      </c>
      <c r="Z824" t="s">
        <v>16104</v>
      </c>
      <c r="AA824" t="s">
        <v>16105</v>
      </c>
      <c r="AB824" t="s">
        <v>16106</v>
      </c>
      <c r="AC824" t="s">
        <v>16107</v>
      </c>
      <c r="AD824" t="s">
        <v>16108</v>
      </c>
      <c r="AE824" t="s">
        <v>16109</v>
      </c>
      <c r="AF824" t="s">
        <v>74</v>
      </c>
      <c r="AG824">
        <v>70</v>
      </c>
      <c r="AH824">
        <v>3</v>
      </c>
      <c r="AI824">
        <v>4</v>
      </c>
      <c r="AJ824">
        <v>0</v>
      </c>
      <c r="AK824">
        <v>3</v>
      </c>
      <c r="AL824" t="s">
        <v>117</v>
      </c>
      <c r="AM824" t="s">
        <v>118</v>
      </c>
      <c r="AN824" t="s">
        <v>119</v>
      </c>
      <c r="AO824" t="s">
        <v>120</v>
      </c>
      <c r="AP824" t="s">
        <v>121</v>
      </c>
      <c r="AQ824" t="s">
        <v>74</v>
      </c>
      <c r="AR824" t="s">
        <v>108</v>
      </c>
      <c r="AS824" t="s">
        <v>122</v>
      </c>
      <c r="AT824" t="s">
        <v>16023</v>
      </c>
      <c r="AU824">
        <v>2022</v>
      </c>
      <c r="AV824">
        <v>16</v>
      </c>
      <c r="AW824">
        <v>3</v>
      </c>
      <c r="AX824" t="s">
        <v>74</v>
      </c>
      <c r="AY824" t="s">
        <v>74</v>
      </c>
      <c r="AZ824" t="s">
        <v>74</v>
      </c>
      <c r="BA824" t="s">
        <v>74</v>
      </c>
      <c r="BB824">
        <v>761</v>
      </c>
      <c r="BC824">
        <v>778</v>
      </c>
      <c r="BD824" t="s">
        <v>74</v>
      </c>
      <c r="BE824" t="s">
        <v>16110</v>
      </c>
      <c r="BF824" t="str">
        <f>HYPERLINK("http://dx.doi.org/10.5194/tc-16-761-2022","http://dx.doi.org/10.5194/tc-16-761-2022")</f>
        <v>http://dx.doi.org/10.5194/tc-16-761-2022</v>
      </c>
      <c r="BG824" t="s">
        <v>74</v>
      </c>
      <c r="BH824" t="s">
        <v>74</v>
      </c>
      <c r="BI824">
        <v>18</v>
      </c>
      <c r="BJ824" t="s">
        <v>125</v>
      </c>
      <c r="BK824" t="s">
        <v>101</v>
      </c>
      <c r="BL824" t="s">
        <v>126</v>
      </c>
      <c r="BM824" t="s">
        <v>16111</v>
      </c>
      <c r="BN824" t="s">
        <v>74</v>
      </c>
      <c r="BO824" t="s">
        <v>2560</v>
      </c>
      <c r="BP824" t="s">
        <v>74</v>
      </c>
      <c r="BQ824" t="s">
        <v>74</v>
      </c>
      <c r="BR824" t="s">
        <v>103</v>
      </c>
      <c r="BS824" t="s">
        <v>16112</v>
      </c>
      <c r="BT824" t="str">
        <f>HYPERLINK("https%3A%2F%2Fwww.webofscience.com%2Fwos%2Fwoscc%2Ffull-record%2FWOS:000768218900001","View Full Record in Web of Science")</f>
        <v>View Full Record in Web of Science</v>
      </c>
    </row>
    <row r="825" spans="1:72" x14ac:dyDescent="0.15">
      <c r="A825" t="s">
        <v>72</v>
      </c>
      <c r="B825" t="s">
        <v>16113</v>
      </c>
      <c r="C825" t="s">
        <v>74</v>
      </c>
      <c r="D825" t="s">
        <v>74</v>
      </c>
      <c r="E825" t="s">
        <v>74</v>
      </c>
      <c r="F825" t="s">
        <v>16114</v>
      </c>
      <c r="G825" t="s">
        <v>74</v>
      </c>
      <c r="H825" t="s">
        <v>74</v>
      </c>
      <c r="I825" t="s">
        <v>16115</v>
      </c>
      <c r="J825" t="s">
        <v>8020</v>
      </c>
      <c r="K825" t="s">
        <v>74</v>
      </c>
      <c r="L825" t="s">
        <v>74</v>
      </c>
      <c r="M825" t="s">
        <v>78</v>
      </c>
      <c r="N825" t="s">
        <v>79</v>
      </c>
      <c r="O825" t="s">
        <v>74</v>
      </c>
      <c r="P825" t="s">
        <v>74</v>
      </c>
      <c r="Q825" t="s">
        <v>74</v>
      </c>
      <c r="R825" t="s">
        <v>74</v>
      </c>
      <c r="S825" t="s">
        <v>74</v>
      </c>
      <c r="T825" t="s">
        <v>16116</v>
      </c>
      <c r="U825" t="s">
        <v>16117</v>
      </c>
      <c r="V825" t="s">
        <v>16118</v>
      </c>
      <c r="W825" t="s">
        <v>16119</v>
      </c>
      <c r="X825" t="s">
        <v>16120</v>
      </c>
      <c r="Y825" t="s">
        <v>16121</v>
      </c>
      <c r="Z825" t="s">
        <v>16122</v>
      </c>
      <c r="AA825" t="s">
        <v>16123</v>
      </c>
      <c r="AB825" t="s">
        <v>16124</v>
      </c>
      <c r="AC825" t="s">
        <v>16125</v>
      </c>
      <c r="AD825" t="s">
        <v>16126</v>
      </c>
      <c r="AE825" t="s">
        <v>16127</v>
      </c>
      <c r="AF825" t="s">
        <v>74</v>
      </c>
      <c r="AG825">
        <v>48</v>
      </c>
      <c r="AH825">
        <v>18</v>
      </c>
      <c r="AI825">
        <v>18</v>
      </c>
      <c r="AJ825">
        <v>1</v>
      </c>
      <c r="AK825">
        <v>14</v>
      </c>
      <c r="AL825" t="s">
        <v>91</v>
      </c>
      <c r="AM825" t="s">
        <v>92</v>
      </c>
      <c r="AN825" t="s">
        <v>93</v>
      </c>
      <c r="AO825" t="s">
        <v>74</v>
      </c>
      <c r="AP825" t="s">
        <v>8033</v>
      </c>
      <c r="AQ825" t="s">
        <v>74</v>
      </c>
      <c r="AR825" t="s">
        <v>8034</v>
      </c>
      <c r="AS825" t="s">
        <v>8035</v>
      </c>
      <c r="AT825" t="s">
        <v>8316</v>
      </c>
      <c r="AU825">
        <v>2022</v>
      </c>
      <c r="AV825">
        <v>4</v>
      </c>
      <c r="AW825">
        <v>4</v>
      </c>
      <c r="AX825" t="s">
        <v>74</v>
      </c>
      <c r="AY825" t="s">
        <v>74</v>
      </c>
      <c r="AZ825" t="s">
        <v>74</v>
      </c>
      <c r="BA825" t="s">
        <v>74</v>
      </c>
      <c r="BB825" t="s">
        <v>74</v>
      </c>
      <c r="BC825" t="s">
        <v>74</v>
      </c>
      <c r="BD825" t="s">
        <v>16128</v>
      </c>
      <c r="BE825" t="s">
        <v>16129</v>
      </c>
      <c r="BF825" t="str">
        <f>HYPERLINK("http://dx.doi.org/10.1111/csp2.12635","http://dx.doi.org/10.1111/csp2.12635")</f>
        <v>http://dx.doi.org/10.1111/csp2.12635</v>
      </c>
      <c r="BG825" t="s">
        <v>74</v>
      </c>
      <c r="BH825" t="s">
        <v>12992</v>
      </c>
      <c r="BI825">
        <v>14</v>
      </c>
      <c r="BJ825" t="s">
        <v>8038</v>
      </c>
      <c r="BK825" t="s">
        <v>101</v>
      </c>
      <c r="BL825" t="s">
        <v>8039</v>
      </c>
      <c r="BM825" t="s">
        <v>16130</v>
      </c>
      <c r="BN825" t="s">
        <v>74</v>
      </c>
      <c r="BO825" t="s">
        <v>2709</v>
      </c>
      <c r="BP825" t="s">
        <v>74</v>
      </c>
      <c r="BQ825" t="s">
        <v>74</v>
      </c>
      <c r="BR825" t="s">
        <v>103</v>
      </c>
      <c r="BS825" t="s">
        <v>16131</v>
      </c>
      <c r="BT825" t="str">
        <f>HYPERLINK("https%3A%2F%2Fwww.webofscience.com%2Fwos%2Fwoscc%2Ffull-record%2FWOS:000765723900001","View Full Record in Web of Science")</f>
        <v>View Full Record in Web of Science</v>
      </c>
    </row>
    <row r="826" spans="1:72" x14ac:dyDescent="0.15">
      <c r="A826" t="s">
        <v>72</v>
      </c>
      <c r="B826" t="s">
        <v>16132</v>
      </c>
      <c r="C826" t="s">
        <v>74</v>
      </c>
      <c r="D826" t="s">
        <v>74</v>
      </c>
      <c r="E826" t="s">
        <v>74</v>
      </c>
      <c r="F826" t="s">
        <v>16133</v>
      </c>
      <c r="G826" t="s">
        <v>74</v>
      </c>
      <c r="H826" t="s">
        <v>74</v>
      </c>
      <c r="I826" t="s">
        <v>16134</v>
      </c>
      <c r="J826" t="s">
        <v>16135</v>
      </c>
      <c r="K826" t="s">
        <v>74</v>
      </c>
      <c r="L826" t="s">
        <v>74</v>
      </c>
      <c r="M826" t="s">
        <v>78</v>
      </c>
      <c r="N826" t="s">
        <v>79</v>
      </c>
      <c r="O826" t="s">
        <v>74</v>
      </c>
      <c r="P826" t="s">
        <v>74</v>
      </c>
      <c r="Q826" t="s">
        <v>74</v>
      </c>
      <c r="R826" t="s">
        <v>74</v>
      </c>
      <c r="S826" t="s">
        <v>74</v>
      </c>
      <c r="T826" t="s">
        <v>16136</v>
      </c>
      <c r="U826" t="s">
        <v>16137</v>
      </c>
      <c r="V826" t="s">
        <v>16138</v>
      </c>
      <c r="W826" t="s">
        <v>16139</v>
      </c>
      <c r="X826" t="s">
        <v>16140</v>
      </c>
      <c r="Y826" t="s">
        <v>16141</v>
      </c>
      <c r="Z826" t="s">
        <v>16142</v>
      </c>
      <c r="AA826" t="s">
        <v>16143</v>
      </c>
      <c r="AB826" t="s">
        <v>16144</v>
      </c>
      <c r="AC826" t="s">
        <v>16145</v>
      </c>
      <c r="AD826" t="s">
        <v>16145</v>
      </c>
      <c r="AE826" t="s">
        <v>16146</v>
      </c>
      <c r="AF826" t="s">
        <v>74</v>
      </c>
      <c r="AG826">
        <v>119</v>
      </c>
      <c r="AH826">
        <v>4</v>
      </c>
      <c r="AI826">
        <v>4</v>
      </c>
      <c r="AJ826">
        <v>4</v>
      </c>
      <c r="AK826">
        <v>17</v>
      </c>
      <c r="AL826" t="s">
        <v>91</v>
      </c>
      <c r="AM826" t="s">
        <v>92</v>
      </c>
      <c r="AN826" t="s">
        <v>93</v>
      </c>
      <c r="AO826" t="s">
        <v>16147</v>
      </c>
      <c r="AP826" t="s">
        <v>16148</v>
      </c>
      <c r="AQ826" t="s">
        <v>74</v>
      </c>
      <c r="AR826" t="s">
        <v>16149</v>
      </c>
      <c r="AS826" t="s">
        <v>16150</v>
      </c>
      <c r="AT826" t="s">
        <v>206</v>
      </c>
      <c r="AU826">
        <v>2022</v>
      </c>
      <c r="AV826">
        <v>57</v>
      </c>
      <c r="AW826">
        <v>7</v>
      </c>
      <c r="AX826" t="s">
        <v>74</v>
      </c>
      <c r="AY826" t="s">
        <v>74</v>
      </c>
      <c r="AZ826" t="s">
        <v>74</v>
      </c>
      <c r="BA826" t="s">
        <v>74</v>
      </c>
      <c r="BB826">
        <v>2581</v>
      </c>
      <c r="BC826">
        <v>2607</v>
      </c>
      <c r="BD826" t="s">
        <v>74</v>
      </c>
      <c r="BE826" t="s">
        <v>16151</v>
      </c>
      <c r="BF826" t="str">
        <f>HYPERLINK("http://dx.doi.org/10.1002/gj.4430","http://dx.doi.org/10.1002/gj.4430")</f>
        <v>http://dx.doi.org/10.1002/gj.4430</v>
      </c>
      <c r="BG826" t="s">
        <v>74</v>
      </c>
      <c r="BH826" t="s">
        <v>12992</v>
      </c>
      <c r="BI826">
        <v>27</v>
      </c>
      <c r="BJ826" t="s">
        <v>265</v>
      </c>
      <c r="BK826" t="s">
        <v>101</v>
      </c>
      <c r="BL826" t="s">
        <v>100</v>
      </c>
      <c r="BM826" t="s">
        <v>16152</v>
      </c>
      <c r="BN826" t="s">
        <v>74</v>
      </c>
      <c r="BO826" t="s">
        <v>74</v>
      </c>
      <c r="BP826" t="s">
        <v>74</v>
      </c>
      <c r="BQ826" t="s">
        <v>74</v>
      </c>
      <c r="BR826" t="s">
        <v>103</v>
      </c>
      <c r="BS826" t="s">
        <v>16153</v>
      </c>
      <c r="BT826" t="str">
        <f>HYPERLINK("https%3A%2F%2Fwww.webofscience.com%2Fwos%2Fwoscc%2Ffull-record%2FWOS:000765923700001","View Full Record in Web of Science")</f>
        <v>View Full Record in Web of Science</v>
      </c>
    </row>
    <row r="827" spans="1:72" x14ac:dyDescent="0.15">
      <c r="A827" t="s">
        <v>72</v>
      </c>
      <c r="B827" t="s">
        <v>16154</v>
      </c>
      <c r="C827" t="s">
        <v>74</v>
      </c>
      <c r="D827" t="s">
        <v>74</v>
      </c>
      <c r="E827" t="s">
        <v>74</v>
      </c>
      <c r="F827" t="s">
        <v>16155</v>
      </c>
      <c r="G827" t="s">
        <v>74</v>
      </c>
      <c r="H827" t="s">
        <v>74</v>
      </c>
      <c r="I827" t="s">
        <v>16156</v>
      </c>
      <c r="J827" t="s">
        <v>4476</v>
      </c>
      <c r="K827" t="s">
        <v>74</v>
      </c>
      <c r="L827" t="s">
        <v>74</v>
      </c>
      <c r="M827" t="s">
        <v>78</v>
      </c>
      <c r="N827" t="s">
        <v>161</v>
      </c>
      <c r="O827" t="s">
        <v>74</v>
      </c>
      <c r="P827" t="s">
        <v>74</v>
      </c>
      <c r="Q827" t="s">
        <v>74</v>
      </c>
      <c r="R827" t="s">
        <v>74</v>
      </c>
      <c r="S827" t="s">
        <v>74</v>
      </c>
      <c r="T827" t="s">
        <v>16157</v>
      </c>
      <c r="U827" t="s">
        <v>16158</v>
      </c>
      <c r="V827" t="s">
        <v>16159</v>
      </c>
      <c r="W827" t="s">
        <v>16160</v>
      </c>
      <c r="X827" t="s">
        <v>16161</v>
      </c>
      <c r="Y827" t="s">
        <v>16162</v>
      </c>
      <c r="Z827" t="s">
        <v>16163</v>
      </c>
      <c r="AA827" t="s">
        <v>16164</v>
      </c>
      <c r="AB827" t="s">
        <v>16165</v>
      </c>
      <c r="AC827" t="s">
        <v>16166</v>
      </c>
      <c r="AD827" t="s">
        <v>16167</v>
      </c>
      <c r="AE827" t="s">
        <v>16168</v>
      </c>
      <c r="AF827" t="s">
        <v>74</v>
      </c>
      <c r="AG827">
        <v>140</v>
      </c>
      <c r="AH827">
        <v>9</v>
      </c>
      <c r="AI827">
        <v>10</v>
      </c>
      <c r="AJ827">
        <v>9</v>
      </c>
      <c r="AK827">
        <v>48</v>
      </c>
      <c r="AL827" t="s">
        <v>633</v>
      </c>
      <c r="AM827" t="s">
        <v>200</v>
      </c>
      <c r="AN827" t="s">
        <v>634</v>
      </c>
      <c r="AO827" t="s">
        <v>4486</v>
      </c>
      <c r="AP827" t="s">
        <v>4487</v>
      </c>
      <c r="AQ827" t="s">
        <v>74</v>
      </c>
      <c r="AR827" t="s">
        <v>4488</v>
      </c>
      <c r="AS827" t="s">
        <v>4489</v>
      </c>
      <c r="AT827" t="s">
        <v>4490</v>
      </c>
      <c r="AU827">
        <v>2022</v>
      </c>
      <c r="AV827">
        <v>73</v>
      </c>
      <c r="AW827">
        <v>13</v>
      </c>
      <c r="AX827" t="s">
        <v>74</v>
      </c>
      <c r="AY827" t="s">
        <v>74</v>
      </c>
      <c r="AZ827" t="s">
        <v>772</v>
      </c>
      <c r="BA827" t="s">
        <v>74</v>
      </c>
      <c r="BB827">
        <v>4396</v>
      </c>
      <c r="BC827">
        <v>4411</v>
      </c>
      <c r="BD827" t="s">
        <v>74</v>
      </c>
      <c r="BE827" t="s">
        <v>16169</v>
      </c>
      <c r="BF827" t="str">
        <f>HYPERLINK("http://dx.doi.org/10.1093/jxb/erac085","http://dx.doi.org/10.1093/jxb/erac085")</f>
        <v>http://dx.doi.org/10.1093/jxb/erac085</v>
      </c>
      <c r="BG827" t="s">
        <v>74</v>
      </c>
      <c r="BH827" t="s">
        <v>12992</v>
      </c>
      <c r="BI827">
        <v>16</v>
      </c>
      <c r="BJ827" t="s">
        <v>1649</v>
      </c>
      <c r="BK827" t="s">
        <v>101</v>
      </c>
      <c r="BL827" t="s">
        <v>1649</v>
      </c>
      <c r="BM827" t="s">
        <v>4492</v>
      </c>
      <c r="BN827">
        <v>35259256</v>
      </c>
      <c r="BO827" t="s">
        <v>1033</v>
      </c>
      <c r="BP827" t="s">
        <v>74</v>
      </c>
      <c r="BQ827" t="s">
        <v>74</v>
      </c>
      <c r="BR827" t="s">
        <v>103</v>
      </c>
      <c r="BS827" t="s">
        <v>16170</v>
      </c>
      <c r="BT827" t="str">
        <f>HYPERLINK("https%3A%2F%2Fwww.webofscience.com%2Fwos%2Fwoscc%2Ffull-record%2FWOS:000787263600001","View Full Record in Web of Science")</f>
        <v>View Full Record in Web of Science</v>
      </c>
    </row>
    <row r="828" spans="1:72" x14ac:dyDescent="0.15">
      <c r="A828" t="s">
        <v>72</v>
      </c>
      <c r="B828" t="s">
        <v>16171</v>
      </c>
      <c r="C828" t="s">
        <v>74</v>
      </c>
      <c r="D828" t="s">
        <v>74</v>
      </c>
      <c r="E828" t="s">
        <v>74</v>
      </c>
      <c r="F828" t="s">
        <v>16172</v>
      </c>
      <c r="G828" t="s">
        <v>74</v>
      </c>
      <c r="H828" t="s">
        <v>74</v>
      </c>
      <c r="I828" t="s">
        <v>16173</v>
      </c>
      <c r="J828" t="s">
        <v>329</v>
      </c>
      <c r="K828" t="s">
        <v>74</v>
      </c>
      <c r="L828" t="s">
        <v>74</v>
      </c>
      <c r="M828" t="s">
        <v>78</v>
      </c>
      <c r="N828" t="s">
        <v>79</v>
      </c>
      <c r="O828" t="s">
        <v>74</v>
      </c>
      <c r="P828" t="s">
        <v>74</v>
      </c>
      <c r="Q828" t="s">
        <v>74</v>
      </c>
      <c r="R828" t="s">
        <v>74</v>
      </c>
      <c r="S828" t="s">
        <v>74</v>
      </c>
      <c r="T828" t="s">
        <v>16174</v>
      </c>
      <c r="U828" t="s">
        <v>16175</v>
      </c>
      <c r="V828" t="s">
        <v>16176</v>
      </c>
      <c r="W828" t="s">
        <v>16177</v>
      </c>
      <c r="X828" t="s">
        <v>16178</v>
      </c>
      <c r="Y828" t="s">
        <v>16179</v>
      </c>
      <c r="Z828" t="s">
        <v>16180</v>
      </c>
      <c r="AA828" t="s">
        <v>74</v>
      </c>
      <c r="AB828" t="s">
        <v>74</v>
      </c>
      <c r="AC828" t="s">
        <v>16181</v>
      </c>
      <c r="AD828" t="s">
        <v>16182</v>
      </c>
      <c r="AE828" t="s">
        <v>16183</v>
      </c>
      <c r="AF828" t="s">
        <v>74</v>
      </c>
      <c r="AG828">
        <v>32</v>
      </c>
      <c r="AH828">
        <v>0</v>
      </c>
      <c r="AI828">
        <v>0</v>
      </c>
      <c r="AJ828">
        <v>0</v>
      </c>
      <c r="AK828">
        <v>6</v>
      </c>
      <c r="AL828" t="s">
        <v>199</v>
      </c>
      <c r="AM828" t="s">
        <v>200</v>
      </c>
      <c r="AN828" t="s">
        <v>201</v>
      </c>
      <c r="AO828" t="s">
        <v>342</v>
      </c>
      <c r="AP828" t="s">
        <v>343</v>
      </c>
      <c r="AQ828" t="s">
        <v>74</v>
      </c>
      <c r="AR828" t="s">
        <v>344</v>
      </c>
      <c r="AS828" t="s">
        <v>345</v>
      </c>
      <c r="AT828" t="s">
        <v>5076</v>
      </c>
      <c r="AU828">
        <v>2022</v>
      </c>
      <c r="AV828">
        <v>183</v>
      </c>
      <c r="AW828" t="s">
        <v>74</v>
      </c>
      <c r="AX828" t="s">
        <v>74</v>
      </c>
      <c r="AY828" t="s">
        <v>74</v>
      </c>
      <c r="AZ828" t="s">
        <v>74</v>
      </c>
      <c r="BA828" t="s">
        <v>74</v>
      </c>
      <c r="BB828" t="s">
        <v>74</v>
      </c>
      <c r="BC828" t="s">
        <v>74</v>
      </c>
      <c r="BD828">
        <v>103725</v>
      </c>
      <c r="BE828" t="s">
        <v>16184</v>
      </c>
      <c r="BF828" t="str">
        <f>HYPERLINK("http://dx.doi.org/10.1016/j.dsr.2022.103725","http://dx.doi.org/10.1016/j.dsr.2022.103725")</f>
        <v>http://dx.doi.org/10.1016/j.dsr.2022.103725</v>
      </c>
      <c r="BG828" t="s">
        <v>74</v>
      </c>
      <c r="BH828" t="s">
        <v>12992</v>
      </c>
      <c r="BI828">
        <v>8</v>
      </c>
      <c r="BJ828" t="s">
        <v>208</v>
      </c>
      <c r="BK828" t="s">
        <v>101</v>
      </c>
      <c r="BL828" t="s">
        <v>208</v>
      </c>
      <c r="BM828" t="s">
        <v>16185</v>
      </c>
      <c r="BN828" t="s">
        <v>74</v>
      </c>
      <c r="BO828" t="s">
        <v>267</v>
      </c>
      <c r="BP828" t="s">
        <v>74</v>
      </c>
      <c r="BQ828" t="s">
        <v>74</v>
      </c>
      <c r="BR828" t="s">
        <v>103</v>
      </c>
      <c r="BS828" t="s">
        <v>16186</v>
      </c>
      <c r="BT828" t="str">
        <f>HYPERLINK("https%3A%2F%2Fwww.webofscience.com%2Fwos%2Fwoscc%2Ffull-record%2FWOS:000790391700002","View Full Record in Web of Science")</f>
        <v>View Full Record in Web of Science</v>
      </c>
    </row>
    <row r="829" spans="1:72" x14ac:dyDescent="0.15">
      <c r="A829" t="s">
        <v>72</v>
      </c>
      <c r="B829" t="s">
        <v>16187</v>
      </c>
      <c r="C829" t="s">
        <v>74</v>
      </c>
      <c r="D829" t="s">
        <v>74</v>
      </c>
      <c r="E829" t="s">
        <v>74</v>
      </c>
      <c r="F829" t="s">
        <v>16188</v>
      </c>
      <c r="G829" t="s">
        <v>74</v>
      </c>
      <c r="H829" t="s">
        <v>74</v>
      </c>
      <c r="I829" t="s">
        <v>16189</v>
      </c>
      <c r="J829" t="s">
        <v>16190</v>
      </c>
      <c r="K829" t="s">
        <v>74</v>
      </c>
      <c r="L829" t="s">
        <v>74</v>
      </c>
      <c r="M829" t="s">
        <v>78</v>
      </c>
      <c r="N829" t="s">
        <v>79</v>
      </c>
      <c r="O829" t="s">
        <v>74</v>
      </c>
      <c r="P829" t="s">
        <v>74</v>
      </c>
      <c r="Q829" t="s">
        <v>74</v>
      </c>
      <c r="R829" t="s">
        <v>74</v>
      </c>
      <c r="S829" t="s">
        <v>74</v>
      </c>
      <c r="T829" t="s">
        <v>16191</v>
      </c>
      <c r="U829" t="s">
        <v>16192</v>
      </c>
      <c r="V829" t="s">
        <v>16193</v>
      </c>
      <c r="W829" t="s">
        <v>16194</v>
      </c>
      <c r="X829" t="s">
        <v>16195</v>
      </c>
      <c r="Y829" t="s">
        <v>16196</v>
      </c>
      <c r="Z829" t="s">
        <v>16197</v>
      </c>
      <c r="AA829" t="s">
        <v>16198</v>
      </c>
      <c r="AB829" t="s">
        <v>16199</v>
      </c>
      <c r="AC829" t="s">
        <v>16200</v>
      </c>
      <c r="AD829" t="s">
        <v>16201</v>
      </c>
      <c r="AE829" t="s">
        <v>16202</v>
      </c>
      <c r="AF829" t="s">
        <v>74</v>
      </c>
      <c r="AG829">
        <v>65</v>
      </c>
      <c r="AH829">
        <v>1</v>
      </c>
      <c r="AI829">
        <v>1</v>
      </c>
      <c r="AJ829">
        <v>3</v>
      </c>
      <c r="AK829">
        <v>22</v>
      </c>
      <c r="AL829" t="s">
        <v>313</v>
      </c>
      <c r="AM829" t="s">
        <v>314</v>
      </c>
      <c r="AN829" t="s">
        <v>315</v>
      </c>
      <c r="AO829" t="s">
        <v>16203</v>
      </c>
      <c r="AP829" t="s">
        <v>16204</v>
      </c>
      <c r="AQ829" t="s">
        <v>74</v>
      </c>
      <c r="AR829" t="s">
        <v>16205</v>
      </c>
      <c r="AS829" t="s">
        <v>16206</v>
      </c>
      <c r="AT829" t="s">
        <v>11776</v>
      </c>
      <c r="AU829">
        <v>2022</v>
      </c>
      <c r="AV829">
        <v>234</v>
      </c>
      <c r="AW829" t="s">
        <v>74</v>
      </c>
      <c r="AX829" t="s">
        <v>74</v>
      </c>
      <c r="AY829" t="s">
        <v>74</v>
      </c>
      <c r="AZ829" t="s">
        <v>74</v>
      </c>
      <c r="BA829" t="s">
        <v>74</v>
      </c>
      <c r="BB829" t="s">
        <v>74</v>
      </c>
      <c r="BC829" t="s">
        <v>74</v>
      </c>
      <c r="BD829">
        <v>113367</v>
      </c>
      <c r="BE829" t="s">
        <v>16207</v>
      </c>
      <c r="BF829" t="str">
        <f>HYPERLINK("http://dx.doi.org/10.1016/j.ecoenv.2022.113367","http://dx.doi.org/10.1016/j.ecoenv.2022.113367")</f>
        <v>http://dx.doi.org/10.1016/j.ecoenv.2022.113367</v>
      </c>
      <c r="BG829" t="s">
        <v>74</v>
      </c>
      <c r="BH829" t="s">
        <v>12992</v>
      </c>
      <c r="BI829">
        <v>11</v>
      </c>
      <c r="BJ829" t="s">
        <v>2164</v>
      </c>
      <c r="BK829" t="s">
        <v>101</v>
      </c>
      <c r="BL829" t="s">
        <v>2165</v>
      </c>
      <c r="BM829" t="s">
        <v>16208</v>
      </c>
      <c r="BN829">
        <v>35272192</v>
      </c>
      <c r="BO829" t="s">
        <v>438</v>
      </c>
      <c r="BP829" t="s">
        <v>74</v>
      </c>
      <c r="BQ829" t="s">
        <v>74</v>
      </c>
      <c r="BR829" t="s">
        <v>103</v>
      </c>
      <c r="BS829" t="s">
        <v>16209</v>
      </c>
      <c r="BT829" t="str">
        <f>HYPERLINK("https%3A%2F%2Fwww.webofscience.com%2Fwos%2Fwoscc%2Ffull-record%2FWOS:000781104700002","View Full Record in Web of Science")</f>
        <v>View Full Record in Web of Science</v>
      </c>
    </row>
    <row r="830" spans="1:72" x14ac:dyDescent="0.15">
      <c r="A830" t="s">
        <v>72</v>
      </c>
      <c r="B830" t="s">
        <v>16210</v>
      </c>
      <c r="C830" t="s">
        <v>74</v>
      </c>
      <c r="D830" t="s">
        <v>74</v>
      </c>
      <c r="E830" t="s">
        <v>74</v>
      </c>
      <c r="F830" t="s">
        <v>16211</v>
      </c>
      <c r="G830" t="s">
        <v>74</v>
      </c>
      <c r="H830" t="s">
        <v>74</v>
      </c>
      <c r="I830" t="s">
        <v>16212</v>
      </c>
      <c r="J830" t="s">
        <v>16213</v>
      </c>
      <c r="K830" t="s">
        <v>74</v>
      </c>
      <c r="L830" t="s">
        <v>74</v>
      </c>
      <c r="M830" t="s">
        <v>78</v>
      </c>
      <c r="N830" t="s">
        <v>161</v>
      </c>
      <c r="O830" t="s">
        <v>74</v>
      </c>
      <c r="P830" t="s">
        <v>74</v>
      </c>
      <c r="Q830" t="s">
        <v>74</v>
      </c>
      <c r="R830" t="s">
        <v>74</v>
      </c>
      <c r="S830" t="s">
        <v>74</v>
      </c>
      <c r="T830" t="s">
        <v>16214</v>
      </c>
      <c r="U830" t="s">
        <v>16215</v>
      </c>
      <c r="V830" t="s">
        <v>16216</v>
      </c>
      <c r="W830" t="s">
        <v>16217</v>
      </c>
      <c r="X830" t="s">
        <v>13092</v>
      </c>
      <c r="Y830" t="s">
        <v>16218</v>
      </c>
      <c r="Z830" t="s">
        <v>16219</v>
      </c>
      <c r="AA830" t="s">
        <v>16220</v>
      </c>
      <c r="AB830" t="s">
        <v>16221</v>
      </c>
      <c r="AC830" t="s">
        <v>3452</v>
      </c>
      <c r="AD830" t="s">
        <v>3452</v>
      </c>
      <c r="AE830" t="s">
        <v>9658</v>
      </c>
      <c r="AF830" t="s">
        <v>74</v>
      </c>
      <c r="AG830">
        <v>76</v>
      </c>
      <c r="AH830">
        <v>6</v>
      </c>
      <c r="AI830">
        <v>6</v>
      </c>
      <c r="AJ830">
        <v>8</v>
      </c>
      <c r="AK830">
        <v>33</v>
      </c>
      <c r="AL830" t="s">
        <v>530</v>
      </c>
      <c r="AM830" t="s">
        <v>1121</v>
      </c>
      <c r="AN830" t="s">
        <v>1122</v>
      </c>
      <c r="AO830" t="s">
        <v>16222</v>
      </c>
      <c r="AP830" t="s">
        <v>16223</v>
      </c>
      <c r="AQ830" t="s">
        <v>74</v>
      </c>
      <c r="AR830" t="s">
        <v>16213</v>
      </c>
      <c r="AS830" t="s">
        <v>16224</v>
      </c>
      <c r="AT830" t="s">
        <v>346</v>
      </c>
      <c r="AU830">
        <v>2022</v>
      </c>
      <c r="AV830">
        <v>51</v>
      </c>
      <c r="AW830">
        <v>8</v>
      </c>
      <c r="AX830" t="s">
        <v>74</v>
      </c>
      <c r="AY830" t="s">
        <v>74</v>
      </c>
      <c r="AZ830" t="s">
        <v>74</v>
      </c>
      <c r="BA830" t="s">
        <v>74</v>
      </c>
      <c r="BB830">
        <v>1819</v>
      </c>
      <c r="BC830">
        <v>1836</v>
      </c>
      <c r="BD830" t="s">
        <v>74</v>
      </c>
      <c r="BE830" t="s">
        <v>16225</v>
      </c>
      <c r="BF830" t="str">
        <f>HYPERLINK("http://dx.doi.org/10.1007/s13280-022-01709-z","http://dx.doi.org/10.1007/s13280-022-01709-z")</f>
        <v>http://dx.doi.org/10.1007/s13280-022-01709-z</v>
      </c>
      <c r="BG830" t="s">
        <v>74</v>
      </c>
      <c r="BH830" t="s">
        <v>12992</v>
      </c>
      <c r="BI830">
        <v>18</v>
      </c>
      <c r="BJ830" t="s">
        <v>4518</v>
      </c>
      <c r="BK830" t="s">
        <v>101</v>
      </c>
      <c r="BL830" t="s">
        <v>4519</v>
      </c>
      <c r="BM830" t="s">
        <v>16226</v>
      </c>
      <c r="BN830">
        <v>35254646</v>
      </c>
      <c r="BO830" t="s">
        <v>643</v>
      </c>
      <c r="BP830" t="s">
        <v>74</v>
      </c>
      <c r="BQ830" t="s">
        <v>74</v>
      </c>
      <c r="BR830" t="s">
        <v>103</v>
      </c>
      <c r="BS830" t="s">
        <v>16227</v>
      </c>
      <c r="BT830" t="str">
        <f>HYPERLINK("https%3A%2F%2Fwww.webofscience.com%2Fwos%2Fwoscc%2Ffull-record%2FWOS:000765667800001","View Full Record in Web of Science")</f>
        <v>View Full Record in Web of Science</v>
      </c>
    </row>
    <row r="831" spans="1:72" x14ac:dyDescent="0.15">
      <c r="A831" t="s">
        <v>72</v>
      </c>
      <c r="B831" t="s">
        <v>16228</v>
      </c>
      <c r="C831" t="s">
        <v>74</v>
      </c>
      <c r="D831" t="s">
        <v>74</v>
      </c>
      <c r="E831" t="s">
        <v>74</v>
      </c>
      <c r="F831" t="s">
        <v>16229</v>
      </c>
      <c r="G831" t="s">
        <v>74</v>
      </c>
      <c r="H831" t="s">
        <v>74</v>
      </c>
      <c r="I831" t="s">
        <v>16230</v>
      </c>
      <c r="J831" t="s">
        <v>415</v>
      </c>
      <c r="K831" t="s">
        <v>74</v>
      </c>
      <c r="L831" t="s">
        <v>74</v>
      </c>
      <c r="M831" t="s">
        <v>78</v>
      </c>
      <c r="N831" t="s">
        <v>79</v>
      </c>
      <c r="O831" t="s">
        <v>74</v>
      </c>
      <c r="P831" t="s">
        <v>74</v>
      </c>
      <c r="Q831" t="s">
        <v>74</v>
      </c>
      <c r="R831" t="s">
        <v>74</v>
      </c>
      <c r="S831" t="s">
        <v>74</v>
      </c>
      <c r="T831" t="s">
        <v>16231</v>
      </c>
      <c r="U831" t="s">
        <v>16232</v>
      </c>
      <c r="V831" t="s">
        <v>16233</v>
      </c>
      <c r="W831" t="s">
        <v>16234</v>
      </c>
      <c r="X831" t="s">
        <v>16235</v>
      </c>
      <c r="Y831" t="s">
        <v>16236</v>
      </c>
      <c r="Z831" t="s">
        <v>16237</v>
      </c>
      <c r="AA831" t="s">
        <v>16238</v>
      </c>
      <c r="AB831" t="s">
        <v>16239</v>
      </c>
      <c r="AC831" t="s">
        <v>16240</v>
      </c>
      <c r="AD831" t="s">
        <v>16241</v>
      </c>
      <c r="AE831" t="s">
        <v>16242</v>
      </c>
      <c r="AF831" t="s">
        <v>74</v>
      </c>
      <c r="AG831">
        <v>67</v>
      </c>
      <c r="AH831">
        <v>1</v>
      </c>
      <c r="AI831">
        <v>1</v>
      </c>
      <c r="AJ831">
        <v>3</v>
      </c>
      <c r="AK831">
        <v>12</v>
      </c>
      <c r="AL831" t="s">
        <v>428</v>
      </c>
      <c r="AM831" t="s">
        <v>174</v>
      </c>
      <c r="AN831" t="s">
        <v>429</v>
      </c>
      <c r="AO831" t="s">
        <v>430</v>
      </c>
      <c r="AP831" t="s">
        <v>431</v>
      </c>
      <c r="AQ831" t="s">
        <v>74</v>
      </c>
      <c r="AR831" t="s">
        <v>432</v>
      </c>
      <c r="AS831" t="s">
        <v>433</v>
      </c>
      <c r="AT831" t="s">
        <v>484</v>
      </c>
      <c r="AU831">
        <v>2022</v>
      </c>
      <c r="AV831">
        <v>68</v>
      </c>
      <c r="AW831">
        <v>271</v>
      </c>
      <c r="AX831" t="s">
        <v>74</v>
      </c>
      <c r="AY831" t="s">
        <v>74</v>
      </c>
      <c r="AZ831" t="s">
        <v>74</v>
      </c>
      <c r="BA831" t="s">
        <v>74</v>
      </c>
      <c r="BB831">
        <v>987</v>
      </c>
      <c r="BC831">
        <v>998</v>
      </c>
      <c r="BD831" t="s">
        <v>74</v>
      </c>
      <c r="BE831" t="s">
        <v>16243</v>
      </c>
      <c r="BF831" t="str">
        <f>HYPERLINK("http://dx.doi.org/10.1017/jog.2022.12","http://dx.doi.org/10.1017/jog.2022.12")</f>
        <v>http://dx.doi.org/10.1017/jog.2022.12</v>
      </c>
      <c r="BG831" t="s">
        <v>74</v>
      </c>
      <c r="BH831" t="s">
        <v>12992</v>
      </c>
      <c r="BI831">
        <v>12</v>
      </c>
      <c r="BJ831" t="s">
        <v>125</v>
      </c>
      <c r="BK831" t="s">
        <v>101</v>
      </c>
      <c r="BL831" t="s">
        <v>126</v>
      </c>
      <c r="BM831" t="s">
        <v>10808</v>
      </c>
      <c r="BN831" t="s">
        <v>74</v>
      </c>
      <c r="BO831" t="s">
        <v>1533</v>
      </c>
      <c r="BP831" t="s">
        <v>74</v>
      </c>
      <c r="BQ831" t="s">
        <v>74</v>
      </c>
      <c r="BR831" t="s">
        <v>103</v>
      </c>
      <c r="BS831" t="s">
        <v>16244</v>
      </c>
      <c r="BT831" t="str">
        <f>HYPERLINK("https%3A%2F%2Fwww.webofscience.com%2Fwos%2Fwoscc%2Ffull-record%2FWOS:000765142200001","View Full Record in Web of Science")</f>
        <v>View Full Record in Web of Science</v>
      </c>
    </row>
    <row r="832" spans="1:72" x14ac:dyDescent="0.15">
      <c r="A832" t="s">
        <v>72</v>
      </c>
      <c r="B832" t="s">
        <v>16245</v>
      </c>
      <c r="C832" t="s">
        <v>74</v>
      </c>
      <c r="D832" t="s">
        <v>74</v>
      </c>
      <c r="E832" t="s">
        <v>74</v>
      </c>
      <c r="F832" t="s">
        <v>16246</v>
      </c>
      <c r="G832" t="s">
        <v>74</v>
      </c>
      <c r="H832" t="s">
        <v>74</v>
      </c>
      <c r="I832" t="s">
        <v>16247</v>
      </c>
      <c r="J832" t="s">
        <v>648</v>
      </c>
      <c r="K832" t="s">
        <v>74</v>
      </c>
      <c r="L832" t="s">
        <v>74</v>
      </c>
      <c r="M832" t="s">
        <v>78</v>
      </c>
      <c r="N832" t="s">
        <v>79</v>
      </c>
      <c r="O832" t="s">
        <v>74</v>
      </c>
      <c r="P832" t="s">
        <v>74</v>
      </c>
      <c r="Q832" t="s">
        <v>74</v>
      </c>
      <c r="R832" t="s">
        <v>74</v>
      </c>
      <c r="S832" t="s">
        <v>74</v>
      </c>
      <c r="T832" t="s">
        <v>74</v>
      </c>
      <c r="U832" t="s">
        <v>16248</v>
      </c>
      <c r="V832" t="s">
        <v>16249</v>
      </c>
      <c r="W832" t="s">
        <v>16250</v>
      </c>
      <c r="X832" t="s">
        <v>16251</v>
      </c>
      <c r="Y832" t="s">
        <v>16252</v>
      </c>
      <c r="Z832" t="s">
        <v>16253</v>
      </c>
      <c r="AA832" t="s">
        <v>16254</v>
      </c>
      <c r="AB832" t="s">
        <v>16255</v>
      </c>
      <c r="AC832" t="s">
        <v>16256</v>
      </c>
      <c r="AD832" t="s">
        <v>16257</v>
      </c>
      <c r="AE832" t="s">
        <v>16258</v>
      </c>
      <c r="AF832" t="s">
        <v>74</v>
      </c>
      <c r="AG832">
        <v>61</v>
      </c>
      <c r="AH832">
        <v>19</v>
      </c>
      <c r="AI832">
        <v>20</v>
      </c>
      <c r="AJ832">
        <v>4</v>
      </c>
      <c r="AK832">
        <v>23</v>
      </c>
      <c r="AL832" t="s">
        <v>455</v>
      </c>
      <c r="AM832" t="s">
        <v>456</v>
      </c>
      <c r="AN832" t="s">
        <v>457</v>
      </c>
      <c r="AO832" t="s">
        <v>74</v>
      </c>
      <c r="AP832" t="s">
        <v>652</v>
      </c>
      <c r="AQ832" t="s">
        <v>74</v>
      </c>
      <c r="AR832" t="s">
        <v>653</v>
      </c>
      <c r="AS832" t="s">
        <v>654</v>
      </c>
      <c r="AT832" t="s">
        <v>16259</v>
      </c>
      <c r="AU832">
        <v>2022</v>
      </c>
      <c r="AV832">
        <v>13</v>
      </c>
      <c r="AW832">
        <v>1</v>
      </c>
      <c r="AX832" t="s">
        <v>74</v>
      </c>
      <c r="AY832" t="s">
        <v>74</v>
      </c>
      <c r="AZ832" t="s">
        <v>74</v>
      </c>
      <c r="BA832" t="s">
        <v>74</v>
      </c>
      <c r="BB832" t="s">
        <v>74</v>
      </c>
      <c r="BC832" t="s">
        <v>74</v>
      </c>
      <c r="BD832">
        <v>1196</v>
      </c>
      <c r="BE832" t="s">
        <v>16260</v>
      </c>
      <c r="BF832" t="str">
        <f>HYPERLINK("http://dx.doi.org/10.1038/s41467-022-28804-9","http://dx.doi.org/10.1038/s41467-022-28804-9")</f>
        <v>http://dx.doi.org/10.1038/s41467-022-28804-9</v>
      </c>
      <c r="BG832" t="s">
        <v>74</v>
      </c>
      <c r="BH832" t="s">
        <v>74</v>
      </c>
      <c r="BI832">
        <v>8</v>
      </c>
      <c r="BJ832" t="s">
        <v>657</v>
      </c>
      <c r="BK832" t="s">
        <v>101</v>
      </c>
      <c r="BL832" t="s">
        <v>658</v>
      </c>
      <c r="BM832" t="s">
        <v>16261</v>
      </c>
      <c r="BN832">
        <v>35256613</v>
      </c>
      <c r="BO832" t="s">
        <v>12866</v>
      </c>
      <c r="BP832" t="s">
        <v>74</v>
      </c>
      <c r="BQ832" t="s">
        <v>74</v>
      </c>
      <c r="BR832" t="s">
        <v>103</v>
      </c>
      <c r="BS832" t="s">
        <v>16262</v>
      </c>
      <c r="BT832" t="str">
        <f>HYPERLINK("https%3A%2F%2Fwww.webofscience.com%2Fwos%2Fwoscc%2Ffull-record%2FWOS:000765815800009","View Full Record in Web of Science")</f>
        <v>View Full Record in Web of Science</v>
      </c>
    </row>
    <row r="833" spans="1:72" x14ac:dyDescent="0.15">
      <c r="A833" t="s">
        <v>72</v>
      </c>
      <c r="B833" t="s">
        <v>16263</v>
      </c>
      <c r="C833" t="s">
        <v>74</v>
      </c>
      <c r="D833" t="s">
        <v>74</v>
      </c>
      <c r="E833" t="s">
        <v>74</v>
      </c>
      <c r="F833" t="s">
        <v>16264</v>
      </c>
      <c r="G833" t="s">
        <v>74</v>
      </c>
      <c r="H833" t="s">
        <v>74</v>
      </c>
      <c r="I833" t="s">
        <v>16265</v>
      </c>
      <c r="J833" t="s">
        <v>10827</v>
      </c>
      <c r="K833" t="s">
        <v>74</v>
      </c>
      <c r="L833" t="s">
        <v>74</v>
      </c>
      <c r="M833" t="s">
        <v>78</v>
      </c>
      <c r="N833" t="s">
        <v>79</v>
      </c>
      <c r="O833" t="s">
        <v>74</v>
      </c>
      <c r="P833" t="s">
        <v>74</v>
      </c>
      <c r="Q833" t="s">
        <v>74</v>
      </c>
      <c r="R833" t="s">
        <v>74</v>
      </c>
      <c r="S833" t="s">
        <v>74</v>
      </c>
      <c r="T833" t="s">
        <v>16266</v>
      </c>
      <c r="U833" t="s">
        <v>16267</v>
      </c>
      <c r="V833" t="s">
        <v>16268</v>
      </c>
      <c r="W833" t="s">
        <v>16269</v>
      </c>
      <c r="X833" t="s">
        <v>16270</v>
      </c>
      <c r="Y833" t="s">
        <v>16271</v>
      </c>
      <c r="Z833" t="s">
        <v>16272</v>
      </c>
      <c r="AA833" t="s">
        <v>16273</v>
      </c>
      <c r="AB833" t="s">
        <v>16274</v>
      </c>
      <c r="AC833" t="s">
        <v>16275</v>
      </c>
      <c r="AD833" t="s">
        <v>16275</v>
      </c>
      <c r="AE833" t="s">
        <v>16276</v>
      </c>
      <c r="AF833" t="s">
        <v>74</v>
      </c>
      <c r="AG833">
        <v>212</v>
      </c>
      <c r="AH833">
        <v>13</v>
      </c>
      <c r="AI833">
        <v>14</v>
      </c>
      <c r="AJ833">
        <v>6</v>
      </c>
      <c r="AK833">
        <v>49</v>
      </c>
      <c r="AL833" t="s">
        <v>530</v>
      </c>
      <c r="AM833" t="s">
        <v>1121</v>
      </c>
      <c r="AN833" t="s">
        <v>1122</v>
      </c>
      <c r="AO833" t="s">
        <v>10837</v>
      </c>
      <c r="AP833" t="s">
        <v>10838</v>
      </c>
      <c r="AQ833" t="s">
        <v>74</v>
      </c>
      <c r="AR833" t="s">
        <v>10839</v>
      </c>
      <c r="AS833" t="s">
        <v>10840</v>
      </c>
      <c r="AT833" t="s">
        <v>6497</v>
      </c>
      <c r="AU833">
        <v>2022</v>
      </c>
      <c r="AV833">
        <v>32</v>
      </c>
      <c r="AW833">
        <v>1</v>
      </c>
      <c r="AX833" t="s">
        <v>74</v>
      </c>
      <c r="AY833" t="s">
        <v>74</v>
      </c>
      <c r="AZ833" t="s">
        <v>772</v>
      </c>
      <c r="BA833" t="s">
        <v>74</v>
      </c>
      <c r="BB833">
        <v>65</v>
      </c>
      <c r="BC833">
        <v>100</v>
      </c>
      <c r="BD833" t="s">
        <v>74</v>
      </c>
      <c r="BE833" t="s">
        <v>16277</v>
      </c>
      <c r="BF833" t="str">
        <f>HYPERLINK("http://dx.doi.org/10.1007/s11160-022-09700-3","http://dx.doi.org/10.1007/s11160-022-09700-3")</f>
        <v>http://dx.doi.org/10.1007/s11160-022-09700-3</v>
      </c>
      <c r="BG833" t="s">
        <v>74</v>
      </c>
      <c r="BH833" t="s">
        <v>12992</v>
      </c>
      <c r="BI833">
        <v>36</v>
      </c>
      <c r="BJ833" t="s">
        <v>10842</v>
      </c>
      <c r="BK833" t="s">
        <v>956</v>
      </c>
      <c r="BL833" t="s">
        <v>10842</v>
      </c>
      <c r="BM833" t="s">
        <v>16278</v>
      </c>
      <c r="BN833">
        <v>35280238</v>
      </c>
      <c r="BO833" t="s">
        <v>9729</v>
      </c>
      <c r="BP833" t="s">
        <v>74</v>
      </c>
      <c r="BQ833" t="s">
        <v>74</v>
      </c>
      <c r="BR833" t="s">
        <v>103</v>
      </c>
      <c r="BS833" t="s">
        <v>16279</v>
      </c>
      <c r="BT833" t="str">
        <f>HYPERLINK("https%3A%2F%2Fwww.webofscience.com%2Fwos%2Fwoscc%2Ffull-record%2FWOS:000765684900001","View Full Record in Web of Science")</f>
        <v>View Full Record in Web of Science</v>
      </c>
    </row>
    <row r="834" spans="1:72" x14ac:dyDescent="0.15">
      <c r="A834" t="s">
        <v>72</v>
      </c>
      <c r="B834" t="s">
        <v>16280</v>
      </c>
      <c r="C834" t="s">
        <v>74</v>
      </c>
      <c r="D834" t="s">
        <v>74</v>
      </c>
      <c r="E834" t="s">
        <v>74</v>
      </c>
      <c r="F834" t="s">
        <v>16281</v>
      </c>
      <c r="G834" t="s">
        <v>74</v>
      </c>
      <c r="H834" t="s">
        <v>74</v>
      </c>
      <c r="I834" t="s">
        <v>16282</v>
      </c>
      <c r="J834" t="s">
        <v>4006</v>
      </c>
      <c r="K834" t="s">
        <v>74</v>
      </c>
      <c r="L834" t="s">
        <v>74</v>
      </c>
      <c r="M834" t="s">
        <v>78</v>
      </c>
      <c r="N834" t="s">
        <v>79</v>
      </c>
      <c r="O834" t="s">
        <v>74</v>
      </c>
      <c r="P834" t="s">
        <v>74</v>
      </c>
      <c r="Q834" t="s">
        <v>74</v>
      </c>
      <c r="R834" t="s">
        <v>74</v>
      </c>
      <c r="S834" t="s">
        <v>74</v>
      </c>
      <c r="T834" t="s">
        <v>16283</v>
      </c>
      <c r="U834" t="s">
        <v>16284</v>
      </c>
      <c r="V834" t="s">
        <v>16285</v>
      </c>
      <c r="W834" t="s">
        <v>16286</v>
      </c>
      <c r="X834" t="s">
        <v>16287</v>
      </c>
      <c r="Y834" t="s">
        <v>16288</v>
      </c>
      <c r="Z834" t="s">
        <v>16289</v>
      </c>
      <c r="AA834" t="s">
        <v>16290</v>
      </c>
      <c r="AB834" t="s">
        <v>16291</v>
      </c>
      <c r="AC834" t="s">
        <v>16292</v>
      </c>
      <c r="AD834" t="s">
        <v>16293</v>
      </c>
      <c r="AE834" t="s">
        <v>16294</v>
      </c>
      <c r="AF834" t="s">
        <v>74</v>
      </c>
      <c r="AG834">
        <v>58</v>
      </c>
      <c r="AH834">
        <v>2</v>
      </c>
      <c r="AI834">
        <v>2</v>
      </c>
      <c r="AJ834">
        <v>1</v>
      </c>
      <c r="AK834">
        <v>30</v>
      </c>
      <c r="AL834" t="s">
        <v>91</v>
      </c>
      <c r="AM834" t="s">
        <v>92</v>
      </c>
      <c r="AN834" t="s">
        <v>93</v>
      </c>
      <c r="AO834" t="s">
        <v>4019</v>
      </c>
      <c r="AP834" t="s">
        <v>4020</v>
      </c>
      <c r="AQ834" t="s">
        <v>74</v>
      </c>
      <c r="AR834" t="s">
        <v>4021</v>
      </c>
      <c r="AS834" t="s">
        <v>4022</v>
      </c>
      <c r="AT834" t="s">
        <v>5076</v>
      </c>
      <c r="AU834">
        <v>2022</v>
      </c>
      <c r="AV834">
        <v>31</v>
      </c>
      <c r="AW834">
        <v>5</v>
      </c>
      <c r="AX834" t="s">
        <v>74</v>
      </c>
      <c r="AY834" t="s">
        <v>74</v>
      </c>
      <c r="AZ834" t="s">
        <v>74</v>
      </c>
      <c r="BA834" t="s">
        <v>74</v>
      </c>
      <c r="BB834">
        <v>995</v>
      </c>
      <c r="BC834">
        <v>1005</v>
      </c>
      <c r="BD834" t="s">
        <v>74</v>
      </c>
      <c r="BE834" t="s">
        <v>16295</v>
      </c>
      <c r="BF834" t="str">
        <f>HYPERLINK("http://dx.doi.org/10.1111/geb.13477","http://dx.doi.org/10.1111/geb.13477")</f>
        <v>http://dx.doi.org/10.1111/geb.13477</v>
      </c>
      <c r="BG834" t="s">
        <v>74</v>
      </c>
      <c r="BH834" t="s">
        <v>12992</v>
      </c>
      <c r="BI834">
        <v>11</v>
      </c>
      <c r="BJ834" t="s">
        <v>4024</v>
      </c>
      <c r="BK834" t="s">
        <v>101</v>
      </c>
      <c r="BL834" t="s">
        <v>4025</v>
      </c>
      <c r="BM834" t="s">
        <v>16296</v>
      </c>
      <c r="BN834" t="s">
        <v>74</v>
      </c>
      <c r="BO834" t="s">
        <v>74</v>
      </c>
      <c r="BP834" t="s">
        <v>74</v>
      </c>
      <c r="BQ834" t="s">
        <v>74</v>
      </c>
      <c r="BR834" t="s">
        <v>103</v>
      </c>
      <c r="BS834" t="s">
        <v>16297</v>
      </c>
      <c r="BT834" t="str">
        <f>HYPERLINK("https%3A%2F%2Fwww.webofscience.com%2Fwos%2Fwoscc%2Ffull-record%2FWOS:000765373300001","View Full Record in Web of Science")</f>
        <v>View Full Record in Web of Science</v>
      </c>
    </row>
    <row r="835" spans="1:72" x14ac:dyDescent="0.15">
      <c r="A835" t="s">
        <v>72</v>
      </c>
      <c r="B835" t="s">
        <v>16298</v>
      </c>
      <c r="C835" t="s">
        <v>74</v>
      </c>
      <c r="D835" t="s">
        <v>74</v>
      </c>
      <c r="E835" t="s">
        <v>74</v>
      </c>
      <c r="F835" t="s">
        <v>16299</v>
      </c>
      <c r="G835" t="s">
        <v>74</v>
      </c>
      <c r="H835" t="s">
        <v>74</v>
      </c>
      <c r="I835" t="s">
        <v>16300</v>
      </c>
      <c r="J835" t="s">
        <v>10579</v>
      </c>
      <c r="K835" t="s">
        <v>74</v>
      </c>
      <c r="L835" t="s">
        <v>74</v>
      </c>
      <c r="M835" t="s">
        <v>78</v>
      </c>
      <c r="N835" t="s">
        <v>79</v>
      </c>
      <c r="O835" t="s">
        <v>74</v>
      </c>
      <c r="P835" t="s">
        <v>74</v>
      </c>
      <c r="Q835" t="s">
        <v>74</v>
      </c>
      <c r="R835" t="s">
        <v>74</v>
      </c>
      <c r="S835" t="s">
        <v>74</v>
      </c>
      <c r="T835" t="s">
        <v>16301</v>
      </c>
      <c r="U835" t="s">
        <v>16302</v>
      </c>
      <c r="V835" t="s">
        <v>16303</v>
      </c>
      <c r="W835" t="s">
        <v>16304</v>
      </c>
      <c r="X835" t="s">
        <v>16305</v>
      </c>
      <c r="Y835" t="s">
        <v>16306</v>
      </c>
      <c r="Z835" t="s">
        <v>16307</v>
      </c>
      <c r="AA835" t="s">
        <v>16308</v>
      </c>
      <c r="AB835" t="s">
        <v>16309</v>
      </c>
      <c r="AC835" t="s">
        <v>16310</v>
      </c>
      <c r="AD835" t="s">
        <v>16311</v>
      </c>
      <c r="AE835" t="s">
        <v>16312</v>
      </c>
      <c r="AF835" t="s">
        <v>74</v>
      </c>
      <c r="AG835">
        <v>290</v>
      </c>
      <c r="AH835">
        <v>47</v>
      </c>
      <c r="AI835">
        <v>52</v>
      </c>
      <c r="AJ835">
        <v>39</v>
      </c>
      <c r="AK835">
        <v>112</v>
      </c>
      <c r="AL835" t="s">
        <v>91</v>
      </c>
      <c r="AM835" t="s">
        <v>92</v>
      </c>
      <c r="AN835" t="s">
        <v>93</v>
      </c>
      <c r="AO835" t="s">
        <v>10592</v>
      </c>
      <c r="AP835" t="s">
        <v>10593</v>
      </c>
      <c r="AQ835" t="s">
        <v>74</v>
      </c>
      <c r="AR835" t="s">
        <v>10594</v>
      </c>
      <c r="AS835" t="s">
        <v>10595</v>
      </c>
      <c r="AT835" t="s">
        <v>346</v>
      </c>
      <c r="AU835">
        <v>2022</v>
      </c>
      <c r="AV835">
        <v>97</v>
      </c>
      <c r="AW835">
        <v>4</v>
      </c>
      <c r="AX835" t="s">
        <v>74</v>
      </c>
      <c r="AY835" t="s">
        <v>74</v>
      </c>
      <c r="AZ835" t="s">
        <v>74</v>
      </c>
      <c r="BA835" t="s">
        <v>74</v>
      </c>
      <c r="BB835">
        <v>1449</v>
      </c>
      <c r="BC835">
        <v>1475</v>
      </c>
      <c r="BD835" t="s">
        <v>74</v>
      </c>
      <c r="BE835" t="s">
        <v>16313</v>
      </c>
      <c r="BF835" t="str">
        <f>HYPERLINK("http://dx.doi.org/10.1111/brv.12850","http://dx.doi.org/10.1111/brv.12850")</f>
        <v>http://dx.doi.org/10.1111/brv.12850</v>
      </c>
      <c r="BG835" t="s">
        <v>74</v>
      </c>
      <c r="BH835" t="s">
        <v>12992</v>
      </c>
      <c r="BI835">
        <v>27</v>
      </c>
      <c r="BJ835" t="s">
        <v>1819</v>
      </c>
      <c r="BK835" t="s">
        <v>101</v>
      </c>
      <c r="BL835" t="s">
        <v>1820</v>
      </c>
      <c r="BM835" t="s">
        <v>10597</v>
      </c>
      <c r="BN835">
        <v>35255531</v>
      </c>
      <c r="BO835" t="s">
        <v>590</v>
      </c>
      <c r="BP835" t="s">
        <v>816</v>
      </c>
      <c r="BQ835" t="s">
        <v>5404</v>
      </c>
      <c r="BR835" t="s">
        <v>103</v>
      </c>
      <c r="BS835" t="s">
        <v>16314</v>
      </c>
      <c r="BT835" t="str">
        <f>HYPERLINK("https%3A%2F%2Fwww.webofscience.com%2Fwos%2Fwoscc%2Ffull-record%2FWOS:000765493100001","View Full Record in Web of Science")</f>
        <v>View Full Record in Web of Science</v>
      </c>
    </row>
    <row r="836" spans="1:72" x14ac:dyDescent="0.15">
      <c r="A836" t="s">
        <v>72</v>
      </c>
      <c r="B836" t="s">
        <v>16315</v>
      </c>
      <c r="C836" t="s">
        <v>74</v>
      </c>
      <c r="D836" t="s">
        <v>74</v>
      </c>
      <c r="E836" t="s">
        <v>74</v>
      </c>
      <c r="F836" t="s">
        <v>16316</v>
      </c>
      <c r="G836" t="s">
        <v>74</v>
      </c>
      <c r="H836" t="s">
        <v>74</v>
      </c>
      <c r="I836" t="s">
        <v>16317</v>
      </c>
      <c r="J836" t="s">
        <v>9345</v>
      </c>
      <c r="K836" t="s">
        <v>74</v>
      </c>
      <c r="L836" t="s">
        <v>74</v>
      </c>
      <c r="M836" t="s">
        <v>78</v>
      </c>
      <c r="N836" t="s">
        <v>79</v>
      </c>
      <c r="O836" t="s">
        <v>74</v>
      </c>
      <c r="P836" t="s">
        <v>74</v>
      </c>
      <c r="Q836" t="s">
        <v>74</v>
      </c>
      <c r="R836" t="s">
        <v>74</v>
      </c>
      <c r="S836" t="s">
        <v>74</v>
      </c>
      <c r="T836" t="s">
        <v>16318</v>
      </c>
      <c r="U836" t="s">
        <v>16319</v>
      </c>
      <c r="V836" t="s">
        <v>16320</v>
      </c>
      <c r="W836" t="s">
        <v>16321</v>
      </c>
      <c r="X836" t="s">
        <v>760</v>
      </c>
      <c r="Y836" t="s">
        <v>16322</v>
      </c>
      <c r="Z836" t="s">
        <v>16323</v>
      </c>
      <c r="AA836" t="s">
        <v>16324</v>
      </c>
      <c r="AB836" t="s">
        <v>16325</v>
      </c>
      <c r="AC836" t="s">
        <v>16326</v>
      </c>
      <c r="AD836" t="s">
        <v>16327</v>
      </c>
      <c r="AE836" t="s">
        <v>16328</v>
      </c>
      <c r="AF836" t="s">
        <v>74</v>
      </c>
      <c r="AG836">
        <v>40</v>
      </c>
      <c r="AH836">
        <v>7</v>
      </c>
      <c r="AI836">
        <v>7</v>
      </c>
      <c r="AJ836">
        <v>9</v>
      </c>
      <c r="AK836">
        <v>31</v>
      </c>
      <c r="AL836" t="s">
        <v>3228</v>
      </c>
      <c r="AM836" t="s">
        <v>200</v>
      </c>
      <c r="AN836" t="s">
        <v>3229</v>
      </c>
      <c r="AO836" t="s">
        <v>9351</v>
      </c>
      <c r="AP836" t="s">
        <v>9352</v>
      </c>
      <c r="AQ836" t="s">
        <v>74</v>
      </c>
      <c r="AR836" t="s">
        <v>9353</v>
      </c>
      <c r="AS836" t="s">
        <v>9354</v>
      </c>
      <c r="AT836" t="s">
        <v>320</v>
      </c>
      <c r="AU836">
        <v>2022</v>
      </c>
      <c r="AV836">
        <v>384</v>
      </c>
      <c r="AW836" t="s">
        <v>74</v>
      </c>
      <c r="AX836" t="s">
        <v>74</v>
      </c>
      <c r="AY836" t="s">
        <v>74</v>
      </c>
      <c r="AZ836" t="s">
        <v>74</v>
      </c>
      <c r="BA836" t="s">
        <v>74</v>
      </c>
      <c r="BB836" t="s">
        <v>74</v>
      </c>
      <c r="BC836" t="s">
        <v>74</v>
      </c>
      <c r="BD836">
        <v>132620</v>
      </c>
      <c r="BE836" t="s">
        <v>16329</v>
      </c>
      <c r="BF836" t="str">
        <f>HYPERLINK("http://dx.doi.org/10.1016/j.foodchem.2022.132620","http://dx.doi.org/10.1016/j.foodchem.2022.132620")</f>
        <v>http://dx.doi.org/10.1016/j.foodchem.2022.132620</v>
      </c>
      <c r="BG836" t="s">
        <v>74</v>
      </c>
      <c r="BH836" t="s">
        <v>12992</v>
      </c>
      <c r="BI836">
        <v>8</v>
      </c>
      <c r="BJ836" t="s">
        <v>9356</v>
      </c>
      <c r="BK836" t="s">
        <v>101</v>
      </c>
      <c r="BL836" t="s">
        <v>9357</v>
      </c>
      <c r="BM836" t="s">
        <v>16330</v>
      </c>
      <c r="BN836">
        <v>35413776</v>
      </c>
      <c r="BO836" t="s">
        <v>74</v>
      </c>
      <c r="BP836" t="s">
        <v>74</v>
      </c>
      <c r="BQ836" t="s">
        <v>74</v>
      </c>
      <c r="BR836" t="s">
        <v>103</v>
      </c>
      <c r="BS836" t="s">
        <v>16331</v>
      </c>
      <c r="BT836" t="str">
        <f>HYPERLINK("https%3A%2F%2Fwww.webofscience.com%2Fwos%2Fwoscc%2Ffull-record%2FWOS:000777774100012","View Full Record in Web of Science")</f>
        <v>View Full Record in Web of Science</v>
      </c>
    </row>
    <row r="837" spans="1:72" x14ac:dyDescent="0.15">
      <c r="A837" t="s">
        <v>72</v>
      </c>
      <c r="B837" t="s">
        <v>16332</v>
      </c>
      <c r="C837" t="s">
        <v>74</v>
      </c>
      <c r="D837" t="s">
        <v>74</v>
      </c>
      <c r="E837" t="s">
        <v>74</v>
      </c>
      <c r="F837" t="s">
        <v>16333</v>
      </c>
      <c r="G837" t="s">
        <v>74</v>
      </c>
      <c r="H837" t="s">
        <v>74</v>
      </c>
      <c r="I837" t="s">
        <v>16334</v>
      </c>
      <c r="J837" t="s">
        <v>16335</v>
      </c>
      <c r="K837" t="s">
        <v>74</v>
      </c>
      <c r="L837" t="s">
        <v>74</v>
      </c>
      <c r="M837" t="s">
        <v>78</v>
      </c>
      <c r="N837" t="s">
        <v>79</v>
      </c>
      <c r="O837" t="s">
        <v>74</v>
      </c>
      <c r="P837" t="s">
        <v>74</v>
      </c>
      <c r="Q837" t="s">
        <v>74</v>
      </c>
      <c r="R837" t="s">
        <v>74</v>
      </c>
      <c r="S837" t="s">
        <v>74</v>
      </c>
      <c r="T837" t="s">
        <v>16336</v>
      </c>
      <c r="U837" t="s">
        <v>16337</v>
      </c>
      <c r="V837" t="s">
        <v>16338</v>
      </c>
      <c r="W837" t="s">
        <v>16339</v>
      </c>
      <c r="X837" t="s">
        <v>16340</v>
      </c>
      <c r="Y837" t="s">
        <v>16341</v>
      </c>
      <c r="Z837" t="s">
        <v>16342</v>
      </c>
      <c r="AA837" t="s">
        <v>16343</v>
      </c>
      <c r="AB837" t="s">
        <v>74</v>
      </c>
      <c r="AC837" t="s">
        <v>16344</v>
      </c>
      <c r="AD837" t="s">
        <v>16345</v>
      </c>
      <c r="AE837" t="s">
        <v>16346</v>
      </c>
      <c r="AF837" t="s">
        <v>74</v>
      </c>
      <c r="AG837">
        <v>80</v>
      </c>
      <c r="AH837">
        <v>2</v>
      </c>
      <c r="AI837">
        <v>2</v>
      </c>
      <c r="AJ837">
        <v>1</v>
      </c>
      <c r="AK837">
        <v>15</v>
      </c>
      <c r="AL837" t="s">
        <v>4120</v>
      </c>
      <c r="AM837" t="s">
        <v>4121</v>
      </c>
      <c r="AN837" t="s">
        <v>4122</v>
      </c>
      <c r="AO837" t="s">
        <v>16347</v>
      </c>
      <c r="AP837" t="s">
        <v>16348</v>
      </c>
      <c r="AQ837" t="s">
        <v>74</v>
      </c>
      <c r="AR837" t="s">
        <v>16349</v>
      </c>
      <c r="AS837" t="s">
        <v>16350</v>
      </c>
      <c r="AT837" t="s">
        <v>16351</v>
      </c>
      <c r="AU837">
        <v>2023</v>
      </c>
      <c r="AV837">
        <v>65</v>
      </c>
      <c r="AW837">
        <v>2</v>
      </c>
      <c r="AX837" t="s">
        <v>74</v>
      </c>
      <c r="AY837" t="s">
        <v>74</v>
      </c>
      <c r="AZ837" t="s">
        <v>74</v>
      </c>
      <c r="BA837" t="s">
        <v>74</v>
      </c>
      <c r="BB837">
        <v>278</v>
      </c>
      <c r="BC837">
        <v>295</v>
      </c>
      <c r="BD837" t="s">
        <v>74</v>
      </c>
      <c r="BE837" t="s">
        <v>16352</v>
      </c>
      <c r="BF837" t="str">
        <f>HYPERLINK("http://dx.doi.org/10.1080/00206814.2022.2045637","http://dx.doi.org/10.1080/00206814.2022.2045637")</f>
        <v>http://dx.doi.org/10.1080/00206814.2022.2045637</v>
      </c>
      <c r="BG837" t="s">
        <v>74</v>
      </c>
      <c r="BH837" t="s">
        <v>12992</v>
      </c>
      <c r="BI837">
        <v>18</v>
      </c>
      <c r="BJ837" t="s">
        <v>100</v>
      </c>
      <c r="BK837" t="s">
        <v>101</v>
      </c>
      <c r="BL837" t="s">
        <v>100</v>
      </c>
      <c r="BM837" t="s">
        <v>16353</v>
      </c>
      <c r="BN837" t="s">
        <v>74</v>
      </c>
      <c r="BO837" t="s">
        <v>986</v>
      </c>
      <c r="BP837" t="s">
        <v>74</v>
      </c>
      <c r="BQ837" t="s">
        <v>74</v>
      </c>
      <c r="BR837" t="s">
        <v>103</v>
      </c>
      <c r="BS837" t="s">
        <v>16354</v>
      </c>
      <c r="BT837" t="str">
        <f>HYPERLINK("https%3A%2F%2Fwww.webofscience.com%2Fwos%2Fwoscc%2Ffull-record%2FWOS:000765225600001","View Full Record in Web of Science")</f>
        <v>View Full Record in Web of Science</v>
      </c>
    </row>
    <row r="838" spans="1:72" x14ac:dyDescent="0.15">
      <c r="A838" t="s">
        <v>72</v>
      </c>
      <c r="B838" t="s">
        <v>16355</v>
      </c>
      <c r="C838" t="s">
        <v>74</v>
      </c>
      <c r="D838" t="s">
        <v>74</v>
      </c>
      <c r="E838" t="s">
        <v>74</v>
      </c>
      <c r="F838" t="s">
        <v>16356</v>
      </c>
      <c r="G838" t="s">
        <v>74</v>
      </c>
      <c r="H838" t="s">
        <v>74</v>
      </c>
      <c r="I838" t="s">
        <v>16357</v>
      </c>
      <c r="J838" t="s">
        <v>4453</v>
      </c>
      <c r="K838" t="s">
        <v>74</v>
      </c>
      <c r="L838" t="s">
        <v>74</v>
      </c>
      <c r="M838" t="s">
        <v>78</v>
      </c>
      <c r="N838" t="s">
        <v>79</v>
      </c>
      <c r="O838" t="s">
        <v>74</v>
      </c>
      <c r="P838" t="s">
        <v>74</v>
      </c>
      <c r="Q838" t="s">
        <v>74</v>
      </c>
      <c r="R838" t="s">
        <v>74</v>
      </c>
      <c r="S838" t="s">
        <v>74</v>
      </c>
      <c r="T838" t="s">
        <v>16358</v>
      </c>
      <c r="U838" t="s">
        <v>16359</v>
      </c>
      <c r="V838" t="s">
        <v>16360</v>
      </c>
      <c r="W838" t="s">
        <v>16361</v>
      </c>
      <c r="X838" t="s">
        <v>16362</v>
      </c>
      <c r="Y838" t="s">
        <v>16363</v>
      </c>
      <c r="Z838" t="s">
        <v>16364</v>
      </c>
      <c r="AA838" t="s">
        <v>74</v>
      </c>
      <c r="AB838" t="s">
        <v>16365</v>
      </c>
      <c r="AC838" t="s">
        <v>16366</v>
      </c>
      <c r="AD838" t="s">
        <v>16367</v>
      </c>
      <c r="AE838" t="s">
        <v>16368</v>
      </c>
      <c r="AF838" t="s">
        <v>74</v>
      </c>
      <c r="AG838">
        <v>52</v>
      </c>
      <c r="AH838">
        <v>1</v>
      </c>
      <c r="AI838">
        <v>1</v>
      </c>
      <c r="AJ838">
        <v>4</v>
      </c>
      <c r="AK838">
        <v>21</v>
      </c>
      <c r="AL838" t="s">
        <v>4461</v>
      </c>
      <c r="AM838" t="s">
        <v>4462</v>
      </c>
      <c r="AN838" t="s">
        <v>4463</v>
      </c>
      <c r="AO838" t="s">
        <v>4464</v>
      </c>
      <c r="AP838" t="s">
        <v>4465</v>
      </c>
      <c r="AQ838" t="s">
        <v>74</v>
      </c>
      <c r="AR838" t="s">
        <v>4466</v>
      </c>
      <c r="AS838" t="s">
        <v>4467</v>
      </c>
      <c r="AT838" t="s">
        <v>4869</v>
      </c>
      <c r="AU838">
        <v>2022</v>
      </c>
      <c r="AV838">
        <v>122</v>
      </c>
      <c r="AW838">
        <v>1</v>
      </c>
      <c r="AX838" t="s">
        <v>74</v>
      </c>
      <c r="AY838" t="s">
        <v>74</v>
      </c>
      <c r="AZ838" t="s">
        <v>74</v>
      </c>
      <c r="BA838" t="s">
        <v>74</v>
      </c>
      <c r="BB838">
        <v>27</v>
      </c>
      <c r="BC838">
        <v>38</v>
      </c>
      <c r="BD838" t="s">
        <v>74</v>
      </c>
      <c r="BE838" t="s">
        <v>16369</v>
      </c>
      <c r="BF838" t="str">
        <f>HYPERLINK("http://dx.doi.org/10.1080/01584197.2021.2018337","http://dx.doi.org/10.1080/01584197.2021.2018337")</f>
        <v>http://dx.doi.org/10.1080/01584197.2021.2018337</v>
      </c>
      <c r="BG838" t="s">
        <v>74</v>
      </c>
      <c r="BH838" t="s">
        <v>12992</v>
      </c>
      <c r="BI838">
        <v>12</v>
      </c>
      <c r="BJ838" t="s">
        <v>4470</v>
      </c>
      <c r="BK838" t="s">
        <v>101</v>
      </c>
      <c r="BL838" t="s">
        <v>1054</v>
      </c>
      <c r="BM838" t="s">
        <v>16370</v>
      </c>
      <c r="BN838" t="s">
        <v>74</v>
      </c>
      <c r="BO838" t="s">
        <v>74</v>
      </c>
      <c r="BP838" t="s">
        <v>74</v>
      </c>
      <c r="BQ838" t="s">
        <v>74</v>
      </c>
      <c r="BR838" t="s">
        <v>103</v>
      </c>
      <c r="BS838" t="s">
        <v>16371</v>
      </c>
      <c r="BT838" t="str">
        <f>HYPERLINK("https%3A%2F%2Fwww.webofscience.com%2Fwos%2Fwoscc%2Ffull-record%2FWOS:000765635500001","View Full Record in Web of Science")</f>
        <v>View Full Record in Web of Science</v>
      </c>
    </row>
    <row r="839" spans="1:72" x14ac:dyDescent="0.15">
      <c r="A839" t="s">
        <v>72</v>
      </c>
      <c r="B839" t="s">
        <v>16372</v>
      </c>
      <c r="C839" t="s">
        <v>74</v>
      </c>
      <c r="D839" t="s">
        <v>74</v>
      </c>
      <c r="E839" t="s">
        <v>74</v>
      </c>
      <c r="F839" t="s">
        <v>16373</v>
      </c>
      <c r="G839" t="s">
        <v>74</v>
      </c>
      <c r="H839" t="s">
        <v>74</v>
      </c>
      <c r="I839" t="s">
        <v>16374</v>
      </c>
      <c r="J839" t="s">
        <v>13525</v>
      </c>
      <c r="K839" t="s">
        <v>74</v>
      </c>
      <c r="L839" t="s">
        <v>74</v>
      </c>
      <c r="M839" t="s">
        <v>78</v>
      </c>
      <c r="N839" t="s">
        <v>79</v>
      </c>
      <c r="O839" t="s">
        <v>74</v>
      </c>
      <c r="P839" t="s">
        <v>74</v>
      </c>
      <c r="Q839" t="s">
        <v>74</v>
      </c>
      <c r="R839" t="s">
        <v>74</v>
      </c>
      <c r="S839" t="s">
        <v>74</v>
      </c>
      <c r="T839" t="s">
        <v>16375</v>
      </c>
      <c r="U839" t="s">
        <v>16376</v>
      </c>
      <c r="V839" t="s">
        <v>16377</v>
      </c>
      <c r="W839" t="s">
        <v>16378</v>
      </c>
      <c r="X839" t="s">
        <v>16379</v>
      </c>
      <c r="Y839" t="s">
        <v>16380</v>
      </c>
      <c r="Z839" t="s">
        <v>3580</v>
      </c>
      <c r="AA839" t="s">
        <v>74</v>
      </c>
      <c r="AB839" t="s">
        <v>16381</v>
      </c>
      <c r="AC839" t="s">
        <v>16382</v>
      </c>
      <c r="AD839" t="s">
        <v>16382</v>
      </c>
      <c r="AE839" t="s">
        <v>16382</v>
      </c>
      <c r="AF839" t="s">
        <v>74</v>
      </c>
      <c r="AG839">
        <v>55</v>
      </c>
      <c r="AH839">
        <v>3</v>
      </c>
      <c r="AI839">
        <v>3</v>
      </c>
      <c r="AJ839">
        <v>0</v>
      </c>
      <c r="AK839">
        <v>6</v>
      </c>
      <c r="AL839" t="s">
        <v>91</v>
      </c>
      <c r="AM839" t="s">
        <v>92</v>
      </c>
      <c r="AN839" t="s">
        <v>93</v>
      </c>
      <c r="AO839" t="s">
        <v>13532</v>
      </c>
      <c r="AP839" t="s">
        <v>13533</v>
      </c>
      <c r="AQ839" t="s">
        <v>74</v>
      </c>
      <c r="AR839" t="s">
        <v>13534</v>
      </c>
      <c r="AS839" t="s">
        <v>13535</v>
      </c>
      <c r="AT839" t="s">
        <v>8316</v>
      </c>
      <c r="AU839">
        <v>2022</v>
      </c>
      <c r="AV839">
        <v>100</v>
      </c>
      <c r="AW839">
        <v>4</v>
      </c>
      <c r="AX839" t="s">
        <v>74</v>
      </c>
      <c r="AY839" t="s">
        <v>74</v>
      </c>
      <c r="AZ839" t="s">
        <v>74</v>
      </c>
      <c r="BA839" t="s">
        <v>74</v>
      </c>
      <c r="BB839">
        <v>997</v>
      </c>
      <c r="BC839">
        <v>1008</v>
      </c>
      <c r="BD839" t="s">
        <v>74</v>
      </c>
      <c r="BE839" t="s">
        <v>16383</v>
      </c>
      <c r="BF839" t="str">
        <f>HYPERLINK("http://dx.doi.org/10.1111/jfb.15004","http://dx.doi.org/10.1111/jfb.15004")</f>
        <v>http://dx.doi.org/10.1111/jfb.15004</v>
      </c>
      <c r="BG839" t="s">
        <v>74</v>
      </c>
      <c r="BH839" t="s">
        <v>12992</v>
      </c>
      <c r="BI839">
        <v>12</v>
      </c>
      <c r="BJ839" t="s">
        <v>10842</v>
      </c>
      <c r="BK839" t="s">
        <v>101</v>
      </c>
      <c r="BL839" t="s">
        <v>10842</v>
      </c>
      <c r="BM839" t="s">
        <v>16384</v>
      </c>
      <c r="BN839">
        <v>35099808</v>
      </c>
      <c r="BO839" t="s">
        <v>1033</v>
      </c>
      <c r="BP839" t="s">
        <v>74</v>
      </c>
      <c r="BQ839" t="s">
        <v>74</v>
      </c>
      <c r="BR839" t="s">
        <v>103</v>
      </c>
      <c r="BS839" t="s">
        <v>16385</v>
      </c>
      <c r="BT839" t="str">
        <f>HYPERLINK("https%3A%2F%2Fwww.webofscience.com%2Fwos%2Fwoscc%2Ffull-record%2FWOS:000765157600001","View Full Record in Web of Science")</f>
        <v>View Full Record in Web of Science</v>
      </c>
    </row>
    <row r="840" spans="1:72" x14ac:dyDescent="0.15">
      <c r="A840" t="s">
        <v>72</v>
      </c>
      <c r="B840" t="s">
        <v>16386</v>
      </c>
      <c r="C840" t="s">
        <v>74</v>
      </c>
      <c r="D840" t="s">
        <v>74</v>
      </c>
      <c r="E840" t="s">
        <v>74</v>
      </c>
      <c r="F840" t="s">
        <v>16387</v>
      </c>
      <c r="G840" t="s">
        <v>74</v>
      </c>
      <c r="H840" t="s">
        <v>74</v>
      </c>
      <c r="I840" t="s">
        <v>16388</v>
      </c>
      <c r="J840" t="s">
        <v>4373</v>
      </c>
      <c r="K840" t="s">
        <v>74</v>
      </c>
      <c r="L840" t="s">
        <v>74</v>
      </c>
      <c r="M840" t="s">
        <v>78</v>
      </c>
      <c r="N840" t="s">
        <v>79</v>
      </c>
      <c r="O840" t="s">
        <v>74</v>
      </c>
      <c r="P840" t="s">
        <v>74</v>
      </c>
      <c r="Q840" t="s">
        <v>74</v>
      </c>
      <c r="R840" t="s">
        <v>74</v>
      </c>
      <c r="S840" t="s">
        <v>74</v>
      </c>
      <c r="T840" t="s">
        <v>16389</v>
      </c>
      <c r="U840" t="s">
        <v>16390</v>
      </c>
      <c r="V840" t="s">
        <v>16391</v>
      </c>
      <c r="W840" t="s">
        <v>16392</v>
      </c>
      <c r="X840" t="s">
        <v>16393</v>
      </c>
      <c r="Y840" t="s">
        <v>16394</v>
      </c>
      <c r="Z840" t="s">
        <v>16395</v>
      </c>
      <c r="AA840" t="s">
        <v>16396</v>
      </c>
      <c r="AB840" t="s">
        <v>74</v>
      </c>
      <c r="AC840" t="s">
        <v>74</v>
      </c>
      <c r="AD840" t="s">
        <v>74</v>
      </c>
      <c r="AE840" t="s">
        <v>74</v>
      </c>
      <c r="AF840" t="s">
        <v>74</v>
      </c>
      <c r="AG840">
        <v>41</v>
      </c>
      <c r="AH840">
        <v>1</v>
      </c>
      <c r="AI840">
        <v>1</v>
      </c>
      <c r="AJ840">
        <v>0</v>
      </c>
      <c r="AK840">
        <v>5</v>
      </c>
      <c r="AL840" t="s">
        <v>199</v>
      </c>
      <c r="AM840" t="s">
        <v>200</v>
      </c>
      <c r="AN840" t="s">
        <v>201</v>
      </c>
      <c r="AO840" t="s">
        <v>4386</v>
      </c>
      <c r="AP840" t="s">
        <v>4387</v>
      </c>
      <c r="AQ840" t="s">
        <v>74</v>
      </c>
      <c r="AR840" t="s">
        <v>4388</v>
      </c>
      <c r="AS840" t="s">
        <v>4389</v>
      </c>
      <c r="AT840" t="s">
        <v>8316</v>
      </c>
      <c r="AU840">
        <v>2022</v>
      </c>
      <c r="AV840">
        <v>177</v>
      </c>
      <c r="AW840" t="s">
        <v>74</v>
      </c>
      <c r="AX840" t="s">
        <v>74</v>
      </c>
      <c r="AY840" t="s">
        <v>74</v>
      </c>
      <c r="AZ840" t="s">
        <v>74</v>
      </c>
      <c r="BA840" t="s">
        <v>74</v>
      </c>
      <c r="BB840" t="s">
        <v>74</v>
      </c>
      <c r="BC840" t="s">
        <v>74</v>
      </c>
      <c r="BD840">
        <v>113521</v>
      </c>
      <c r="BE840" t="s">
        <v>16397</v>
      </c>
      <c r="BF840" t="str">
        <f>HYPERLINK("http://dx.doi.org/10.1016/j.marpolbul.2022.113521","http://dx.doi.org/10.1016/j.marpolbul.2022.113521")</f>
        <v>http://dx.doi.org/10.1016/j.marpolbul.2022.113521</v>
      </c>
      <c r="BG840" t="s">
        <v>74</v>
      </c>
      <c r="BH840" t="s">
        <v>12992</v>
      </c>
      <c r="BI840">
        <v>7</v>
      </c>
      <c r="BJ840" t="s">
        <v>563</v>
      </c>
      <c r="BK840" t="s">
        <v>101</v>
      </c>
      <c r="BL840" t="s">
        <v>564</v>
      </c>
      <c r="BM840" t="s">
        <v>16398</v>
      </c>
      <c r="BN840">
        <v>35259568</v>
      </c>
      <c r="BO840" t="s">
        <v>74</v>
      </c>
      <c r="BP840" t="s">
        <v>74</v>
      </c>
      <c r="BQ840" t="s">
        <v>74</v>
      </c>
      <c r="BR840" t="s">
        <v>103</v>
      </c>
      <c r="BS840" t="s">
        <v>16399</v>
      </c>
      <c r="BT840" t="str">
        <f>HYPERLINK("https%3A%2F%2Fwww.webofscience.com%2Fwos%2Fwoscc%2Ffull-record%2FWOS:000819936400009","View Full Record in Web of Science")</f>
        <v>View Full Record in Web of Science</v>
      </c>
    </row>
    <row r="841" spans="1:72" x14ac:dyDescent="0.15">
      <c r="A841" t="s">
        <v>72</v>
      </c>
      <c r="B841" t="s">
        <v>16400</v>
      </c>
      <c r="C841" t="s">
        <v>74</v>
      </c>
      <c r="D841" t="s">
        <v>74</v>
      </c>
      <c r="E841" t="s">
        <v>74</v>
      </c>
      <c r="F841" t="s">
        <v>16401</v>
      </c>
      <c r="G841" t="s">
        <v>74</v>
      </c>
      <c r="H841" t="s">
        <v>74</v>
      </c>
      <c r="I841" t="s">
        <v>16402</v>
      </c>
      <c r="J841" t="s">
        <v>16403</v>
      </c>
      <c r="K841" t="s">
        <v>74</v>
      </c>
      <c r="L841" t="s">
        <v>74</v>
      </c>
      <c r="M841" t="s">
        <v>78</v>
      </c>
      <c r="N841" t="s">
        <v>79</v>
      </c>
      <c r="O841" t="s">
        <v>74</v>
      </c>
      <c r="P841" t="s">
        <v>74</v>
      </c>
      <c r="Q841" t="s">
        <v>74</v>
      </c>
      <c r="R841" t="s">
        <v>74</v>
      </c>
      <c r="S841" t="s">
        <v>74</v>
      </c>
      <c r="T841" t="s">
        <v>74</v>
      </c>
      <c r="U841" t="s">
        <v>16404</v>
      </c>
      <c r="V841" t="s">
        <v>16405</v>
      </c>
      <c r="W841" t="s">
        <v>16406</v>
      </c>
      <c r="X841" t="s">
        <v>16407</v>
      </c>
      <c r="Y841" t="s">
        <v>16408</v>
      </c>
      <c r="Z841" t="s">
        <v>16409</v>
      </c>
      <c r="AA841" t="s">
        <v>16410</v>
      </c>
      <c r="AB841" t="s">
        <v>16411</v>
      </c>
      <c r="AC841" t="s">
        <v>16412</v>
      </c>
      <c r="AD841" t="s">
        <v>16413</v>
      </c>
      <c r="AE841" t="s">
        <v>16414</v>
      </c>
      <c r="AF841" t="s">
        <v>74</v>
      </c>
      <c r="AG841">
        <v>97</v>
      </c>
      <c r="AH841">
        <v>4</v>
      </c>
      <c r="AI841">
        <v>5</v>
      </c>
      <c r="AJ841">
        <v>5</v>
      </c>
      <c r="AK841">
        <v>27</v>
      </c>
      <c r="AL841" t="s">
        <v>400</v>
      </c>
      <c r="AM841" t="s">
        <v>401</v>
      </c>
      <c r="AN841" t="s">
        <v>402</v>
      </c>
      <c r="AO841" t="s">
        <v>16415</v>
      </c>
      <c r="AP841" t="s">
        <v>16416</v>
      </c>
      <c r="AQ841" t="s">
        <v>74</v>
      </c>
      <c r="AR841" t="s">
        <v>16403</v>
      </c>
      <c r="AS841" t="s">
        <v>16417</v>
      </c>
      <c r="AT841" t="s">
        <v>5076</v>
      </c>
      <c r="AU841">
        <v>2022</v>
      </c>
      <c r="AV841">
        <v>128</v>
      </c>
      <c r="AW841">
        <v>5</v>
      </c>
      <c r="AX841" t="s">
        <v>74</v>
      </c>
      <c r="AY841" t="s">
        <v>74</v>
      </c>
      <c r="AZ841" t="s">
        <v>74</v>
      </c>
      <c r="BA841" t="s">
        <v>74</v>
      </c>
      <c r="BB841">
        <v>364</v>
      </c>
      <c r="BC841">
        <v>376</v>
      </c>
      <c r="BD841" t="s">
        <v>74</v>
      </c>
      <c r="BE841" t="s">
        <v>16418</v>
      </c>
      <c r="BF841" t="str">
        <f>HYPERLINK("http://dx.doi.org/10.1038/s41437-022-00515-3","http://dx.doi.org/10.1038/s41437-022-00515-3")</f>
        <v>http://dx.doi.org/10.1038/s41437-022-00515-3</v>
      </c>
      <c r="BG841" t="s">
        <v>74</v>
      </c>
      <c r="BH841" t="s">
        <v>12992</v>
      </c>
      <c r="BI841">
        <v>13</v>
      </c>
      <c r="BJ841" t="s">
        <v>5401</v>
      </c>
      <c r="BK841" t="s">
        <v>101</v>
      </c>
      <c r="BL841" t="s">
        <v>5402</v>
      </c>
      <c r="BM841" t="s">
        <v>16419</v>
      </c>
      <c r="BN841">
        <v>35246618</v>
      </c>
      <c r="BO841" t="s">
        <v>16420</v>
      </c>
      <c r="BP841" t="s">
        <v>74</v>
      </c>
      <c r="BQ841" t="s">
        <v>74</v>
      </c>
      <c r="BR841" t="s">
        <v>103</v>
      </c>
      <c r="BS841" t="s">
        <v>16421</v>
      </c>
      <c r="BT841" t="str">
        <f>HYPERLINK("https%3A%2F%2Fwww.webofscience.com%2Fwos%2Fwoscc%2Ffull-record%2FWOS:000764437400001","View Full Record in Web of Science")</f>
        <v>View Full Record in Web of Science</v>
      </c>
    </row>
    <row r="842" spans="1:72" x14ac:dyDescent="0.15">
      <c r="A842" t="s">
        <v>72</v>
      </c>
      <c r="B842" t="s">
        <v>16422</v>
      </c>
      <c r="C842" t="s">
        <v>74</v>
      </c>
      <c r="D842" t="s">
        <v>74</v>
      </c>
      <c r="E842" t="s">
        <v>74</v>
      </c>
      <c r="F842" t="s">
        <v>16423</v>
      </c>
      <c r="G842" t="s">
        <v>74</v>
      </c>
      <c r="H842" t="s">
        <v>74</v>
      </c>
      <c r="I842" t="s">
        <v>16424</v>
      </c>
      <c r="J842" t="s">
        <v>16425</v>
      </c>
      <c r="K842" t="s">
        <v>74</v>
      </c>
      <c r="L842" t="s">
        <v>74</v>
      </c>
      <c r="M842" t="s">
        <v>78</v>
      </c>
      <c r="N842" t="s">
        <v>79</v>
      </c>
      <c r="O842" t="s">
        <v>74</v>
      </c>
      <c r="P842" t="s">
        <v>74</v>
      </c>
      <c r="Q842" t="s">
        <v>74</v>
      </c>
      <c r="R842" t="s">
        <v>74</v>
      </c>
      <c r="S842" t="s">
        <v>74</v>
      </c>
      <c r="T842" t="s">
        <v>16426</v>
      </c>
      <c r="U842" t="s">
        <v>16427</v>
      </c>
      <c r="V842" t="s">
        <v>16428</v>
      </c>
      <c r="W842" t="s">
        <v>16429</v>
      </c>
      <c r="X842" t="s">
        <v>16430</v>
      </c>
      <c r="Y842" t="s">
        <v>16431</v>
      </c>
      <c r="Z842" t="s">
        <v>16432</v>
      </c>
      <c r="AA842" t="s">
        <v>16433</v>
      </c>
      <c r="AB842" t="s">
        <v>16434</v>
      </c>
      <c r="AC842" t="s">
        <v>16435</v>
      </c>
      <c r="AD842" t="s">
        <v>16435</v>
      </c>
      <c r="AE842" t="s">
        <v>16436</v>
      </c>
      <c r="AF842" t="s">
        <v>74</v>
      </c>
      <c r="AG842">
        <v>74</v>
      </c>
      <c r="AH842">
        <v>2</v>
      </c>
      <c r="AI842">
        <v>2</v>
      </c>
      <c r="AJ842">
        <v>2</v>
      </c>
      <c r="AK842">
        <v>9</v>
      </c>
      <c r="AL842" t="s">
        <v>3228</v>
      </c>
      <c r="AM842" t="s">
        <v>200</v>
      </c>
      <c r="AN842" t="s">
        <v>3229</v>
      </c>
      <c r="AO842" t="s">
        <v>16437</v>
      </c>
      <c r="AP842" t="s">
        <v>16438</v>
      </c>
      <c r="AQ842" t="s">
        <v>74</v>
      </c>
      <c r="AR842" t="s">
        <v>16439</v>
      </c>
      <c r="AS842" t="s">
        <v>16440</v>
      </c>
      <c r="AT842" t="s">
        <v>8316</v>
      </c>
      <c r="AU842">
        <v>2022</v>
      </c>
      <c r="AV842">
        <v>268</v>
      </c>
      <c r="AW842" t="s">
        <v>74</v>
      </c>
      <c r="AX842" t="s">
        <v>74</v>
      </c>
      <c r="AY842" t="s">
        <v>74</v>
      </c>
      <c r="AZ842" t="s">
        <v>74</v>
      </c>
      <c r="BA842" t="s">
        <v>74</v>
      </c>
      <c r="BB842" t="s">
        <v>74</v>
      </c>
      <c r="BC842" t="s">
        <v>74</v>
      </c>
      <c r="BD842">
        <v>109501</v>
      </c>
      <c r="BE842" t="s">
        <v>16441</v>
      </c>
      <c r="BF842" t="str">
        <f>HYPERLINK("http://dx.doi.org/10.1016/j.biocon.2022.109501","http://dx.doi.org/10.1016/j.biocon.2022.109501")</f>
        <v>http://dx.doi.org/10.1016/j.biocon.2022.109501</v>
      </c>
      <c r="BG842" t="s">
        <v>74</v>
      </c>
      <c r="BH842" t="s">
        <v>12992</v>
      </c>
      <c r="BI842">
        <v>13</v>
      </c>
      <c r="BJ842" t="s">
        <v>4270</v>
      </c>
      <c r="BK842" t="s">
        <v>956</v>
      </c>
      <c r="BL842" t="s">
        <v>540</v>
      </c>
      <c r="BM842" t="s">
        <v>16442</v>
      </c>
      <c r="BN842" t="s">
        <v>74</v>
      </c>
      <c r="BO842" t="s">
        <v>74</v>
      </c>
      <c r="BP842" t="s">
        <v>74</v>
      </c>
      <c r="BQ842" t="s">
        <v>74</v>
      </c>
      <c r="BR842" t="s">
        <v>103</v>
      </c>
      <c r="BS842" t="s">
        <v>16443</v>
      </c>
      <c r="BT842" t="str">
        <f>HYPERLINK("https%3A%2F%2Fwww.webofscience.com%2Fwos%2Fwoscc%2Ffull-record%2FWOS:000792488700003","View Full Record in Web of Science")</f>
        <v>View Full Record in Web of Science</v>
      </c>
    </row>
    <row r="843" spans="1:72" x14ac:dyDescent="0.15">
      <c r="A843" t="s">
        <v>72</v>
      </c>
      <c r="B843" t="s">
        <v>16444</v>
      </c>
      <c r="C843" t="s">
        <v>74</v>
      </c>
      <c r="D843" t="s">
        <v>74</v>
      </c>
      <c r="E843" t="s">
        <v>74</v>
      </c>
      <c r="F843" t="s">
        <v>16445</v>
      </c>
      <c r="G843" t="s">
        <v>74</v>
      </c>
      <c r="H843" t="s">
        <v>74</v>
      </c>
      <c r="I843" t="s">
        <v>16446</v>
      </c>
      <c r="J843" t="s">
        <v>4373</v>
      </c>
      <c r="K843" t="s">
        <v>74</v>
      </c>
      <c r="L843" t="s">
        <v>74</v>
      </c>
      <c r="M843" t="s">
        <v>78</v>
      </c>
      <c r="N843" t="s">
        <v>79</v>
      </c>
      <c r="O843" t="s">
        <v>74</v>
      </c>
      <c r="P843" t="s">
        <v>74</v>
      </c>
      <c r="Q843" t="s">
        <v>74</v>
      </c>
      <c r="R843" t="s">
        <v>74</v>
      </c>
      <c r="S843" t="s">
        <v>74</v>
      </c>
      <c r="T843" t="s">
        <v>16447</v>
      </c>
      <c r="U843" t="s">
        <v>16448</v>
      </c>
      <c r="V843" t="s">
        <v>16449</v>
      </c>
      <c r="W843" t="s">
        <v>16450</v>
      </c>
      <c r="X843" t="s">
        <v>9219</v>
      </c>
      <c r="Y843" t="s">
        <v>16451</v>
      </c>
      <c r="Z843" t="s">
        <v>16452</v>
      </c>
      <c r="AA843" t="s">
        <v>16453</v>
      </c>
      <c r="AB843" t="s">
        <v>16454</v>
      </c>
      <c r="AC843" t="s">
        <v>16455</v>
      </c>
      <c r="AD843" t="s">
        <v>16455</v>
      </c>
      <c r="AE843" t="s">
        <v>16456</v>
      </c>
      <c r="AF843" t="s">
        <v>74</v>
      </c>
      <c r="AG843">
        <v>43</v>
      </c>
      <c r="AH843">
        <v>2</v>
      </c>
      <c r="AI843">
        <v>2</v>
      </c>
      <c r="AJ843">
        <v>0</v>
      </c>
      <c r="AK843">
        <v>5</v>
      </c>
      <c r="AL843" t="s">
        <v>199</v>
      </c>
      <c r="AM843" t="s">
        <v>200</v>
      </c>
      <c r="AN843" t="s">
        <v>201</v>
      </c>
      <c r="AO843" t="s">
        <v>4386</v>
      </c>
      <c r="AP843" t="s">
        <v>4387</v>
      </c>
      <c r="AQ843" t="s">
        <v>74</v>
      </c>
      <c r="AR843" t="s">
        <v>4388</v>
      </c>
      <c r="AS843" t="s">
        <v>4389</v>
      </c>
      <c r="AT843" t="s">
        <v>8316</v>
      </c>
      <c r="AU843">
        <v>2022</v>
      </c>
      <c r="AV843">
        <v>177</v>
      </c>
      <c r="AW843" t="s">
        <v>74</v>
      </c>
      <c r="AX843" t="s">
        <v>74</v>
      </c>
      <c r="AY843" t="s">
        <v>74</v>
      </c>
      <c r="AZ843" t="s">
        <v>74</v>
      </c>
      <c r="BA843" t="s">
        <v>74</v>
      </c>
      <c r="BB843" t="s">
        <v>74</v>
      </c>
      <c r="BC843" t="s">
        <v>74</v>
      </c>
      <c r="BD843">
        <v>113482</v>
      </c>
      <c r="BE843" t="s">
        <v>16457</v>
      </c>
      <c r="BF843" t="str">
        <f>HYPERLINK("http://dx.doi.org/10.1016/j.marpolbul.2022.113482","http://dx.doi.org/10.1016/j.marpolbul.2022.113482")</f>
        <v>http://dx.doi.org/10.1016/j.marpolbul.2022.113482</v>
      </c>
      <c r="BG843" t="s">
        <v>74</v>
      </c>
      <c r="BH843" t="s">
        <v>12992</v>
      </c>
      <c r="BI843">
        <v>5</v>
      </c>
      <c r="BJ843" t="s">
        <v>563</v>
      </c>
      <c r="BK843" t="s">
        <v>101</v>
      </c>
      <c r="BL843" t="s">
        <v>564</v>
      </c>
      <c r="BM843" t="s">
        <v>15774</v>
      </c>
      <c r="BN843">
        <v>35255346</v>
      </c>
      <c r="BO843" t="s">
        <v>74</v>
      </c>
      <c r="BP843" t="s">
        <v>74</v>
      </c>
      <c r="BQ843" t="s">
        <v>74</v>
      </c>
      <c r="BR843" t="s">
        <v>103</v>
      </c>
      <c r="BS843" t="s">
        <v>16458</v>
      </c>
      <c r="BT843" t="str">
        <f>HYPERLINK("https%3A%2F%2Fwww.webofscience.com%2Fwos%2Fwoscc%2Ffull-record%2FWOS:000778939000003","View Full Record in Web of Science")</f>
        <v>View Full Record in Web of Science</v>
      </c>
    </row>
    <row r="844" spans="1:72" x14ac:dyDescent="0.15">
      <c r="A844" t="s">
        <v>72</v>
      </c>
      <c r="B844" t="s">
        <v>16459</v>
      </c>
      <c r="C844" t="s">
        <v>74</v>
      </c>
      <c r="D844" t="s">
        <v>74</v>
      </c>
      <c r="E844" t="s">
        <v>74</v>
      </c>
      <c r="F844" t="s">
        <v>16460</v>
      </c>
      <c r="G844" t="s">
        <v>74</v>
      </c>
      <c r="H844" t="s">
        <v>74</v>
      </c>
      <c r="I844" t="s">
        <v>16461</v>
      </c>
      <c r="J844" t="s">
        <v>272</v>
      </c>
      <c r="K844" t="s">
        <v>74</v>
      </c>
      <c r="L844" t="s">
        <v>74</v>
      </c>
      <c r="M844" t="s">
        <v>78</v>
      </c>
      <c r="N844" t="s">
        <v>79</v>
      </c>
      <c r="O844" t="s">
        <v>74</v>
      </c>
      <c r="P844" t="s">
        <v>74</v>
      </c>
      <c r="Q844" t="s">
        <v>74</v>
      </c>
      <c r="R844" t="s">
        <v>74</v>
      </c>
      <c r="S844" t="s">
        <v>74</v>
      </c>
      <c r="T844" t="s">
        <v>16462</v>
      </c>
      <c r="U844" t="s">
        <v>16463</v>
      </c>
      <c r="V844" t="s">
        <v>16464</v>
      </c>
      <c r="W844" t="s">
        <v>16465</v>
      </c>
      <c r="X844" t="s">
        <v>16466</v>
      </c>
      <c r="Y844" t="s">
        <v>16467</v>
      </c>
      <c r="Z844" t="s">
        <v>16468</v>
      </c>
      <c r="AA844" t="s">
        <v>16469</v>
      </c>
      <c r="AB844" t="s">
        <v>16470</v>
      </c>
      <c r="AC844" t="s">
        <v>16471</v>
      </c>
      <c r="AD844" t="s">
        <v>16472</v>
      </c>
      <c r="AE844" t="s">
        <v>16473</v>
      </c>
      <c r="AF844" t="s">
        <v>74</v>
      </c>
      <c r="AG844">
        <v>87</v>
      </c>
      <c r="AH844">
        <v>5</v>
      </c>
      <c r="AI844">
        <v>5</v>
      </c>
      <c r="AJ844">
        <v>5</v>
      </c>
      <c r="AK844">
        <v>16</v>
      </c>
      <c r="AL844" t="s">
        <v>285</v>
      </c>
      <c r="AM844" t="s">
        <v>286</v>
      </c>
      <c r="AN844" t="s">
        <v>287</v>
      </c>
      <c r="AO844" t="s">
        <v>74</v>
      </c>
      <c r="AP844" t="s">
        <v>288</v>
      </c>
      <c r="AQ844" t="s">
        <v>74</v>
      </c>
      <c r="AR844" t="s">
        <v>289</v>
      </c>
      <c r="AS844" t="s">
        <v>290</v>
      </c>
      <c r="AT844" t="s">
        <v>16474</v>
      </c>
      <c r="AU844">
        <v>2022</v>
      </c>
      <c r="AV844">
        <v>13</v>
      </c>
      <c r="AW844" t="s">
        <v>74</v>
      </c>
      <c r="AX844" t="s">
        <v>74</v>
      </c>
      <c r="AY844" t="s">
        <v>74</v>
      </c>
      <c r="AZ844" t="s">
        <v>74</v>
      </c>
      <c r="BA844" t="s">
        <v>74</v>
      </c>
      <c r="BB844" t="s">
        <v>74</v>
      </c>
      <c r="BC844" t="s">
        <v>74</v>
      </c>
      <c r="BD844">
        <v>805694</v>
      </c>
      <c r="BE844" t="s">
        <v>16475</v>
      </c>
      <c r="BF844" t="str">
        <f>HYPERLINK("http://dx.doi.org/10.3389/fmicb.2022.805694","http://dx.doi.org/10.3389/fmicb.2022.805694")</f>
        <v>http://dx.doi.org/10.3389/fmicb.2022.805694</v>
      </c>
      <c r="BG844" t="s">
        <v>74</v>
      </c>
      <c r="BH844" t="s">
        <v>74</v>
      </c>
      <c r="BI844">
        <v>12</v>
      </c>
      <c r="BJ844" t="s">
        <v>293</v>
      </c>
      <c r="BK844" t="s">
        <v>101</v>
      </c>
      <c r="BL844" t="s">
        <v>293</v>
      </c>
      <c r="BM844" t="s">
        <v>16476</v>
      </c>
      <c r="BN844">
        <v>35308360</v>
      </c>
      <c r="BO844" t="s">
        <v>295</v>
      </c>
      <c r="BP844" t="s">
        <v>74</v>
      </c>
      <c r="BQ844" t="s">
        <v>74</v>
      </c>
      <c r="BR844" t="s">
        <v>103</v>
      </c>
      <c r="BS844" t="s">
        <v>16477</v>
      </c>
      <c r="BT844" t="str">
        <f>HYPERLINK("https%3A%2F%2Fwww.webofscience.com%2Fwos%2Fwoscc%2Ffull-record%2FWOS:000775531700001","View Full Record in Web of Science")</f>
        <v>View Full Record in Web of Science</v>
      </c>
    </row>
    <row r="845" spans="1:72" x14ac:dyDescent="0.15">
      <c r="A845" t="s">
        <v>72</v>
      </c>
      <c r="B845" t="s">
        <v>16478</v>
      </c>
      <c r="C845" t="s">
        <v>74</v>
      </c>
      <c r="D845" t="s">
        <v>74</v>
      </c>
      <c r="E845" t="s">
        <v>74</v>
      </c>
      <c r="F845" t="s">
        <v>16479</v>
      </c>
      <c r="G845" t="s">
        <v>74</v>
      </c>
      <c r="H845" t="s">
        <v>74</v>
      </c>
      <c r="I845" t="s">
        <v>16480</v>
      </c>
      <c r="J845" t="s">
        <v>648</v>
      </c>
      <c r="K845" t="s">
        <v>74</v>
      </c>
      <c r="L845" t="s">
        <v>74</v>
      </c>
      <c r="M845" t="s">
        <v>78</v>
      </c>
      <c r="N845" t="s">
        <v>79</v>
      </c>
      <c r="O845" t="s">
        <v>74</v>
      </c>
      <c r="P845" t="s">
        <v>74</v>
      </c>
      <c r="Q845" t="s">
        <v>74</v>
      </c>
      <c r="R845" t="s">
        <v>74</v>
      </c>
      <c r="S845" t="s">
        <v>74</v>
      </c>
      <c r="T845" t="s">
        <v>74</v>
      </c>
      <c r="U845" t="s">
        <v>16481</v>
      </c>
      <c r="V845" t="s">
        <v>16482</v>
      </c>
      <c r="W845" t="s">
        <v>16483</v>
      </c>
      <c r="X845" t="s">
        <v>16484</v>
      </c>
      <c r="Y845" t="s">
        <v>16485</v>
      </c>
      <c r="Z845" t="s">
        <v>16486</v>
      </c>
      <c r="AA845" t="s">
        <v>74</v>
      </c>
      <c r="AB845" t="s">
        <v>74</v>
      </c>
      <c r="AC845" t="s">
        <v>16487</v>
      </c>
      <c r="AD845" t="s">
        <v>16488</v>
      </c>
      <c r="AE845" t="s">
        <v>16489</v>
      </c>
      <c r="AF845" t="s">
        <v>74</v>
      </c>
      <c r="AG845">
        <v>32</v>
      </c>
      <c r="AH845">
        <v>6</v>
      </c>
      <c r="AI845">
        <v>7</v>
      </c>
      <c r="AJ845">
        <v>3</v>
      </c>
      <c r="AK845">
        <v>13</v>
      </c>
      <c r="AL845" t="s">
        <v>455</v>
      </c>
      <c r="AM845" t="s">
        <v>456</v>
      </c>
      <c r="AN845" t="s">
        <v>457</v>
      </c>
      <c r="AO845" t="s">
        <v>74</v>
      </c>
      <c r="AP845" t="s">
        <v>652</v>
      </c>
      <c r="AQ845" t="s">
        <v>74</v>
      </c>
      <c r="AR845" t="s">
        <v>653</v>
      </c>
      <c r="AS845" t="s">
        <v>654</v>
      </c>
      <c r="AT845" t="s">
        <v>16474</v>
      </c>
      <c r="AU845">
        <v>2022</v>
      </c>
      <c r="AV845">
        <v>13</v>
      </c>
      <c r="AW845">
        <v>1</v>
      </c>
      <c r="AX845" t="s">
        <v>74</v>
      </c>
      <c r="AY845" t="s">
        <v>74</v>
      </c>
      <c r="AZ845" t="s">
        <v>74</v>
      </c>
      <c r="BA845" t="s">
        <v>74</v>
      </c>
      <c r="BB845" t="s">
        <v>74</v>
      </c>
      <c r="BC845" t="s">
        <v>74</v>
      </c>
      <c r="BD845">
        <v>1164</v>
      </c>
      <c r="BE845" t="s">
        <v>16490</v>
      </c>
      <c r="BF845" t="str">
        <f>HYPERLINK("http://dx.doi.org/10.1038/s41467-022-28676-z","http://dx.doi.org/10.1038/s41467-022-28676-z")</f>
        <v>http://dx.doi.org/10.1038/s41467-022-28676-z</v>
      </c>
      <c r="BG845" t="s">
        <v>74</v>
      </c>
      <c r="BH845" t="s">
        <v>74</v>
      </c>
      <c r="BI845">
        <v>11</v>
      </c>
      <c r="BJ845" t="s">
        <v>657</v>
      </c>
      <c r="BK845" t="s">
        <v>101</v>
      </c>
      <c r="BL845" t="s">
        <v>658</v>
      </c>
      <c r="BM845" t="s">
        <v>16491</v>
      </c>
      <c r="BN845">
        <v>35246526</v>
      </c>
      <c r="BO845" t="s">
        <v>2167</v>
      </c>
      <c r="BP845" t="s">
        <v>74</v>
      </c>
      <c r="BQ845" t="s">
        <v>74</v>
      </c>
      <c r="BR845" t="s">
        <v>103</v>
      </c>
      <c r="BS845" t="s">
        <v>16492</v>
      </c>
      <c r="BT845" t="str">
        <f>HYPERLINK("https%3A%2F%2Fwww.webofscience.com%2Fwos%2Fwoscc%2Ffull-record%2FWOS:000764895600020","View Full Record in Web of Science")</f>
        <v>View Full Record in Web of Science</v>
      </c>
    </row>
    <row r="846" spans="1:72" x14ac:dyDescent="0.15">
      <c r="A846" t="s">
        <v>72</v>
      </c>
      <c r="B846" t="s">
        <v>16493</v>
      </c>
      <c r="C846" t="s">
        <v>74</v>
      </c>
      <c r="D846" t="s">
        <v>74</v>
      </c>
      <c r="E846" t="s">
        <v>74</v>
      </c>
      <c r="F846" t="s">
        <v>16494</v>
      </c>
      <c r="G846" t="s">
        <v>74</v>
      </c>
      <c r="H846" t="s">
        <v>74</v>
      </c>
      <c r="I846" t="s">
        <v>16495</v>
      </c>
      <c r="J846" t="s">
        <v>16496</v>
      </c>
      <c r="K846" t="s">
        <v>74</v>
      </c>
      <c r="L846" t="s">
        <v>74</v>
      </c>
      <c r="M846" t="s">
        <v>78</v>
      </c>
      <c r="N846" t="s">
        <v>79</v>
      </c>
      <c r="O846" t="s">
        <v>74</v>
      </c>
      <c r="P846" t="s">
        <v>74</v>
      </c>
      <c r="Q846" t="s">
        <v>74</v>
      </c>
      <c r="R846" t="s">
        <v>74</v>
      </c>
      <c r="S846" t="s">
        <v>74</v>
      </c>
      <c r="T846" t="s">
        <v>74</v>
      </c>
      <c r="U846" t="s">
        <v>16497</v>
      </c>
      <c r="V846" t="s">
        <v>16498</v>
      </c>
      <c r="W846" t="s">
        <v>16499</v>
      </c>
      <c r="X846" t="s">
        <v>16500</v>
      </c>
      <c r="Y846" t="s">
        <v>16501</v>
      </c>
      <c r="Z846" t="s">
        <v>16502</v>
      </c>
      <c r="AA846" t="s">
        <v>74</v>
      </c>
      <c r="AB846" t="s">
        <v>16503</v>
      </c>
      <c r="AC846" t="s">
        <v>16504</v>
      </c>
      <c r="AD846" t="s">
        <v>16505</v>
      </c>
      <c r="AE846" t="s">
        <v>16506</v>
      </c>
      <c r="AF846" t="s">
        <v>74</v>
      </c>
      <c r="AG846">
        <v>73</v>
      </c>
      <c r="AH846">
        <v>13</v>
      </c>
      <c r="AI846">
        <v>14</v>
      </c>
      <c r="AJ846">
        <v>3</v>
      </c>
      <c r="AK846">
        <v>24</v>
      </c>
      <c r="AL846" t="s">
        <v>455</v>
      </c>
      <c r="AM846" t="s">
        <v>456</v>
      </c>
      <c r="AN846" t="s">
        <v>457</v>
      </c>
      <c r="AO846" t="s">
        <v>74</v>
      </c>
      <c r="AP846" t="s">
        <v>16507</v>
      </c>
      <c r="AQ846" t="s">
        <v>74</v>
      </c>
      <c r="AR846" t="s">
        <v>16508</v>
      </c>
      <c r="AS846" t="s">
        <v>16509</v>
      </c>
      <c r="AT846" t="s">
        <v>16474</v>
      </c>
      <c r="AU846">
        <v>2022</v>
      </c>
      <c r="AV846">
        <v>5</v>
      </c>
      <c r="AW846">
        <v>1</v>
      </c>
      <c r="AX846" t="s">
        <v>74</v>
      </c>
      <c r="AY846" t="s">
        <v>74</v>
      </c>
      <c r="AZ846" t="s">
        <v>74</v>
      </c>
      <c r="BA846" t="s">
        <v>74</v>
      </c>
      <c r="BB846" t="s">
        <v>74</v>
      </c>
      <c r="BC846" t="s">
        <v>74</v>
      </c>
      <c r="BD846">
        <v>207</v>
      </c>
      <c r="BE846" t="s">
        <v>16510</v>
      </c>
      <c r="BF846" t="str">
        <f>HYPERLINK("http://dx.doi.org/10.1038/s42003-022-03148-8","http://dx.doi.org/10.1038/s42003-022-03148-8")</f>
        <v>http://dx.doi.org/10.1038/s42003-022-03148-8</v>
      </c>
      <c r="BG846" t="s">
        <v>74</v>
      </c>
      <c r="BH846" t="s">
        <v>74</v>
      </c>
      <c r="BI846">
        <v>12</v>
      </c>
      <c r="BJ846" t="s">
        <v>16511</v>
      </c>
      <c r="BK846" t="s">
        <v>101</v>
      </c>
      <c r="BL846" t="s">
        <v>16512</v>
      </c>
      <c r="BM846" t="s">
        <v>16513</v>
      </c>
      <c r="BN846">
        <v>35246600</v>
      </c>
      <c r="BO846" t="s">
        <v>1533</v>
      </c>
      <c r="BP846" t="s">
        <v>74</v>
      </c>
      <c r="BQ846" t="s">
        <v>74</v>
      </c>
      <c r="BR846" t="s">
        <v>103</v>
      </c>
      <c r="BS846" t="s">
        <v>16514</v>
      </c>
      <c r="BT846" t="str">
        <f>HYPERLINK("https%3A%2F%2Fwww.webofscience.com%2Fwos%2Fwoscc%2Ffull-record%2FWOS:000764765400004","View Full Record in Web of Science")</f>
        <v>View Full Record in Web of Science</v>
      </c>
    </row>
    <row r="847" spans="1:72" x14ac:dyDescent="0.15">
      <c r="A847" t="s">
        <v>72</v>
      </c>
      <c r="B847" t="s">
        <v>16515</v>
      </c>
      <c r="C847" t="s">
        <v>74</v>
      </c>
      <c r="D847" t="s">
        <v>74</v>
      </c>
      <c r="E847" t="s">
        <v>74</v>
      </c>
      <c r="F847" t="s">
        <v>16516</v>
      </c>
      <c r="G847" t="s">
        <v>74</v>
      </c>
      <c r="H847" t="s">
        <v>74</v>
      </c>
      <c r="I847" t="s">
        <v>16517</v>
      </c>
      <c r="J847" t="s">
        <v>4294</v>
      </c>
      <c r="K847" t="s">
        <v>74</v>
      </c>
      <c r="L847" t="s">
        <v>74</v>
      </c>
      <c r="M847" t="s">
        <v>78</v>
      </c>
      <c r="N847" t="s">
        <v>649</v>
      </c>
      <c r="O847" t="s">
        <v>74</v>
      </c>
      <c r="P847" t="s">
        <v>74</v>
      </c>
      <c r="Q847" t="s">
        <v>74</v>
      </c>
      <c r="R847" t="s">
        <v>74</v>
      </c>
      <c r="S847" t="s">
        <v>74</v>
      </c>
      <c r="T847" t="s">
        <v>74</v>
      </c>
      <c r="U847" t="s">
        <v>74</v>
      </c>
      <c r="V847" t="s">
        <v>74</v>
      </c>
      <c r="W847" t="s">
        <v>74</v>
      </c>
      <c r="X847" t="s">
        <v>74</v>
      </c>
      <c r="Y847" t="s">
        <v>74</v>
      </c>
      <c r="Z847" t="s">
        <v>16518</v>
      </c>
      <c r="AA847" t="s">
        <v>16519</v>
      </c>
      <c r="AB847" t="s">
        <v>16520</v>
      </c>
      <c r="AC847" t="s">
        <v>16521</v>
      </c>
      <c r="AD847" t="s">
        <v>16522</v>
      </c>
      <c r="AE847" t="s">
        <v>16523</v>
      </c>
      <c r="AF847" t="s">
        <v>74</v>
      </c>
      <c r="AG847">
        <v>1</v>
      </c>
      <c r="AH847">
        <v>0</v>
      </c>
      <c r="AI847">
        <v>0</v>
      </c>
      <c r="AJ847">
        <v>0</v>
      </c>
      <c r="AK847">
        <v>0</v>
      </c>
      <c r="AL847" t="s">
        <v>455</v>
      </c>
      <c r="AM847" t="s">
        <v>456</v>
      </c>
      <c r="AN847" t="s">
        <v>457</v>
      </c>
      <c r="AO847" t="s">
        <v>4306</v>
      </c>
      <c r="AP847" t="s">
        <v>74</v>
      </c>
      <c r="AQ847" t="s">
        <v>74</v>
      </c>
      <c r="AR847" t="s">
        <v>4307</v>
      </c>
      <c r="AS847" t="s">
        <v>4308</v>
      </c>
      <c r="AT847" t="s">
        <v>16524</v>
      </c>
      <c r="AU847">
        <v>2022</v>
      </c>
      <c r="AV847">
        <v>12</v>
      </c>
      <c r="AW847">
        <v>1</v>
      </c>
      <c r="AX847" t="s">
        <v>74</v>
      </c>
      <c r="AY847" t="s">
        <v>74</v>
      </c>
      <c r="AZ847" t="s">
        <v>74</v>
      </c>
      <c r="BA847" t="s">
        <v>74</v>
      </c>
      <c r="BB847" t="s">
        <v>74</v>
      </c>
      <c r="BC847" t="s">
        <v>74</v>
      </c>
      <c r="BD847">
        <v>3853</v>
      </c>
      <c r="BE847" t="s">
        <v>16525</v>
      </c>
      <c r="BF847" t="str">
        <f>HYPERLINK("http://dx.doi.org/10.1038/s41598-022-07501-z","http://dx.doi.org/10.1038/s41598-022-07501-z")</f>
        <v>http://dx.doi.org/10.1038/s41598-022-07501-z</v>
      </c>
      <c r="BG847" t="s">
        <v>74</v>
      </c>
      <c r="BH847" t="s">
        <v>74</v>
      </c>
      <c r="BI847">
        <v>1</v>
      </c>
      <c r="BJ847" t="s">
        <v>657</v>
      </c>
      <c r="BK847" t="s">
        <v>101</v>
      </c>
      <c r="BL847" t="s">
        <v>658</v>
      </c>
      <c r="BM847" t="s">
        <v>16526</v>
      </c>
      <c r="BN847">
        <v>35241743</v>
      </c>
      <c r="BO847" t="s">
        <v>295</v>
      </c>
      <c r="BP847" t="s">
        <v>74</v>
      </c>
      <c r="BQ847" t="s">
        <v>74</v>
      </c>
      <c r="BR847" t="s">
        <v>103</v>
      </c>
      <c r="BS847" t="s">
        <v>16527</v>
      </c>
      <c r="BT847" t="str">
        <f>HYPERLINK("https%3A%2F%2Fwww.webofscience.com%2Fwos%2Fwoscc%2Ffull-record%2FWOS:000838718500005","View Full Record in Web of Science")</f>
        <v>View Full Record in Web of Science</v>
      </c>
    </row>
    <row r="848" spans="1:72" x14ac:dyDescent="0.15">
      <c r="A848" t="s">
        <v>72</v>
      </c>
      <c r="B848" t="s">
        <v>16528</v>
      </c>
      <c r="C848" t="s">
        <v>74</v>
      </c>
      <c r="D848" t="s">
        <v>74</v>
      </c>
      <c r="E848" t="s">
        <v>74</v>
      </c>
      <c r="F848" t="s">
        <v>16529</v>
      </c>
      <c r="G848" t="s">
        <v>74</v>
      </c>
      <c r="H848" t="s">
        <v>74</v>
      </c>
      <c r="I848" t="s">
        <v>16530</v>
      </c>
      <c r="J848" t="s">
        <v>16531</v>
      </c>
      <c r="K848" t="s">
        <v>74</v>
      </c>
      <c r="L848" t="s">
        <v>74</v>
      </c>
      <c r="M848" t="s">
        <v>78</v>
      </c>
      <c r="N848" t="s">
        <v>79</v>
      </c>
      <c r="O848" t="s">
        <v>74</v>
      </c>
      <c r="P848" t="s">
        <v>74</v>
      </c>
      <c r="Q848" t="s">
        <v>74</v>
      </c>
      <c r="R848" t="s">
        <v>74</v>
      </c>
      <c r="S848" t="s">
        <v>74</v>
      </c>
      <c r="T848" t="s">
        <v>16532</v>
      </c>
      <c r="U848" t="s">
        <v>16533</v>
      </c>
      <c r="V848" t="s">
        <v>16534</v>
      </c>
      <c r="W848" t="s">
        <v>16535</v>
      </c>
      <c r="X848" t="s">
        <v>16536</v>
      </c>
      <c r="Y848" t="s">
        <v>16537</v>
      </c>
      <c r="Z848" t="s">
        <v>16538</v>
      </c>
      <c r="AA848" t="s">
        <v>16539</v>
      </c>
      <c r="AB848" t="s">
        <v>16540</v>
      </c>
      <c r="AC848" t="s">
        <v>16541</v>
      </c>
      <c r="AD848" t="s">
        <v>16542</v>
      </c>
      <c r="AE848" t="s">
        <v>16543</v>
      </c>
      <c r="AF848" t="s">
        <v>74</v>
      </c>
      <c r="AG848">
        <v>92</v>
      </c>
      <c r="AH848">
        <v>1</v>
      </c>
      <c r="AI848">
        <v>1</v>
      </c>
      <c r="AJ848">
        <v>3</v>
      </c>
      <c r="AK848">
        <v>9</v>
      </c>
      <c r="AL848" t="s">
        <v>257</v>
      </c>
      <c r="AM848" t="s">
        <v>258</v>
      </c>
      <c r="AN848" t="s">
        <v>259</v>
      </c>
      <c r="AO848" t="s">
        <v>16544</v>
      </c>
      <c r="AP848" t="s">
        <v>16545</v>
      </c>
      <c r="AQ848" t="s">
        <v>74</v>
      </c>
      <c r="AR848" t="s">
        <v>16531</v>
      </c>
      <c r="AS848" t="s">
        <v>16546</v>
      </c>
      <c r="AT848" t="s">
        <v>5076</v>
      </c>
      <c r="AU848">
        <v>2022</v>
      </c>
      <c r="AV848">
        <v>416</v>
      </c>
      <c r="AW848" t="s">
        <v>74</v>
      </c>
      <c r="AX848" t="s">
        <v>74</v>
      </c>
      <c r="AY848" t="s">
        <v>74</v>
      </c>
      <c r="AZ848" t="s">
        <v>74</v>
      </c>
      <c r="BA848" t="s">
        <v>74</v>
      </c>
      <c r="BB848" t="s">
        <v>74</v>
      </c>
      <c r="BC848" t="s">
        <v>74</v>
      </c>
      <c r="BD848">
        <v>106643</v>
      </c>
      <c r="BE848" t="s">
        <v>16547</v>
      </c>
      <c r="BF848" t="str">
        <f>HYPERLINK("http://dx.doi.org/10.1016/j.lithos.2022.106643","http://dx.doi.org/10.1016/j.lithos.2022.106643")</f>
        <v>http://dx.doi.org/10.1016/j.lithos.2022.106643</v>
      </c>
      <c r="BG848" t="s">
        <v>74</v>
      </c>
      <c r="BH848" t="s">
        <v>12992</v>
      </c>
      <c r="BI848">
        <v>20</v>
      </c>
      <c r="BJ848" t="s">
        <v>12375</v>
      </c>
      <c r="BK848" t="s">
        <v>101</v>
      </c>
      <c r="BL848" t="s">
        <v>12375</v>
      </c>
      <c r="BM848" t="s">
        <v>16548</v>
      </c>
      <c r="BN848" t="s">
        <v>74</v>
      </c>
      <c r="BO848" t="s">
        <v>643</v>
      </c>
      <c r="BP848" t="s">
        <v>74</v>
      </c>
      <c r="BQ848" t="s">
        <v>74</v>
      </c>
      <c r="BR848" t="s">
        <v>103</v>
      </c>
      <c r="BS848" t="s">
        <v>16549</v>
      </c>
      <c r="BT848" t="str">
        <f>HYPERLINK("https%3A%2F%2Fwww.webofscience.com%2Fwos%2Fwoscc%2Ffull-record%2FWOS:000799244600002","View Full Record in Web of Science")</f>
        <v>View Full Record in Web of Science</v>
      </c>
    </row>
    <row r="849" spans="1:72" x14ac:dyDescent="0.15">
      <c r="A849" t="s">
        <v>72</v>
      </c>
      <c r="B849" t="s">
        <v>16550</v>
      </c>
      <c r="C849" t="s">
        <v>74</v>
      </c>
      <c r="D849" t="s">
        <v>74</v>
      </c>
      <c r="E849" t="s">
        <v>74</v>
      </c>
      <c r="F849" t="s">
        <v>16551</v>
      </c>
      <c r="G849" t="s">
        <v>74</v>
      </c>
      <c r="H849" t="s">
        <v>74</v>
      </c>
      <c r="I849" t="s">
        <v>16552</v>
      </c>
      <c r="J849" t="s">
        <v>546</v>
      </c>
      <c r="K849" t="s">
        <v>74</v>
      </c>
      <c r="L849" t="s">
        <v>74</v>
      </c>
      <c r="M849" t="s">
        <v>78</v>
      </c>
      <c r="N849" t="s">
        <v>79</v>
      </c>
      <c r="O849" t="s">
        <v>74</v>
      </c>
      <c r="P849" t="s">
        <v>74</v>
      </c>
      <c r="Q849" t="s">
        <v>74</v>
      </c>
      <c r="R849" t="s">
        <v>74</v>
      </c>
      <c r="S849" t="s">
        <v>74</v>
      </c>
      <c r="T849" t="s">
        <v>16553</v>
      </c>
      <c r="U849" t="s">
        <v>16554</v>
      </c>
      <c r="V849" t="s">
        <v>16555</v>
      </c>
      <c r="W849" t="s">
        <v>16556</v>
      </c>
      <c r="X849" t="s">
        <v>16557</v>
      </c>
      <c r="Y849" t="s">
        <v>16558</v>
      </c>
      <c r="Z849" t="s">
        <v>16559</v>
      </c>
      <c r="AA849" t="s">
        <v>16560</v>
      </c>
      <c r="AB849" t="s">
        <v>16561</v>
      </c>
      <c r="AC849" t="s">
        <v>16562</v>
      </c>
      <c r="AD849" t="s">
        <v>16563</v>
      </c>
      <c r="AE849" t="s">
        <v>16564</v>
      </c>
      <c r="AF849" t="s">
        <v>74</v>
      </c>
      <c r="AG849">
        <v>56</v>
      </c>
      <c r="AH849">
        <v>1</v>
      </c>
      <c r="AI849">
        <v>1</v>
      </c>
      <c r="AJ849">
        <v>0</v>
      </c>
      <c r="AK849">
        <v>18</v>
      </c>
      <c r="AL849" t="s">
        <v>285</v>
      </c>
      <c r="AM849" t="s">
        <v>286</v>
      </c>
      <c r="AN849" t="s">
        <v>287</v>
      </c>
      <c r="AO849" t="s">
        <v>74</v>
      </c>
      <c r="AP849" t="s">
        <v>558</v>
      </c>
      <c r="AQ849" t="s">
        <v>74</v>
      </c>
      <c r="AR849" t="s">
        <v>559</v>
      </c>
      <c r="AS849" t="s">
        <v>560</v>
      </c>
      <c r="AT849" t="s">
        <v>16524</v>
      </c>
      <c r="AU849">
        <v>2022</v>
      </c>
      <c r="AV849">
        <v>9</v>
      </c>
      <c r="AW849" t="s">
        <v>74</v>
      </c>
      <c r="AX849" t="s">
        <v>74</v>
      </c>
      <c r="AY849" t="s">
        <v>74</v>
      </c>
      <c r="AZ849" t="s">
        <v>74</v>
      </c>
      <c r="BA849" t="s">
        <v>74</v>
      </c>
      <c r="BB849" t="s">
        <v>74</v>
      </c>
      <c r="BC849" t="s">
        <v>74</v>
      </c>
      <c r="BD849">
        <v>789805</v>
      </c>
      <c r="BE849" t="s">
        <v>16565</v>
      </c>
      <c r="BF849" t="str">
        <f>HYPERLINK("http://dx.doi.org/10.3389/fmars.2022.789805","http://dx.doi.org/10.3389/fmars.2022.789805")</f>
        <v>http://dx.doi.org/10.3389/fmars.2022.789805</v>
      </c>
      <c r="BG849" t="s">
        <v>74</v>
      </c>
      <c r="BH849" t="s">
        <v>74</v>
      </c>
      <c r="BI849">
        <v>13</v>
      </c>
      <c r="BJ849" t="s">
        <v>563</v>
      </c>
      <c r="BK849" t="s">
        <v>101</v>
      </c>
      <c r="BL849" t="s">
        <v>564</v>
      </c>
      <c r="BM849" t="s">
        <v>16566</v>
      </c>
      <c r="BN849" t="s">
        <v>74</v>
      </c>
      <c r="BO849" t="s">
        <v>410</v>
      </c>
      <c r="BP849" t="s">
        <v>74</v>
      </c>
      <c r="BQ849" t="s">
        <v>74</v>
      </c>
      <c r="BR849" t="s">
        <v>103</v>
      </c>
      <c r="BS849" t="s">
        <v>16567</v>
      </c>
      <c r="BT849" t="str">
        <f>HYPERLINK("https%3A%2F%2Fwww.webofscience.com%2Fwos%2Fwoscc%2Ffull-record%2FWOS:000773219800001","View Full Record in Web of Science")</f>
        <v>View Full Record in Web of Science</v>
      </c>
    </row>
    <row r="850" spans="1:72" x14ac:dyDescent="0.15">
      <c r="A850" t="s">
        <v>72</v>
      </c>
      <c r="B850" t="s">
        <v>16568</v>
      </c>
      <c r="C850" t="s">
        <v>74</v>
      </c>
      <c r="D850" t="s">
        <v>74</v>
      </c>
      <c r="E850" t="s">
        <v>74</v>
      </c>
      <c r="F850" t="s">
        <v>16569</v>
      </c>
      <c r="G850" t="s">
        <v>74</v>
      </c>
      <c r="H850" t="s">
        <v>74</v>
      </c>
      <c r="I850" t="s">
        <v>16570</v>
      </c>
      <c r="J850" t="s">
        <v>648</v>
      </c>
      <c r="K850" t="s">
        <v>74</v>
      </c>
      <c r="L850" t="s">
        <v>74</v>
      </c>
      <c r="M850" t="s">
        <v>78</v>
      </c>
      <c r="N850" t="s">
        <v>79</v>
      </c>
      <c r="O850" t="s">
        <v>74</v>
      </c>
      <c r="P850" t="s">
        <v>74</v>
      </c>
      <c r="Q850" t="s">
        <v>74</v>
      </c>
      <c r="R850" t="s">
        <v>74</v>
      </c>
      <c r="S850" t="s">
        <v>74</v>
      </c>
      <c r="T850" t="s">
        <v>74</v>
      </c>
      <c r="U850" t="s">
        <v>16571</v>
      </c>
      <c r="V850" t="s">
        <v>16572</v>
      </c>
      <c r="W850" t="s">
        <v>16573</v>
      </c>
      <c r="X850" t="s">
        <v>16574</v>
      </c>
      <c r="Y850" t="s">
        <v>16575</v>
      </c>
      <c r="Z850" t="s">
        <v>16576</v>
      </c>
      <c r="AA850" t="s">
        <v>16577</v>
      </c>
      <c r="AB850" t="s">
        <v>16578</v>
      </c>
      <c r="AC850" t="s">
        <v>16579</v>
      </c>
      <c r="AD850" t="s">
        <v>16580</v>
      </c>
      <c r="AE850" t="s">
        <v>16581</v>
      </c>
      <c r="AF850" t="s">
        <v>74</v>
      </c>
      <c r="AG850">
        <v>66</v>
      </c>
      <c r="AH850">
        <v>17</v>
      </c>
      <c r="AI850">
        <v>17</v>
      </c>
      <c r="AJ850">
        <v>4</v>
      </c>
      <c r="AK850">
        <v>29</v>
      </c>
      <c r="AL850" t="s">
        <v>455</v>
      </c>
      <c r="AM850" t="s">
        <v>456</v>
      </c>
      <c r="AN850" t="s">
        <v>457</v>
      </c>
      <c r="AO850" t="s">
        <v>74</v>
      </c>
      <c r="AP850" t="s">
        <v>652</v>
      </c>
      <c r="AQ850" t="s">
        <v>74</v>
      </c>
      <c r="AR850" t="s">
        <v>653</v>
      </c>
      <c r="AS850" t="s">
        <v>654</v>
      </c>
      <c r="AT850" t="s">
        <v>16524</v>
      </c>
      <c r="AU850">
        <v>2022</v>
      </c>
      <c r="AV850">
        <v>13</v>
      </c>
      <c r="AW850">
        <v>1</v>
      </c>
      <c r="AX850" t="s">
        <v>74</v>
      </c>
      <c r="AY850" t="s">
        <v>74</v>
      </c>
      <c r="AZ850" t="s">
        <v>74</v>
      </c>
      <c r="BA850" t="s">
        <v>74</v>
      </c>
      <c r="BB850" t="s">
        <v>74</v>
      </c>
      <c r="BC850" t="s">
        <v>74</v>
      </c>
      <c r="BD850">
        <v>1138</v>
      </c>
      <c r="BE850" t="s">
        <v>16582</v>
      </c>
      <c r="BF850" t="str">
        <f>HYPERLINK("http://dx.doi.org/10.1038/s41467-022-28751-5","http://dx.doi.org/10.1038/s41467-022-28751-5")</f>
        <v>http://dx.doi.org/10.1038/s41467-022-28751-5</v>
      </c>
      <c r="BG850" t="s">
        <v>74</v>
      </c>
      <c r="BH850" t="s">
        <v>74</v>
      </c>
      <c r="BI850">
        <v>11</v>
      </c>
      <c r="BJ850" t="s">
        <v>657</v>
      </c>
      <c r="BK850" t="s">
        <v>101</v>
      </c>
      <c r="BL850" t="s">
        <v>658</v>
      </c>
      <c r="BM850" t="s">
        <v>16583</v>
      </c>
      <c r="BN850">
        <v>35241654</v>
      </c>
      <c r="BO850" t="s">
        <v>16584</v>
      </c>
      <c r="BP850" t="s">
        <v>74</v>
      </c>
      <c r="BQ850" t="s">
        <v>74</v>
      </c>
      <c r="BR850" t="s">
        <v>103</v>
      </c>
      <c r="BS850" t="s">
        <v>16585</v>
      </c>
      <c r="BT850" t="str">
        <f>HYPERLINK("https%3A%2F%2Fwww.webofscience.com%2Fwos%2Fwoscc%2Ffull-record%2FWOS:000764258100016","View Full Record in Web of Science")</f>
        <v>View Full Record in Web of Science</v>
      </c>
    </row>
    <row r="851" spans="1:72" x14ac:dyDescent="0.15">
      <c r="A851" t="s">
        <v>72</v>
      </c>
      <c r="B851" t="s">
        <v>16586</v>
      </c>
      <c r="C851" t="s">
        <v>74</v>
      </c>
      <c r="D851" t="s">
        <v>74</v>
      </c>
      <c r="E851" t="s">
        <v>74</v>
      </c>
      <c r="F851" t="s">
        <v>16587</v>
      </c>
      <c r="G851" t="s">
        <v>74</v>
      </c>
      <c r="H851" t="s">
        <v>74</v>
      </c>
      <c r="I851" t="s">
        <v>16588</v>
      </c>
      <c r="J851" t="s">
        <v>108</v>
      </c>
      <c r="K851" t="s">
        <v>74</v>
      </c>
      <c r="L851" t="s">
        <v>74</v>
      </c>
      <c r="M851" t="s">
        <v>78</v>
      </c>
      <c r="N851" t="s">
        <v>79</v>
      </c>
      <c r="O851" t="s">
        <v>74</v>
      </c>
      <c r="P851" t="s">
        <v>74</v>
      </c>
      <c r="Q851" t="s">
        <v>74</v>
      </c>
      <c r="R851" t="s">
        <v>74</v>
      </c>
      <c r="S851" t="s">
        <v>74</v>
      </c>
      <c r="T851" t="s">
        <v>74</v>
      </c>
      <c r="U851" t="s">
        <v>16589</v>
      </c>
      <c r="V851" t="s">
        <v>16590</v>
      </c>
      <c r="W851" t="s">
        <v>16591</v>
      </c>
      <c r="X851" t="s">
        <v>16592</v>
      </c>
      <c r="Y851" t="s">
        <v>16593</v>
      </c>
      <c r="Z851" t="s">
        <v>16594</v>
      </c>
      <c r="AA851" t="s">
        <v>16595</v>
      </c>
      <c r="AB851" t="s">
        <v>16596</v>
      </c>
      <c r="AC851" t="s">
        <v>16597</v>
      </c>
      <c r="AD851" t="s">
        <v>16598</v>
      </c>
      <c r="AE851" t="s">
        <v>16599</v>
      </c>
      <c r="AF851" t="s">
        <v>74</v>
      </c>
      <c r="AG851">
        <v>64</v>
      </c>
      <c r="AH851">
        <v>7</v>
      </c>
      <c r="AI851">
        <v>10</v>
      </c>
      <c r="AJ851">
        <v>0</v>
      </c>
      <c r="AK851">
        <v>29</v>
      </c>
      <c r="AL851" t="s">
        <v>117</v>
      </c>
      <c r="AM851" t="s">
        <v>118</v>
      </c>
      <c r="AN851" t="s">
        <v>119</v>
      </c>
      <c r="AO851" t="s">
        <v>120</v>
      </c>
      <c r="AP851" t="s">
        <v>121</v>
      </c>
      <c r="AQ851" t="s">
        <v>74</v>
      </c>
      <c r="AR851" t="s">
        <v>108</v>
      </c>
      <c r="AS851" t="s">
        <v>122</v>
      </c>
      <c r="AT851" t="s">
        <v>16524</v>
      </c>
      <c r="AU851">
        <v>2022</v>
      </c>
      <c r="AV851">
        <v>16</v>
      </c>
      <c r="AW851">
        <v>2</v>
      </c>
      <c r="AX851" t="s">
        <v>74</v>
      </c>
      <c r="AY851" t="s">
        <v>74</v>
      </c>
      <c r="AZ851" t="s">
        <v>74</v>
      </c>
      <c r="BA851" t="s">
        <v>74</v>
      </c>
      <c r="BB851">
        <v>737</v>
      </c>
      <c r="BC851">
        <v>760</v>
      </c>
      <c r="BD851" t="s">
        <v>74</v>
      </c>
      <c r="BE851" t="s">
        <v>16600</v>
      </c>
      <c r="BF851" t="str">
        <f>HYPERLINK("http://dx.doi.org/10.5194/tc-16-737-2022","http://dx.doi.org/10.5194/tc-16-737-2022")</f>
        <v>http://dx.doi.org/10.5194/tc-16-737-2022</v>
      </c>
      <c r="BG851" t="s">
        <v>74</v>
      </c>
      <c r="BH851" t="s">
        <v>74</v>
      </c>
      <c r="BI851">
        <v>24</v>
      </c>
      <c r="BJ851" t="s">
        <v>125</v>
      </c>
      <c r="BK851" t="s">
        <v>101</v>
      </c>
      <c r="BL851" t="s">
        <v>126</v>
      </c>
      <c r="BM851" t="s">
        <v>16601</v>
      </c>
      <c r="BN851" t="s">
        <v>74</v>
      </c>
      <c r="BO851" t="s">
        <v>128</v>
      </c>
      <c r="BP851" t="s">
        <v>74</v>
      </c>
      <c r="BQ851" t="s">
        <v>74</v>
      </c>
      <c r="BR851" t="s">
        <v>103</v>
      </c>
      <c r="BS851" t="s">
        <v>16602</v>
      </c>
      <c r="BT851" t="str">
        <f>HYPERLINK("https%3A%2F%2Fwww.webofscience.com%2Fwos%2Fwoscc%2Ffull-record%2FWOS:000765574300001","View Full Record in Web of Science")</f>
        <v>View Full Record in Web of Science</v>
      </c>
    </row>
    <row r="852" spans="1:72" x14ac:dyDescent="0.15">
      <c r="A852" t="s">
        <v>72</v>
      </c>
      <c r="B852" t="s">
        <v>16603</v>
      </c>
      <c r="C852" t="s">
        <v>74</v>
      </c>
      <c r="D852" t="s">
        <v>74</v>
      </c>
      <c r="E852" t="s">
        <v>74</v>
      </c>
      <c r="F852" t="s">
        <v>16604</v>
      </c>
      <c r="G852" t="s">
        <v>74</v>
      </c>
      <c r="H852" t="s">
        <v>74</v>
      </c>
      <c r="I852" t="s">
        <v>16605</v>
      </c>
      <c r="J852" t="s">
        <v>3150</v>
      </c>
      <c r="K852" t="s">
        <v>74</v>
      </c>
      <c r="L852" t="s">
        <v>74</v>
      </c>
      <c r="M852" t="s">
        <v>78</v>
      </c>
      <c r="N852" t="s">
        <v>79</v>
      </c>
      <c r="O852" t="s">
        <v>74</v>
      </c>
      <c r="P852" t="s">
        <v>74</v>
      </c>
      <c r="Q852" t="s">
        <v>74</v>
      </c>
      <c r="R852" t="s">
        <v>74</v>
      </c>
      <c r="S852" t="s">
        <v>74</v>
      </c>
      <c r="T852" t="s">
        <v>16606</v>
      </c>
      <c r="U852" t="s">
        <v>16607</v>
      </c>
      <c r="V852" t="s">
        <v>16608</v>
      </c>
      <c r="W852" t="s">
        <v>16609</v>
      </c>
      <c r="X852" t="s">
        <v>16610</v>
      </c>
      <c r="Y852" t="s">
        <v>16611</v>
      </c>
      <c r="Z852" t="s">
        <v>12967</v>
      </c>
      <c r="AA852" t="s">
        <v>16612</v>
      </c>
      <c r="AB852" t="s">
        <v>16613</v>
      </c>
      <c r="AC852" t="s">
        <v>16614</v>
      </c>
      <c r="AD852" t="s">
        <v>16615</v>
      </c>
      <c r="AE852" t="s">
        <v>16616</v>
      </c>
      <c r="AF852" t="s">
        <v>74</v>
      </c>
      <c r="AG852">
        <v>52</v>
      </c>
      <c r="AH852">
        <v>6</v>
      </c>
      <c r="AI852">
        <v>7</v>
      </c>
      <c r="AJ852">
        <v>3</v>
      </c>
      <c r="AK852">
        <v>19</v>
      </c>
      <c r="AL852" t="s">
        <v>530</v>
      </c>
      <c r="AM852" t="s">
        <v>531</v>
      </c>
      <c r="AN852" t="s">
        <v>532</v>
      </c>
      <c r="AO852" t="s">
        <v>3162</v>
      </c>
      <c r="AP852" t="s">
        <v>3163</v>
      </c>
      <c r="AQ852" t="s">
        <v>74</v>
      </c>
      <c r="AR852" t="s">
        <v>3164</v>
      </c>
      <c r="AS852" t="s">
        <v>3165</v>
      </c>
      <c r="AT852" t="s">
        <v>484</v>
      </c>
      <c r="AU852">
        <v>2022</v>
      </c>
      <c r="AV852">
        <v>59</v>
      </c>
      <c r="AW852" t="s">
        <v>15196</v>
      </c>
      <c r="AX852" t="s">
        <v>74</v>
      </c>
      <c r="AY852" t="s">
        <v>74</v>
      </c>
      <c r="AZ852" t="s">
        <v>74</v>
      </c>
      <c r="BA852" t="s">
        <v>74</v>
      </c>
      <c r="BB852">
        <v>2275</v>
      </c>
      <c r="BC852">
        <v>2291</v>
      </c>
      <c r="BD852" t="s">
        <v>74</v>
      </c>
      <c r="BE852" t="s">
        <v>16617</v>
      </c>
      <c r="BF852" t="str">
        <f>HYPERLINK("http://dx.doi.org/10.1007/s00382-022-06209-0","http://dx.doi.org/10.1007/s00382-022-06209-0")</f>
        <v>http://dx.doi.org/10.1007/s00382-022-06209-0</v>
      </c>
      <c r="BG852" t="s">
        <v>74</v>
      </c>
      <c r="BH852" t="s">
        <v>12992</v>
      </c>
      <c r="BI852">
        <v>17</v>
      </c>
      <c r="BJ852" t="s">
        <v>510</v>
      </c>
      <c r="BK852" t="s">
        <v>101</v>
      </c>
      <c r="BL852" t="s">
        <v>510</v>
      </c>
      <c r="BM852" t="s">
        <v>15198</v>
      </c>
      <c r="BN852" t="s">
        <v>74</v>
      </c>
      <c r="BO852" t="s">
        <v>986</v>
      </c>
      <c r="BP852" t="s">
        <v>74</v>
      </c>
      <c r="BQ852" t="s">
        <v>74</v>
      </c>
      <c r="BR852" t="s">
        <v>103</v>
      </c>
      <c r="BS852" t="s">
        <v>16618</v>
      </c>
      <c r="BT852" t="str">
        <f>HYPERLINK("https%3A%2F%2Fwww.webofscience.com%2Fwos%2Fwoscc%2Ffull-record%2FWOS:000763842700002","View Full Record in Web of Science")</f>
        <v>View Full Record in Web of Science</v>
      </c>
    </row>
    <row r="853" spans="1:72" x14ac:dyDescent="0.15">
      <c r="A853" t="s">
        <v>72</v>
      </c>
      <c r="B853" t="s">
        <v>16619</v>
      </c>
      <c r="C853" t="s">
        <v>74</v>
      </c>
      <c r="D853" t="s">
        <v>74</v>
      </c>
      <c r="E853" t="s">
        <v>74</v>
      </c>
      <c r="F853" t="s">
        <v>16620</v>
      </c>
      <c r="G853" t="s">
        <v>74</v>
      </c>
      <c r="H853" t="s">
        <v>74</v>
      </c>
      <c r="I853" t="s">
        <v>16621</v>
      </c>
      <c r="J853" t="s">
        <v>11192</v>
      </c>
      <c r="K853" t="s">
        <v>74</v>
      </c>
      <c r="L853" t="s">
        <v>74</v>
      </c>
      <c r="M853" t="s">
        <v>78</v>
      </c>
      <c r="N853" t="s">
        <v>79</v>
      </c>
      <c r="O853" t="s">
        <v>74</v>
      </c>
      <c r="P853" t="s">
        <v>74</v>
      </c>
      <c r="Q853" t="s">
        <v>74</v>
      </c>
      <c r="R853" t="s">
        <v>74</v>
      </c>
      <c r="S853" t="s">
        <v>74</v>
      </c>
      <c r="T853" t="s">
        <v>16622</v>
      </c>
      <c r="U853" t="s">
        <v>16623</v>
      </c>
      <c r="V853" t="s">
        <v>16624</v>
      </c>
      <c r="W853" t="s">
        <v>16625</v>
      </c>
      <c r="X853" t="s">
        <v>16626</v>
      </c>
      <c r="Y853" t="s">
        <v>16627</v>
      </c>
      <c r="Z853" t="s">
        <v>16628</v>
      </c>
      <c r="AA853" t="s">
        <v>16629</v>
      </c>
      <c r="AB853" t="s">
        <v>74</v>
      </c>
      <c r="AC853" t="s">
        <v>16630</v>
      </c>
      <c r="AD853" t="s">
        <v>16631</v>
      </c>
      <c r="AE853" t="s">
        <v>16632</v>
      </c>
      <c r="AF853" t="s">
        <v>74</v>
      </c>
      <c r="AG853">
        <v>75</v>
      </c>
      <c r="AH853">
        <v>14</v>
      </c>
      <c r="AI853">
        <v>14</v>
      </c>
      <c r="AJ853">
        <v>2</v>
      </c>
      <c r="AK853">
        <v>26</v>
      </c>
      <c r="AL853" t="s">
        <v>257</v>
      </c>
      <c r="AM853" t="s">
        <v>258</v>
      </c>
      <c r="AN853" t="s">
        <v>259</v>
      </c>
      <c r="AO853" t="s">
        <v>11201</v>
      </c>
      <c r="AP853" t="s">
        <v>11202</v>
      </c>
      <c r="AQ853" t="s">
        <v>74</v>
      </c>
      <c r="AR853" t="s">
        <v>11192</v>
      </c>
      <c r="AS853" t="s">
        <v>11203</v>
      </c>
      <c r="AT853" t="s">
        <v>4826</v>
      </c>
      <c r="AU853">
        <v>2022</v>
      </c>
      <c r="AV853">
        <v>553</v>
      </c>
      <c r="AW853" t="s">
        <v>74</v>
      </c>
      <c r="AX853" t="s">
        <v>74</v>
      </c>
      <c r="AY853" t="s">
        <v>74</v>
      </c>
      <c r="AZ853" t="s">
        <v>74</v>
      </c>
      <c r="BA853" t="s">
        <v>74</v>
      </c>
      <c r="BB853" t="s">
        <v>74</v>
      </c>
      <c r="BC853" t="s">
        <v>74</v>
      </c>
      <c r="BD853">
        <v>738069</v>
      </c>
      <c r="BE853" t="s">
        <v>16633</v>
      </c>
      <c r="BF853" t="str">
        <f>HYPERLINK("http://dx.doi.org/10.1016/j.aquaculture.2022.738069","http://dx.doi.org/10.1016/j.aquaculture.2022.738069")</f>
        <v>http://dx.doi.org/10.1016/j.aquaculture.2022.738069</v>
      </c>
      <c r="BG853" t="s">
        <v>74</v>
      </c>
      <c r="BH853" t="s">
        <v>12992</v>
      </c>
      <c r="BI853">
        <v>13</v>
      </c>
      <c r="BJ853" t="s">
        <v>10842</v>
      </c>
      <c r="BK853" t="s">
        <v>101</v>
      </c>
      <c r="BL853" t="s">
        <v>10842</v>
      </c>
      <c r="BM853" t="s">
        <v>16634</v>
      </c>
      <c r="BN853" t="s">
        <v>74</v>
      </c>
      <c r="BO853" t="s">
        <v>74</v>
      </c>
      <c r="BP853" t="s">
        <v>74</v>
      </c>
      <c r="BQ853" t="s">
        <v>74</v>
      </c>
      <c r="BR853" t="s">
        <v>103</v>
      </c>
      <c r="BS853" t="s">
        <v>16635</v>
      </c>
      <c r="BT853" t="str">
        <f>HYPERLINK("https%3A%2F%2Fwww.webofscience.com%2Fwos%2Fwoscc%2Ffull-record%2FWOS:000784134700008","View Full Record in Web of Science")</f>
        <v>View Full Record in Web of Science</v>
      </c>
    </row>
    <row r="854" spans="1:72" x14ac:dyDescent="0.15">
      <c r="A854" t="s">
        <v>72</v>
      </c>
      <c r="B854" t="s">
        <v>16636</v>
      </c>
      <c r="C854" t="s">
        <v>74</v>
      </c>
      <c r="D854" t="s">
        <v>74</v>
      </c>
      <c r="E854" t="s">
        <v>74</v>
      </c>
      <c r="F854" t="s">
        <v>16637</v>
      </c>
      <c r="G854" t="s">
        <v>74</v>
      </c>
      <c r="H854" t="s">
        <v>74</v>
      </c>
      <c r="I854" t="s">
        <v>16638</v>
      </c>
      <c r="J854" t="s">
        <v>10848</v>
      </c>
      <c r="K854" t="s">
        <v>74</v>
      </c>
      <c r="L854" t="s">
        <v>74</v>
      </c>
      <c r="M854" t="s">
        <v>78</v>
      </c>
      <c r="N854" t="s">
        <v>79</v>
      </c>
      <c r="O854" t="s">
        <v>74</v>
      </c>
      <c r="P854" t="s">
        <v>74</v>
      </c>
      <c r="Q854" t="s">
        <v>74</v>
      </c>
      <c r="R854" t="s">
        <v>74</v>
      </c>
      <c r="S854" t="s">
        <v>74</v>
      </c>
      <c r="T854" t="s">
        <v>16639</v>
      </c>
      <c r="U854" t="s">
        <v>16640</v>
      </c>
      <c r="V854" t="s">
        <v>16641</v>
      </c>
      <c r="W854" t="s">
        <v>16642</v>
      </c>
      <c r="X854" t="s">
        <v>893</v>
      </c>
      <c r="Y854" t="s">
        <v>16643</v>
      </c>
      <c r="Z854" t="s">
        <v>16644</v>
      </c>
      <c r="AA854" t="s">
        <v>9222</v>
      </c>
      <c r="AB854" t="s">
        <v>74</v>
      </c>
      <c r="AC854" t="s">
        <v>74</v>
      </c>
      <c r="AD854" t="s">
        <v>74</v>
      </c>
      <c r="AE854" t="s">
        <v>74</v>
      </c>
      <c r="AF854" t="s">
        <v>74</v>
      </c>
      <c r="AG854">
        <v>53</v>
      </c>
      <c r="AH854">
        <v>3</v>
      </c>
      <c r="AI854">
        <v>3</v>
      </c>
      <c r="AJ854">
        <v>0</v>
      </c>
      <c r="AK854">
        <v>4</v>
      </c>
      <c r="AL854" t="s">
        <v>3228</v>
      </c>
      <c r="AM854" t="s">
        <v>200</v>
      </c>
      <c r="AN854" t="s">
        <v>3229</v>
      </c>
      <c r="AO854" t="s">
        <v>10861</v>
      </c>
      <c r="AP854" t="s">
        <v>10862</v>
      </c>
      <c r="AQ854" t="s">
        <v>74</v>
      </c>
      <c r="AR854" t="s">
        <v>10863</v>
      </c>
      <c r="AS854" t="s">
        <v>10864</v>
      </c>
      <c r="AT854" t="s">
        <v>8316</v>
      </c>
      <c r="AU854">
        <v>2022</v>
      </c>
      <c r="AV854">
        <v>138</v>
      </c>
      <c r="AW854" t="s">
        <v>74</v>
      </c>
      <c r="AX854" t="s">
        <v>74</v>
      </c>
      <c r="AY854" t="s">
        <v>74</v>
      </c>
      <c r="AZ854" t="s">
        <v>74</v>
      </c>
      <c r="BA854" t="s">
        <v>74</v>
      </c>
      <c r="BB854" t="s">
        <v>74</v>
      </c>
      <c r="BC854" t="s">
        <v>74</v>
      </c>
      <c r="BD854">
        <v>104993</v>
      </c>
      <c r="BE854" t="s">
        <v>16645</v>
      </c>
      <c r="BF854" t="str">
        <f>HYPERLINK("http://dx.doi.org/10.1016/j.marpol.2022.104993","http://dx.doi.org/10.1016/j.marpol.2022.104993")</f>
        <v>http://dx.doi.org/10.1016/j.marpol.2022.104993</v>
      </c>
      <c r="BG854" t="s">
        <v>74</v>
      </c>
      <c r="BH854" t="s">
        <v>12992</v>
      </c>
      <c r="BI854">
        <v>9</v>
      </c>
      <c r="BJ854" t="s">
        <v>10866</v>
      </c>
      <c r="BK854" t="s">
        <v>9665</v>
      </c>
      <c r="BL854" t="s">
        <v>10867</v>
      </c>
      <c r="BM854" t="s">
        <v>16646</v>
      </c>
      <c r="BN854" t="s">
        <v>74</v>
      </c>
      <c r="BO854" t="s">
        <v>986</v>
      </c>
      <c r="BP854" t="s">
        <v>74</v>
      </c>
      <c r="BQ854" t="s">
        <v>74</v>
      </c>
      <c r="BR854" t="s">
        <v>103</v>
      </c>
      <c r="BS854" t="s">
        <v>16647</v>
      </c>
      <c r="BT854" t="str">
        <f>HYPERLINK("https%3A%2F%2Fwww.webofscience.com%2Fwos%2Fwoscc%2Ffull-record%2FWOS:000779339000014","View Full Record in Web of Science")</f>
        <v>View Full Record in Web of Science</v>
      </c>
    </row>
    <row r="855" spans="1:72" x14ac:dyDescent="0.15">
      <c r="A855" t="s">
        <v>72</v>
      </c>
      <c r="B855" t="s">
        <v>16648</v>
      </c>
      <c r="C855" t="s">
        <v>74</v>
      </c>
      <c r="D855" t="s">
        <v>74</v>
      </c>
      <c r="E855" t="s">
        <v>74</v>
      </c>
      <c r="F855" t="s">
        <v>16649</v>
      </c>
      <c r="G855" t="s">
        <v>74</v>
      </c>
      <c r="H855" t="s">
        <v>74</v>
      </c>
      <c r="I855" t="s">
        <v>16650</v>
      </c>
      <c r="J855" t="s">
        <v>3027</v>
      </c>
      <c r="K855" t="s">
        <v>74</v>
      </c>
      <c r="L855" t="s">
        <v>74</v>
      </c>
      <c r="M855" t="s">
        <v>78</v>
      </c>
      <c r="N855" t="s">
        <v>79</v>
      </c>
      <c r="O855" t="s">
        <v>74</v>
      </c>
      <c r="P855" t="s">
        <v>74</v>
      </c>
      <c r="Q855" t="s">
        <v>74</v>
      </c>
      <c r="R855" t="s">
        <v>74</v>
      </c>
      <c r="S855" t="s">
        <v>74</v>
      </c>
      <c r="T855" t="s">
        <v>16651</v>
      </c>
      <c r="U855" t="s">
        <v>16652</v>
      </c>
      <c r="V855" t="s">
        <v>16653</v>
      </c>
      <c r="W855" t="s">
        <v>16654</v>
      </c>
      <c r="X855" t="s">
        <v>16655</v>
      </c>
      <c r="Y855" t="s">
        <v>16656</v>
      </c>
      <c r="Z855" t="s">
        <v>16657</v>
      </c>
      <c r="AA855" t="s">
        <v>16658</v>
      </c>
      <c r="AB855" t="s">
        <v>16659</v>
      </c>
      <c r="AC855" t="s">
        <v>16660</v>
      </c>
      <c r="AD855" t="s">
        <v>16661</v>
      </c>
      <c r="AE855" t="s">
        <v>16662</v>
      </c>
      <c r="AF855" t="s">
        <v>74</v>
      </c>
      <c r="AG855">
        <v>110</v>
      </c>
      <c r="AH855">
        <v>6</v>
      </c>
      <c r="AI855">
        <v>6</v>
      </c>
      <c r="AJ855">
        <v>0</v>
      </c>
      <c r="AK855">
        <v>11</v>
      </c>
      <c r="AL855" t="s">
        <v>285</v>
      </c>
      <c r="AM855" t="s">
        <v>286</v>
      </c>
      <c r="AN855" t="s">
        <v>287</v>
      </c>
      <c r="AO855" t="s">
        <v>74</v>
      </c>
      <c r="AP855" t="s">
        <v>3039</v>
      </c>
      <c r="AQ855" t="s">
        <v>74</v>
      </c>
      <c r="AR855" t="s">
        <v>3040</v>
      </c>
      <c r="AS855" t="s">
        <v>3041</v>
      </c>
      <c r="AT855" t="s">
        <v>16663</v>
      </c>
      <c r="AU855">
        <v>2022</v>
      </c>
      <c r="AV855">
        <v>10</v>
      </c>
      <c r="AW855" t="s">
        <v>74</v>
      </c>
      <c r="AX855" t="s">
        <v>74</v>
      </c>
      <c r="AY855" t="s">
        <v>74</v>
      </c>
      <c r="AZ855" t="s">
        <v>74</v>
      </c>
      <c r="BA855" t="s">
        <v>74</v>
      </c>
      <c r="BB855" t="s">
        <v>74</v>
      </c>
      <c r="BC855" t="s">
        <v>74</v>
      </c>
      <c r="BD855">
        <v>834047</v>
      </c>
      <c r="BE855" t="s">
        <v>16664</v>
      </c>
      <c r="BF855" t="str">
        <f>HYPERLINK("http://dx.doi.org/10.3389/feart.2022.834047","http://dx.doi.org/10.3389/feart.2022.834047")</f>
        <v>http://dx.doi.org/10.3389/feart.2022.834047</v>
      </c>
      <c r="BG855" t="s">
        <v>74</v>
      </c>
      <c r="BH855" t="s">
        <v>74</v>
      </c>
      <c r="BI855">
        <v>20</v>
      </c>
      <c r="BJ855" t="s">
        <v>265</v>
      </c>
      <c r="BK855" t="s">
        <v>101</v>
      </c>
      <c r="BL855" t="s">
        <v>100</v>
      </c>
      <c r="BM855" t="s">
        <v>16665</v>
      </c>
      <c r="BN855" t="s">
        <v>74</v>
      </c>
      <c r="BO855" t="s">
        <v>4312</v>
      </c>
      <c r="BP855" t="s">
        <v>74</v>
      </c>
      <c r="BQ855" t="s">
        <v>74</v>
      </c>
      <c r="BR855" t="s">
        <v>103</v>
      </c>
      <c r="BS855" t="s">
        <v>16666</v>
      </c>
      <c r="BT855" t="str">
        <f>HYPERLINK("https%3A%2F%2Fwww.webofscience.com%2Fwos%2Fwoscc%2Ffull-record%2FWOS:000773042200001","View Full Record in Web of Science")</f>
        <v>View Full Record in Web of Science</v>
      </c>
    </row>
    <row r="856" spans="1:72" x14ac:dyDescent="0.15">
      <c r="A856" t="s">
        <v>72</v>
      </c>
      <c r="B856" t="s">
        <v>16667</v>
      </c>
      <c r="C856" t="s">
        <v>74</v>
      </c>
      <c r="D856" t="s">
        <v>74</v>
      </c>
      <c r="E856" t="s">
        <v>74</v>
      </c>
      <c r="F856" t="s">
        <v>16668</v>
      </c>
      <c r="G856" t="s">
        <v>74</v>
      </c>
      <c r="H856" t="s">
        <v>74</v>
      </c>
      <c r="I856" t="s">
        <v>16669</v>
      </c>
      <c r="J856" t="s">
        <v>16670</v>
      </c>
      <c r="K856" t="s">
        <v>74</v>
      </c>
      <c r="L856" t="s">
        <v>74</v>
      </c>
      <c r="M856" t="s">
        <v>78</v>
      </c>
      <c r="N856" t="s">
        <v>79</v>
      </c>
      <c r="O856" t="s">
        <v>74</v>
      </c>
      <c r="P856" t="s">
        <v>74</v>
      </c>
      <c r="Q856" t="s">
        <v>74</v>
      </c>
      <c r="R856" t="s">
        <v>74</v>
      </c>
      <c r="S856" t="s">
        <v>74</v>
      </c>
      <c r="T856" t="s">
        <v>16671</v>
      </c>
      <c r="U856" t="s">
        <v>16672</v>
      </c>
      <c r="V856" t="s">
        <v>16673</v>
      </c>
      <c r="W856" t="s">
        <v>16674</v>
      </c>
      <c r="X856" t="s">
        <v>16675</v>
      </c>
      <c r="Y856" t="s">
        <v>16676</v>
      </c>
      <c r="Z856" t="s">
        <v>16677</v>
      </c>
      <c r="AA856" t="s">
        <v>74</v>
      </c>
      <c r="AB856" t="s">
        <v>16678</v>
      </c>
      <c r="AC856" t="s">
        <v>16679</v>
      </c>
      <c r="AD856" t="s">
        <v>1614</v>
      </c>
      <c r="AE856" t="s">
        <v>16680</v>
      </c>
      <c r="AF856" t="s">
        <v>74</v>
      </c>
      <c r="AG856">
        <v>21</v>
      </c>
      <c r="AH856">
        <v>2</v>
      </c>
      <c r="AI856">
        <v>3</v>
      </c>
      <c r="AJ856">
        <v>1</v>
      </c>
      <c r="AK856">
        <v>5</v>
      </c>
      <c r="AL856" t="s">
        <v>257</v>
      </c>
      <c r="AM856" t="s">
        <v>258</v>
      </c>
      <c r="AN856" t="s">
        <v>259</v>
      </c>
      <c r="AO856" t="s">
        <v>16681</v>
      </c>
      <c r="AP856" t="s">
        <v>16682</v>
      </c>
      <c r="AQ856" t="s">
        <v>74</v>
      </c>
      <c r="AR856" t="s">
        <v>16683</v>
      </c>
      <c r="AS856" t="s">
        <v>16684</v>
      </c>
      <c r="AT856" t="s">
        <v>8316</v>
      </c>
      <c r="AU856">
        <v>2022</v>
      </c>
      <c r="AV856">
        <v>62</v>
      </c>
      <c r="AW856" t="s">
        <v>74</v>
      </c>
      <c r="AX856" t="s">
        <v>74</v>
      </c>
      <c r="AY856" t="s">
        <v>74</v>
      </c>
      <c r="AZ856" t="s">
        <v>74</v>
      </c>
      <c r="BA856" t="s">
        <v>74</v>
      </c>
      <c r="BB856" t="s">
        <v>74</v>
      </c>
      <c r="BC856" t="s">
        <v>74</v>
      </c>
      <c r="BD856">
        <v>100889</v>
      </c>
      <c r="BE856" t="s">
        <v>16685</v>
      </c>
      <c r="BF856" t="str">
        <f>HYPERLINK("http://dx.doi.org/10.1016/j.margen.2021.100889","http://dx.doi.org/10.1016/j.margen.2021.100889")</f>
        <v>http://dx.doi.org/10.1016/j.margen.2021.100889</v>
      </c>
      <c r="BG856" t="s">
        <v>74</v>
      </c>
      <c r="BH856" t="s">
        <v>12992</v>
      </c>
      <c r="BI856">
        <v>4</v>
      </c>
      <c r="BJ856" t="s">
        <v>16686</v>
      </c>
      <c r="BK856" t="s">
        <v>101</v>
      </c>
      <c r="BL856" t="s">
        <v>16686</v>
      </c>
      <c r="BM856" t="s">
        <v>16687</v>
      </c>
      <c r="BN856">
        <v>35246301</v>
      </c>
      <c r="BO856" t="s">
        <v>74</v>
      </c>
      <c r="BP856" t="s">
        <v>74</v>
      </c>
      <c r="BQ856" t="s">
        <v>74</v>
      </c>
      <c r="BR856" t="s">
        <v>103</v>
      </c>
      <c r="BS856" t="s">
        <v>16688</v>
      </c>
      <c r="BT856" t="str">
        <f>HYPERLINK("https%3A%2F%2Fwww.webofscience.com%2Fwos%2Fwoscc%2Ffull-record%2FWOS:000766634600009","View Full Record in Web of Science")</f>
        <v>View Full Record in Web of Science</v>
      </c>
    </row>
    <row r="857" spans="1:72" x14ac:dyDescent="0.15">
      <c r="A857" t="s">
        <v>72</v>
      </c>
      <c r="B857" t="s">
        <v>16689</v>
      </c>
      <c r="C857" t="s">
        <v>74</v>
      </c>
      <c r="D857" t="s">
        <v>74</v>
      </c>
      <c r="E857" t="s">
        <v>74</v>
      </c>
      <c r="F857" t="s">
        <v>16690</v>
      </c>
      <c r="G857" t="s">
        <v>74</v>
      </c>
      <c r="H857" t="s">
        <v>74</v>
      </c>
      <c r="I857" t="s">
        <v>16691</v>
      </c>
      <c r="J857" t="s">
        <v>9250</v>
      </c>
      <c r="K857" t="s">
        <v>74</v>
      </c>
      <c r="L857" t="s">
        <v>74</v>
      </c>
      <c r="M857" t="s">
        <v>78</v>
      </c>
      <c r="N857" t="s">
        <v>79</v>
      </c>
      <c r="O857" t="s">
        <v>74</v>
      </c>
      <c r="P857" t="s">
        <v>74</v>
      </c>
      <c r="Q857" t="s">
        <v>74</v>
      </c>
      <c r="R857" t="s">
        <v>74</v>
      </c>
      <c r="S857" t="s">
        <v>74</v>
      </c>
      <c r="T857" t="s">
        <v>74</v>
      </c>
      <c r="U857" t="s">
        <v>16692</v>
      </c>
      <c r="V857" t="s">
        <v>16693</v>
      </c>
      <c r="W857" t="s">
        <v>16694</v>
      </c>
      <c r="X857" t="s">
        <v>16695</v>
      </c>
      <c r="Y857" t="s">
        <v>16696</v>
      </c>
      <c r="Z857" t="s">
        <v>16697</v>
      </c>
      <c r="AA857" t="s">
        <v>16698</v>
      </c>
      <c r="AB857" t="s">
        <v>16699</v>
      </c>
      <c r="AC857" t="s">
        <v>16700</v>
      </c>
      <c r="AD857" t="s">
        <v>16701</v>
      </c>
      <c r="AE857" t="s">
        <v>16702</v>
      </c>
      <c r="AF857" t="s">
        <v>74</v>
      </c>
      <c r="AG857">
        <v>132</v>
      </c>
      <c r="AH857">
        <v>7</v>
      </c>
      <c r="AI857">
        <v>7</v>
      </c>
      <c r="AJ857">
        <v>3</v>
      </c>
      <c r="AK857">
        <v>9</v>
      </c>
      <c r="AL857" t="s">
        <v>117</v>
      </c>
      <c r="AM857" t="s">
        <v>118</v>
      </c>
      <c r="AN857" t="s">
        <v>119</v>
      </c>
      <c r="AO857" t="s">
        <v>9262</v>
      </c>
      <c r="AP857" t="s">
        <v>9263</v>
      </c>
      <c r="AQ857" t="s">
        <v>74</v>
      </c>
      <c r="AR857" t="s">
        <v>9264</v>
      </c>
      <c r="AS857" t="s">
        <v>9265</v>
      </c>
      <c r="AT857" t="s">
        <v>16663</v>
      </c>
      <c r="AU857">
        <v>2022</v>
      </c>
      <c r="AV857">
        <v>18</v>
      </c>
      <c r="AW857">
        <v>2</v>
      </c>
      <c r="AX857" t="s">
        <v>74</v>
      </c>
      <c r="AY857" t="s">
        <v>74</v>
      </c>
      <c r="AZ857" t="s">
        <v>74</v>
      </c>
      <c r="BA857" t="s">
        <v>74</v>
      </c>
      <c r="BB857">
        <v>381</v>
      </c>
      <c r="BC857">
        <v>403</v>
      </c>
      <c r="BD857" t="s">
        <v>74</v>
      </c>
      <c r="BE857" t="s">
        <v>16703</v>
      </c>
      <c r="BF857" t="str">
        <f>HYPERLINK("http://dx.doi.org/10.5194/cp-18-381-2022","http://dx.doi.org/10.5194/cp-18-381-2022")</f>
        <v>http://dx.doi.org/10.5194/cp-18-381-2022</v>
      </c>
      <c r="BG857" t="s">
        <v>74</v>
      </c>
      <c r="BH857" t="s">
        <v>74</v>
      </c>
      <c r="BI857">
        <v>23</v>
      </c>
      <c r="BJ857" t="s">
        <v>613</v>
      </c>
      <c r="BK857" t="s">
        <v>101</v>
      </c>
      <c r="BL857" t="s">
        <v>614</v>
      </c>
      <c r="BM857" t="s">
        <v>16704</v>
      </c>
      <c r="BN857" t="s">
        <v>74</v>
      </c>
      <c r="BO857" t="s">
        <v>5588</v>
      </c>
      <c r="BP857" t="s">
        <v>74</v>
      </c>
      <c r="BQ857" t="s">
        <v>74</v>
      </c>
      <c r="BR857" t="s">
        <v>103</v>
      </c>
      <c r="BS857" t="s">
        <v>16705</v>
      </c>
      <c r="BT857" t="str">
        <f>HYPERLINK("https%3A%2F%2Fwww.webofscience.com%2Fwos%2Fwoscc%2Ffull-record%2FWOS:000765811000001","View Full Record in Web of Science")</f>
        <v>View Full Record in Web of Science</v>
      </c>
    </row>
    <row r="858" spans="1:72" x14ac:dyDescent="0.15">
      <c r="A858" t="s">
        <v>72</v>
      </c>
      <c r="B858" t="s">
        <v>16706</v>
      </c>
      <c r="C858" t="s">
        <v>74</v>
      </c>
      <c r="D858" t="s">
        <v>74</v>
      </c>
      <c r="E858" t="s">
        <v>74</v>
      </c>
      <c r="F858" t="s">
        <v>16707</v>
      </c>
      <c r="G858" t="s">
        <v>74</v>
      </c>
      <c r="H858" t="s">
        <v>74</v>
      </c>
      <c r="I858" t="s">
        <v>16708</v>
      </c>
      <c r="J858" t="s">
        <v>595</v>
      </c>
      <c r="K858" t="s">
        <v>74</v>
      </c>
      <c r="L858" t="s">
        <v>74</v>
      </c>
      <c r="M858" t="s">
        <v>78</v>
      </c>
      <c r="N858" t="s">
        <v>79</v>
      </c>
      <c r="O858" t="s">
        <v>74</v>
      </c>
      <c r="P858" t="s">
        <v>74</v>
      </c>
      <c r="Q858" t="s">
        <v>74</v>
      </c>
      <c r="R858" t="s">
        <v>74</v>
      </c>
      <c r="S858" t="s">
        <v>74</v>
      </c>
      <c r="T858" t="s">
        <v>74</v>
      </c>
      <c r="U858" t="s">
        <v>16709</v>
      </c>
      <c r="V858" t="s">
        <v>16710</v>
      </c>
      <c r="W858" t="s">
        <v>16711</v>
      </c>
      <c r="X858" t="s">
        <v>16712</v>
      </c>
      <c r="Y858" t="s">
        <v>16713</v>
      </c>
      <c r="Z858" t="s">
        <v>16714</v>
      </c>
      <c r="AA858" t="s">
        <v>74</v>
      </c>
      <c r="AB858" t="s">
        <v>16715</v>
      </c>
      <c r="AC858" t="s">
        <v>16716</v>
      </c>
      <c r="AD858" t="s">
        <v>16717</v>
      </c>
      <c r="AE858" t="s">
        <v>16718</v>
      </c>
      <c r="AF858" t="s">
        <v>74</v>
      </c>
      <c r="AG858">
        <v>56</v>
      </c>
      <c r="AH858">
        <v>6</v>
      </c>
      <c r="AI858">
        <v>8</v>
      </c>
      <c r="AJ858">
        <v>3</v>
      </c>
      <c r="AK858">
        <v>26</v>
      </c>
      <c r="AL858" t="s">
        <v>117</v>
      </c>
      <c r="AM858" t="s">
        <v>118</v>
      </c>
      <c r="AN858" t="s">
        <v>119</v>
      </c>
      <c r="AO858" t="s">
        <v>608</v>
      </c>
      <c r="AP858" t="s">
        <v>609</v>
      </c>
      <c r="AQ858" t="s">
        <v>74</v>
      </c>
      <c r="AR858" t="s">
        <v>610</v>
      </c>
      <c r="AS858" t="s">
        <v>611</v>
      </c>
      <c r="AT858" t="s">
        <v>16663</v>
      </c>
      <c r="AU858">
        <v>2022</v>
      </c>
      <c r="AV858">
        <v>14</v>
      </c>
      <c r="AW858">
        <v>2</v>
      </c>
      <c r="AX858" t="s">
        <v>74</v>
      </c>
      <c r="AY858" t="s">
        <v>74</v>
      </c>
      <c r="AZ858" t="s">
        <v>74</v>
      </c>
      <c r="BA858" t="s">
        <v>74</v>
      </c>
      <c r="BB858">
        <v>973</v>
      </c>
      <c r="BC858">
        <v>989</v>
      </c>
      <c r="BD858" t="s">
        <v>74</v>
      </c>
      <c r="BE858" t="s">
        <v>16719</v>
      </c>
      <c r="BF858" t="str">
        <f>HYPERLINK("http://dx.doi.org/10.5194/essd-14-973-2022","http://dx.doi.org/10.5194/essd-14-973-2022")</f>
        <v>http://dx.doi.org/10.5194/essd-14-973-2022</v>
      </c>
      <c r="BG858" t="s">
        <v>74</v>
      </c>
      <c r="BH858" t="s">
        <v>74</v>
      </c>
      <c r="BI858">
        <v>17</v>
      </c>
      <c r="BJ858" t="s">
        <v>613</v>
      </c>
      <c r="BK858" t="s">
        <v>101</v>
      </c>
      <c r="BL858" t="s">
        <v>614</v>
      </c>
      <c r="BM858" t="s">
        <v>16720</v>
      </c>
      <c r="BN858" t="s">
        <v>74</v>
      </c>
      <c r="BO858" t="s">
        <v>128</v>
      </c>
      <c r="BP858" t="s">
        <v>74</v>
      </c>
      <c r="BQ858" t="s">
        <v>74</v>
      </c>
      <c r="BR858" t="s">
        <v>103</v>
      </c>
      <c r="BS858" t="s">
        <v>16721</v>
      </c>
      <c r="BT858" t="str">
        <f>HYPERLINK("https%3A%2F%2Fwww.webofscience.com%2Fwos%2Fwoscc%2Ffull-record%2FWOS:000765721100001","View Full Record in Web of Science")</f>
        <v>View Full Record in Web of Science</v>
      </c>
    </row>
    <row r="859" spans="1:72" x14ac:dyDescent="0.15">
      <c r="A859" t="s">
        <v>72</v>
      </c>
      <c r="B859" t="s">
        <v>16722</v>
      </c>
      <c r="C859" t="s">
        <v>74</v>
      </c>
      <c r="D859" t="s">
        <v>74</v>
      </c>
      <c r="E859" t="s">
        <v>74</v>
      </c>
      <c r="F859" t="s">
        <v>16723</v>
      </c>
      <c r="G859" t="s">
        <v>74</v>
      </c>
      <c r="H859" t="s">
        <v>74</v>
      </c>
      <c r="I859" t="s">
        <v>16724</v>
      </c>
      <c r="J859" t="s">
        <v>595</v>
      </c>
      <c r="K859" t="s">
        <v>74</v>
      </c>
      <c r="L859" t="s">
        <v>74</v>
      </c>
      <c r="M859" t="s">
        <v>78</v>
      </c>
      <c r="N859" t="s">
        <v>79</v>
      </c>
      <c r="O859" t="s">
        <v>74</v>
      </c>
      <c r="P859" t="s">
        <v>74</v>
      </c>
      <c r="Q859" t="s">
        <v>74</v>
      </c>
      <c r="R859" t="s">
        <v>74</v>
      </c>
      <c r="S859" t="s">
        <v>74</v>
      </c>
      <c r="T859" t="s">
        <v>74</v>
      </c>
      <c r="U859" t="s">
        <v>16725</v>
      </c>
      <c r="V859" t="s">
        <v>16726</v>
      </c>
      <c r="W859" t="s">
        <v>16727</v>
      </c>
      <c r="X859" t="s">
        <v>16728</v>
      </c>
      <c r="Y859" t="s">
        <v>16729</v>
      </c>
      <c r="Z859" t="s">
        <v>16730</v>
      </c>
      <c r="AA859" t="s">
        <v>16731</v>
      </c>
      <c r="AB859" t="s">
        <v>16732</v>
      </c>
      <c r="AC859" t="s">
        <v>16733</v>
      </c>
      <c r="AD859" t="s">
        <v>16734</v>
      </c>
      <c r="AE859" t="s">
        <v>16735</v>
      </c>
      <c r="AF859" t="s">
        <v>74</v>
      </c>
      <c r="AG859">
        <v>63</v>
      </c>
      <c r="AH859">
        <v>2</v>
      </c>
      <c r="AI859">
        <v>2</v>
      </c>
      <c r="AJ859">
        <v>0</v>
      </c>
      <c r="AK859">
        <v>8</v>
      </c>
      <c r="AL859" t="s">
        <v>117</v>
      </c>
      <c r="AM859" t="s">
        <v>118</v>
      </c>
      <c r="AN859" t="s">
        <v>119</v>
      </c>
      <c r="AO859" t="s">
        <v>608</v>
      </c>
      <c r="AP859" t="s">
        <v>609</v>
      </c>
      <c r="AQ859" t="s">
        <v>74</v>
      </c>
      <c r="AR859" t="s">
        <v>610</v>
      </c>
      <c r="AS859" t="s">
        <v>611</v>
      </c>
      <c r="AT859" t="s">
        <v>16663</v>
      </c>
      <c r="AU859">
        <v>2022</v>
      </c>
      <c r="AV859">
        <v>14</v>
      </c>
      <c r="AW859">
        <v>2</v>
      </c>
      <c r="AX859" t="s">
        <v>74</v>
      </c>
      <c r="AY859" t="s">
        <v>74</v>
      </c>
      <c r="AZ859" t="s">
        <v>74</v>
      </c>
      <c r="BA859" t="s">
        <v>74</v>
      </c>
      <c r="BB859">
        <v>991</v>
      </c>
      <c r="BC859">
        <v>1014</v>
      </c>
      <c r="BD859" t="s">
        <v>74</v>
      </c>
      <c r="BE859" t="s">
        <v>16736</v>
      </c>
      <c r="BF859" t="str">
        <f>HYPERLINK("http://dx.doi.org/10.5194/essd-14-991-2022","http://dx.doi.org/10.5194/essd-14-991-2022")</f>
        <v>http://dx.doi.org/10.5194/essd-14-991-2022</v>
      </c>
      <c r="BG859" t="s">
        <v>74</v>
      </c>
      <c r="BH859" t="s">
        <v>74</v>
      </c>
      <c r="BI859">
        <v>24</v>
      </c>
      <c r="BJ859" t="s">
        <v>613</v>
      </c>
      <c r="BK859" t="s">
        <v>101</v>
      </c>
      <c r="BL859" t="s">
        <v>614</v>
      </c>
      <c r="BM859" t="s">
        <v>16737</v>
      </c>
      <c r="BN859" t="s">
        <v>74</v>
      </c>
      <c r="BO859" t="s">
        <v>3354</v>
      </c>
      <c r="BP859" t="s">
        <v>74</v>
      </c>
      <c r="BQ859" t="s">
        <v>74</v>
      </c>
      <c r="BR859" t="s">
        <v>103</v>
      </c>
      <c r="BS859" t="s">
        <v>16738</v>
      </c>
      <c r="BT859" t="str">
        <f>HYPERLINK("https%3A%2F%2Fwww.webofscience.com%2Fwos%2Fwoscc%2Ffull-record%2FWOS:000765722200001","View Full Record in Web of Science")</f>
        <v>View Full Record in Web of Science</v>
      </c>
    </row>
    <row r="860" spans="1:72" x14ac:dyDescent="0.15">
      <c r="A860" t="s">
        <v>72</v>
      </c>
      <c r="B860" t="s">
        <v>16739</v>
      </c>
      <c r="C860" t="s">
        <v>74</v>
      </c>
      <c r="D860" t="s">
        <v>74</v>
      </c>
      <c r="E860" t="s">
        <v>74</v>
      </c>
      <c r="F860" t="s">
        <v>16740</v>
      </c>
      <c r="G860" t="s">
        <v>74</v>
      </c>
      <c r="H860" t="s">
        <v>74</v>
      </c>
      <c r="I860" t="s">
        <v>16741</v>
      </c>
      <c r="J860" t="s">
        <v>715</v>
      </c>
      <c r="K860" t="s">
        <v>74</v>
      </c>
      <c r="L860" t="s">
        <v>74</v>
      </c>
      <c r="M860" t="s">
        <v>78</v>
      </c>
      <c r="N860" t="s">
        <v>596</v>
      </c>
      <c r="O860" t="s">
        <v>74</v>
      </c>
      <c r="P860" t="s">
        <v>74</v>
      </c>
      <c r="Q860" t="s">
        <v>74</v>
      </c>
      <c r="R860" t="s">
        <v>74</v>
      </c>
      <c r="S860" t="s">
        <v>74</v>
      </c>
      <c r="T860" t="s">
        <v>74</v>
      </c>
      <c r="U860" t="s">
        <v>16742</v>
      </c>
      <c r="V860" t="s">
        <v>16743</v>
      </c>
      <c r="W860" t="s">
        <v>16744</v>
      </c>
      <c r="X860" t="s">
        <v>16745</v>
      </c>
      <c r="Y860" t="s">
        <v>16746</v>
      </c>
      <c r="Z860" t="s">
        <v>16747</v>
      </c>
      <c r="AA860" t="s">
        <v>16748</v>
      </c>
      <c r="AB860" t="s">
        <v>16749</v>
      </c>
      <c r="AC860" t="s">
        <v>16750</v>
      </c>
      <c r="AD860" t="s">
        <v>16750</v>
      </c>
      <c r="AE860" t="s">
        <v>16751</v>
      </c>
      <c r="AF860" t="s">
        <v>74</v>
      </c>
      <c r="AG860">
        <v>43</v>
      </c>
      <c r="AH860">
        <v>8</v>
      </c>
      <c r="AI860">
        <v>9</v>
      </c>
      <c r="AJ860">
        <v>2</v>
      </c>
      <c r="AK860">
        <v>15</v>
      </c>
      <c r="AL860" t="s">
        <v>455</v>
      </c>
      <c r="AM860" t="s">
        <v>456</v>
      </c>
      <c r="AN860" t="s">
        <v>457</v>
      </c>
      <c r="AO860" t="s">
        <v>74</v>
      </c>
      <c r="AP860" t="s">
        <v>727</v>
      </c>
      <c r="AQ860" t="s">
        <v>74</v>
      </c>
      <c r="AR860" t="s">
        <v>728</v>
      </c>
      <c r="AS860" t="s">
        <v>729</v>
      </c>
      <c r="AT860" t="s">
        <v>16663</v>
      </c>
      <c r="AU860">
        <v>2022</v>
      </c>
      <c r="AV860">
        <v>9</v>
      </c>
      <c r="AW860">
        <v>1</v>
      </c>
      <c r="AX860" t="s">
        <v>74</v>
      </c>
      <c r="AY860" t="s">
        <v>74</v>
      </c>
      <c r="AZ860" t="s">
        <v>74</v>
      </c>
      <c r="BA860" t="s">
        <v>74</v>
      </c>
      <c r="BB860" t="s">
        <v>74</v>
      </c>
      <c r="BC860" t="s">
        <v>74</v>
      </c>
      <c r="BD860">
        <v>68</v>
      </c>
      <c r="BE860" t="s">
        <v>16752</v>
      </c>
      <c r="BF860" t="str">
        <f>HYPERLINK("http://dx.doi.org/10.1038/s41597-022-01152-5","http://dx.doi.org/10.1038/s41597-022-01152-5")</f>
        <v>http://dx.doi.org/10.1038/s41597-022-01152-5</v>
      </c>
      <c r="BG860" t="s">
        <v>74</v>
      </c>
      <c r="BH860" t="s">
        <v>74</v>
      </c>
      <c r="BI860">
        <v>12</v>
      </c>
      <c r="BJ860" t="s">
        <v>657</v>
      </c>
      <c r="BK860" t="s">
        <v>101</v>
      </c>
      <c r="BL860" t="s">
        <v>658</v>
      </c>
      <c r="BM860" t="s">
        <v>16753</v>
      </c>
      <c r="BN860">
        <v>35236843</v>
      </c>
      <c r="BO860" t="s">
        <v>1533</v>
      </c>
      <c r="BP860" t="s">
        <v>74</v>
      </c>
      <c r="BQ860" t="s">
        <v>74</v>
      </c>
      <c r="BR860" t="s">
        <v>103</v>
      </c>
      <c r="BS860" t="s">
        <v>16754</v>
      </c>
      <c r="BT860" t="str">
        <f>HYPERLINK("https%3A%2F%2Fwww.webofscience.com%2Fwos%2Fwoscc%2Ffull-record%2FWOS:000763431100005","View Full Record in Web of Science")</f>
        <v>View Full Record in Web of Science</v>
      </c>
    </row>
    <row r="861" spans="1:72" x14ac:dyDescent="0.15">
      <c r="A861" t="s">
        <v>72</v>
      </c>
      <c r="B861" t="s">
        <v>16755</v>
      </c>
      <c r="C861" t="s">
        <v>74</v>
      </c>
      <c r="D861" t="s">
        <v>74</v>
      </c>
      <c r="E861" t="s">
        <v>74</v>
      </c>
      <c r="F861" t="s">
        <v>16756</v>
      </c>
      <c r="G861" t="s">
        <v>74</v>
      </c>
      <c r="H861" t="s">
        <v>74</v>
      </c>
      <c r="I861" t="s">
        <v>16757</v>
      </c>
      <c r="J861" t="s">
        <v>415</v>
      </c>
      <c r="K861" t="s">
        <v>74</v>
      </c>
      <c r="L861" t="s">
        <v>74</v>
      </c>
      <c r="M861" t="s">
        <v>78</v>
      </c>
      <c r="N861" t="s">
        <v>79</v>
      </c>
      <c r="O861" t="s">
        <v>74</v>
      </c>
      <c r="P861" t="s">
        <v>74</v>
      </c>
      <c r="Q861" t="s">
        <v>74</v>
      </c>
      <c r="R861" t="s">
        <v>74</v>
      </c>
      <c r="S861" t="s">
        <v>74</v>
      </c>
      <c r="T861" t="s">
        <v>16758</v>
      </c>
      <c r="U861" t="s">
        <v>16759</v>
      </c>
      <c r="V861" t="s">
        <v>16760</v>
      </c>
      <c r="W861" t="s">
        <v>16761</v>
      </c>
      <c r="X861" t="s">
        <v>16762</v>
      </c>
      <c r="Y861" t="s">
        <v>16763</v>
      </c>
      <c r="Z861" t="s">
        <v>16764</v>
      </c>
      <c r="AA861" t="s">
        <v>16765</v>
      </c>
      <c r="AB861" t="s">
        <v>16766</v>
      </c>
      <c r="AC861" t="s">
        <v>16767</v>
      </c>
      <c r="AD861" t="s">
        <v>16768</v>
      </c>
      <c r="AE861" t="s">
        <v>16769</v>
      </c>
      <c r="AF861" t="s">
        <v>74</v>
      </c>
      <c r="AG861">
        <v>55</v>
      </c>
      <c r="AH861">
        <v>8</v>
      </c>
      <c r="AI861">
        <v>9</v>
      </c>
      <c r="AJ861">
        <v>3</v>
      </c>
      <c r="AK861">
        <v>17</v>
      </c>
      <c r="AL861" t="s">
        <v>428</v>
      </c>
      <c r="AM861" t="s">
        <v>174</v>
      </c>
      <c r="AN861" t="s">
        <v>429</v>
      </c>
      <c r="AO861" t="s">
        <v>430</v>
      </c>
      <c r="AP861" t="s">
        <v>431</v>
      </c>
      <c r="AQ861" t="s">
        <v>74</v>
      </c>
      <c r="AR861" t="s">
        <v>432</v>
      </c>
      <c r="AS861" t="s">
        <v>433</v>
      </c>
      <c r="AT861" t="s">
        <v>484</v>
      </c>
      <c r="AU861">
        <v>2022</v>
      </c>
      <c r="AV861">
        <v>68</v>
      </c>
      <c r="AW861">
        <v>271</v>
      </c>
      <c r="AX861" t="s">
        <v>74</v>
      </c>
      <c r="AY861" t="s">
        <v>74</v>
      </c>
      <c r="AZ861" t="s">
        <v>74</v>
      </c>
      <c r="BA861" t="s">
        <v>74</v>
      </c>
      <c r="BB861">
        <v>977</v>
      </c>
      <c r="BC861">
        <v>986</v>
      </c>
      <c r="BD861" t="s">
        <v>16770</v>
      </c>
      <c r="BE861" t="s">
        <v>16771</v>
      </c>
      <c r="BF861" t="str">
        <f>HYPERLINK("http://dx.doi.org/10.1017/jog.2022.10","http://dx.doi.org/10.1017/jog.2022.10")</f>
        <v>http://dx.doi.org/10.1017/jog.2022.10</v>
      </c>
      <c r="BG861" t="s">
        <v>74</v>
      </c>
      <c r="BH861" t="s">
        <v>12992</v>
      </c>
      <c r="BI861">
        <v>10</v>
      </c>
      <c r="BJ861" t="s">
        <v>125</v>
      </c>
      <c r="BK861" t="s">
        <v>101</v>
      </c>
      <c r="BL861" t="s">
        <v>126</v>
      </c>
      <c r="BM861" t="s">
        <v>10808</v>
      </c>
      <c r="BN861" t="s">
        <v>74</v>
      </c>
      <c r="BO861" t="s">
        <v>438</v>
      </c>
      <c r="BP861" t="s">
        <v>74</v>
      </c>
      <c r="BQ861" t="s">
        <v>74</v>
      </c>
      <c r="BR861" t="s">
        <v>103</v>
      </c>
      <c r="BS861" t="s">
        <v>16772</v>
      </c>
      <c r="BT861" t="str">
        <f>HYPERLINK("https%3A%2F%2Fwww.webofscience.com%2Fwos%2Fwoscc%2Ffull-record%2FWOS:000763135700001","View Full Record in Web of Science")</f>
        <v>View Full Record in Web of Science</v>
      </c>
    </row>
    <row r="862" spans="1:72" x14ac:dyDescent="0.15">
      <c r="A862" t="s">
        <v>72</v>
      </c>
      <c r="B862" t="s">
        <v>16773</v>
      </c>
      <c r="C862" t="s">
        <v>74</v>
      </c>
      <c r="D862" t="s">
        <v>74</v>
      </c>
      <c r="E862" t="s">
        <v>74</v>
      </c>
      <c r="F862" t="s">
        <v>16774</v>
      </c>
      <c r="G862" t="s">
        <v>74</v>
      </c>
      <c r="H862" t="s">
        <v>74</v>
      </c>
      <c r="I862" t="s">
        <v>16775</v>
      </c>
      <c r="J862" t="s">
        <v>16776</v>
      </c>
      <c r="K862" t="s">
        <v>74</v>
      </c>
      <c r="L862" t="s">
        <v>74</v>
      </c>
      <c r="M862" t="s">
        <v>78</v>
      </c>
      <c r="N862" t="s">
        <v>79</v>
      </c>
      <c r="O862" t="s">
        <v>74</v>
      </c>
      <c r="P862" t="s">
        <v>74</v>
      </c>
      <c r="Q862" t="s">
        <v>74</v>
      </c>
      <c r="R862" t="s">
        <v>74</v>
      </c>
      <c r="S862" t="s">
        <v>74</v>
      </c>
      <c r="T862" t="s">
        <v>16777</v>
      </c>
      <c r="U862" t="s">
        <v>16778</v>
      </c>
      <c r="V862" t="s">
        <v>16779</v>
      </c>
      <c r="W862" t="s">
        <v>16780</v>
      </c>
      <c r="X862" t="s">
        <v>16781</v>
      </c>
      <c r="Y862" t="s">
        <v>16782</v>
      </c>
      <c r="Z862" t="s">
        <v>16783</v>
      </c>
      <c r="AA862" t="s">
        <v>16784</v>
      </c>
      <c r="AB862" t="s">
        <v>16785</v>
      </c>
      <c r="AC862" t="s">
        <v>16786</v>
      </c>
      <c r="AD862" t="s">
        <v>16787</v>
      </c>
      <c r="AE862" t="s">
        <v>16788</v>
      </c>
      <c r="AF862" t="s">
        <v>74</v>
      </c>
      <c r="AG862">
        <v>71</v>
      </c>
      <c r="AH862">
        <v>8</v>
      </c>
      <c r="AI862">
        <v>8</v>
      </c>
      <c r="AJ862">
        <v>11</v>
      </c>
      <c r="AK862">
        <v>30</v>
      </c>
      <c r="AL862" t="s">
        <v>2785</v>
      </c>
      <c r="AM862" t="s">
        <v>2786</v>
      </c>
      <c r="AN862" t="s">
        <v>2787</v>
      </c>
      <c r="AO862" t="s">
        <v>74</v>
      </c>
      <c r="AP862" t="s">
        <v>16789</v>
      </c>
      <c r="AQ862" t="s">
        <v>74</v>
      </c>
      <c r="AR862" t="s">
        <v>16790</v>
      </c>
      <c r="AS862" t="s">
        <v>16791</v>
      </c>
      <c r="AT862" t="s">
        <v>74</v>
      </c>
      <c r="AU862">
        <v>2022</v>
      </c>
      <c r="AV862">
        <v>72</v>
      </c>
      <c r="AW862">
        <v>1</v>
      </c>
      <c r="AX862" t="s">
        <v>74</v>
      </c>
      <c r="AY862" t="s">
        <v>74</v>
      </c>
      <c r="AZ862" t="s">
        <v>74</v>
      </c>
      <c r="BA862" t="s">
        <v>74</v>
      </c>
      <c r="BB862">
        <v>19</v>
      </c>
      <c r="BC862">
        <v>37</v>
      </c>
      <c r="BD862" t="s">
        <v>74</v>
      </c>
      <c r="BE862" t="s">
        <v>16792</v>
      </c>
      <c r="BF862" t="str">
        <f>HYPERLINK("http://dx.doi.org/10.1071/ES21015","http://dx.doi.org/10.1071/ES21015")</f>
        <v>http://dx.doi.org/10.1071/ES21015</v>
      </c>
      <c r="BG862" t="s">
        <v>74</v>
      </c>
      <c r="BH862" t="s">
        <v>12992</v>
      </c>
      <c r="BI862">
        <v>19</v>
      </c>
      <c r="BJ862" t="s">
        <v>12094</v>
      </c>
      <c r="BK862" t="s">
        <v>101</v>
      </c>
      <c r="BL862" t="s">
        <v>12094</v>
      </c>
      <c r="BM862" t="s">
        <v>16793</v>
      </c>
      <c r="BN862" t="s">
        <v>74</v>
      </c>
      <c r="BO862" t="s">
        <v>1942</v>
      </c>
      <c r="BP862" t="s">
        <v>74</v>
      </c>
      <c r="BQ862" t="s">
        <v>74</v>
      </c>
      <c r="BR862" t="s">
        <v>103</v>
      </c>
      <c r="BS862" t="s">
        <v>16794</v>
      </c>
      <c r="BT862" t="str">
        <f>HYPERLINK("https%3A%2F%2Fwww.webofscience.com%2Fwos%2Fwoscc%2Ffull-record%2FWOS:000762668000001","View Full Record in Web of Science")</f>
        <v>View Full Record in Web of Science</v>
      </c>
    </row>
    <row r="863" spans="1:72" x14ac:dyDescent="0.15">
      <c r="A863" t="s">
        <v>72</v>
      </c>
      <c r="B863" t="s">
        <v>16795</v>
      </c>
      <c r="C863" t="s">
        <v>74</v>
      </c>
      <c r="D863" t="s">
        <v>74</v>
      </c>
      <c r="E863" t="s">
        <v>74</v>
      </c>
      <c r="F863" t="s">
        <v>16796</v>
      </c>
      <c r="G863" t="s">
        <v>74</v>
      </c>
      <c r="H863" t="s">
        <v>74</v>
      </c>
      <c r="I863" t="s">
        <v>16797</v>
      </c>
      <c r="J863" t="s">
        <v>16798</v>
      </c>
      <c r="K863" t="s">
        <v>74</v>
      </c>
      <c r="L863" t="s">
        <v>74</v>
      </c>
      <c r="M863" t="s">
        <v>78</v>
      </c>
      <c r="N863" t="s">
        <v>79</v>
      </c>
      <c r="O863" t="s">
        <v>74</v>
      </c>
      <c r="P863" t="s">
        <v>74</v>
      </c>
      <c r="Q863" t="s">
        <v>74</v>
      </c>
      <c r="R863" t="s">
        <v>74</v>
      </c>
      <c r="S863" t="s">
        <v>74</v>
      </c>
      <c r="T863" t="s">
        <v>16799</v>
      </c>
      <c r="U863" t="s">
        <v>16800</v>
      </c>
      <c r="V863" t="s">
        <v>16801</v>
      </c>
      <c r="W863" t="s">
        <v>16802</v>
      </c>
      <c r="X863" t="s">
        <v>16803</v>
      </c>
      <c r="Y863" t="s">
        <v>16804</v>
      </c>
      <c r="Z863" t="s">
        <v>16805</v>
      </c>
      <c r="AA863" t="s">
        <v>16806</v>
      </c>
      <c r="AB863" t="s">
        <v>16807</v>
      </c>
      <c r="AC863" t="s">
        <v>16808</v>
      </c>
      <c r="AD863" t="s">
        <v>16809</v>
      </c>
      <c r="AE863" t="s">
        <v>16810</v>
      </c>
      <c r="AF863" t="s">
        <v>74</v>
      </c>
      <c r="AG863">
        <v>41</v>
      </c>
      <c r="AH863">
        <v>1</v>
      </c>
      <c r="AI863">
        <v>1</v>
      </c>
      <c r="AJ863">
        <v>6</v>
      </c>
      <c r="AK863">
        <v>6</v>
      </c>
      <c r="AL863" t="s">
        <v>2572</v>
      </c>
      <c r="AM863" t="s">
        <v>2573</v>
      </c>
      <c r="AN863" t="s">
        <v>2574</v>
      </c>
      <c r="AO863" t="s">
        <v>16811</v>
      </c>
      <c r="AP863" t="s">
        <v>74</v>
      </c>
      <c r="AQ863" t="s">
        <v>74</v>
      </c>
      <c r="AR863" t="s">
        <v>16812</v>
      </c>
      <c r="AS863" t="s">
        <v>16813</v>
      </c>
      <c r="AT863" t="s">
        <v>6497</v>
      </c>
      <c r="AU863">
        <v>2022</v>
      </c>
      <c r="AV863">
        <v>17</v>
      </c>
      <c r="AW863">
        <v>3</v>
      </c>
      <c r="AX863" t="s">
        <v>74</v>
      </c>
      <c r="AY863" t="s">
        <v>74</v>
      </c>
      <c r="AZ863" t="s">
        <v>74</v>
      </c>
      <c r="BA863" t="s">
        <v>74</v>
      </c>
      <c r="BB863" t="s">
        <v>74</v>
      </c>
      <c r="BC863" t="s">
        <v>74</v>
      </c>
      <c r="BD863" t="s">
        <v>16814</v>
      </c>
      <c r="BE863" t="s">
        <v>16815</v>
      </c>
      <c r="BF863" t="str">
        <f>HYPERLINK("http://dx.doi.org/10.1088/1748-0221/17/03/P03007","http://dx.doi.org/10.1088/1748-0221/17/03/P03007")</f>
        <v>http://dx.doi.org/10.1088/1748-0221/17/03/P03007</v>
      </c>
      <c r="BG863" t="s">
        <v>74</v>
      </c>
      <c r="BH863" t="s">
        <v>74</v>
      </c>
      <c r="BI863">
        <v>23</v>
      </c>
      <c r="BJ863" t="s">
        <v>16816</v>
      </c>
      <c r="BK863" t="s">
        <v>101</v>
      </c>
      <c r="BL863" t="s">
        <v>16816</v>
      </c>
      <c r="BM863" t="s">
        <v>16817</v>
      </c>
      <c r="BN863" t="s">
        <v>74</v>
      </c>
      <c r="BO863" t="s">
        <v>986</v>
      </c>
      <c r="BP863" t="s">
        <v>74</v>
      </c>
      <c r="BQ863" t="s">
        <v>74</v>
      </c>
      <c r="BR863" t="s">
        <v>103</v>
      </c>
      <c r="BS863" t="s">
        <v>16818</v>
      </c>
      <c r="BT863" t="str">
        <f>HYPERLINK("https%3A%2F%2Fwww.webofscience.com%2Fwos%2Fwoscc%2Ffull-record%2FWOS:000775007900006","View Full Record in Web of Science")</f>
        <v>View Full Record in Web of Science</v>
      </c>
    </row>
    <row r="864" spans="1:72" x14ac:dyDescent="0.15">
      <c r="A864" t="s">
        <v>72</v>
      </c>
      <c r="B864" t="s">
        <v>16819</v>
      </c>
      <c r="C864" t="s">
        <v>74</v>
      </c>
      <c r="D864" t="s">
        <v>74</v>
      </c>
      <c r="E864" t="s">
        <v>74</v>
      </c>
      <c r="F864" t="s">
        <v>16820</v>
      </c>
      <c r="G864" t="s">
        <v>74</v>
      </c>
      <c r="H864" t="s">
        <v>74</v>
      </c>
      <c r="I864" t="s">
        <v>16821</v>
      </c>
      <c r="J864" t="s">
        <v>16822</v>
      </c>
      <c r="K864" t="s">
        <v>74</v>
      </c>
      <c r="L864" t="s">
        <v>74</v>
      </c>
      <c r="M864" t="s">
        <v>78</v>
      </c>
      <c r="N864" t="s">
        <v>79</v>
      </c>
      <c r="O864" t="s">
        <v>74</v>
      </c>
      <c r="P864" t="s">
        <v>74</v>
      </c>
      <c r="Q864" t="s">
        <v>74</v>
      </c>
      <c r="R864" t="s">
        <v>74</v>
      </c>
      <c r="S864" t="s">
        <v>74</v>
      </c>
      <c r="T864" t="s">
        <v>74</v>
      </c>
      <c r="U864" t="s">
        <v>16823</v>
      </c>
      <c r="V864" t="s">
        <v>16824</v>
      </c>
      <c r="W864" t="s">
        <v>16825</v>
      </c>
      <c r="X864" t="s">
        <v>16826</v>
      </c>
      <c r="Y864" t="s">
        <v>16827</v>
      </c>
      <c r="Z864" t="s">
        <v>16828</v>
      </c>
      <c r="AA864" t="s">
        <v>16829</v>
      </c>
      <c r="AB864" t="s">
        <v>16830</v>
      </c>
      <c r="AC864" t="s">
        <v>74</v>
      </c>
      <c r="AD864" t="s">
        <v>74</v>
      </c>
      <c r="AE864" t="s">
        <v>74</v>
      </c>
      <c r="AF864" t="s">
        <v>74</v>
      </c>
      <c r="AG864">
        <v>138</v>
      </c>
      <c r="AH864">
        <v>6</v>
      </c>
      <c r="AI864">
        <v>6</v>
      </c>
      <c r="AJ864">
        <v>8</v>
      </c>
      <c r="AK864">
        <v>20</v>
      </c>
      <c r="AL864" t="s">
        <v>16831</v>
      </c>
      <c r="AM864" t="s">
        <v>16832</v>
      </c>
      <c r="AN864" t="s">
        <v>16833</v>
      </c>
      <c r="AO864" t="s">
        <v>74</v>
      </c>
      <c r="AP864" t="s">
        <v>16834</v>
      </c>
      <c r="AQ864" t="s">
        <v>74</v>
      </c>
      <c r="AR864" t="s">
        <v>16835</v>
      </c>
      <c r="AS864" t="s">
        <v>16836</v>
      </c>
      <c r="AT864" t="s">
        <v>6497</v>
      </c>
      <c r="AU864">
        <v>2022</v>
      </c>
      <c r="AV864">
        <v>6</v>
      </c>
      <c r="AW864">
        <v>3</v>
      </c>
      <c r="AX864" t="s">
        <v>74</v>
      </c>
      <c r="AY864" t="s">
        <v>74</v>
      </c>
      <c r="AZ864" t="s">
        <v>74</v>
      </c>
      <c r="BA864" t="s">
        <v>74</v>
      </c>
      <c r="BB864" t="s">
        <v>74</v>
      </c>
      <c r="BC864" t="s">
        <v>74</v>
      </c>
      <c r="BD864" t="s">
        <v>16837</v>
      </c>
      <c r="BE864" t="s">
        <v>16838</v>
      </c>
      <c r="BF864" t="str">
        <f>HYPERLINK("http://dx.doi.org/10.26508/lsa.202201833","http://dx.doi.org/10.26508/lsa.202201833")</f>
        <v>http://dx.doi.org/10.26508/lsa.202201833</v>
      </c>
      <c r="BG864" t="s">
        <v>74</v>
      </c>
      <c r="BH864" t="s">
        <v>74</v>
      </c>
      <c r="BI864">
        <v>20</v>
      </c>
      <c r="BJ864" t="s">
        <v>1819</v>
      </c>
      <c r="BK864" t="s">
        <v>101</v>
      </c>
      <c r="BL864" t="s">
        <v>1820</v>
      </c>
      <c r="BM864" t="s">
        <v>16839</v>
      </c>
      <c r="BN864">
        <v>36522135</v>
      </c>
      <c r="BO864" t="s">
        <v>295</v>
      </c>
      <c r="BP864" t="s">
        <v>74</v>
      </c>
      <c r="BQ864" t="s">
        <v>74</v>
      </c>
      <c r="BR864" t="s">
        <v>103</v>
      </c>
      <c r="BS864" t="s">
        <v>16840</v>
      </c>
      <c r="BT864" t="str">
        <f>HYPERLINK("https%3A%2F%2Fwww.webofscience.com%2Fwos%2Fwoscc%2Ffull-record%2FWOS:000905565300001","View Full Record in Web of Science")</f>
        <v>View Full Record in Web of Science</v>
      </c>
    </row>
    <row r="865" spans="1:72" x14ac:dyDescent="0.15">
      <c r="A865" t="s">
        <v>72</v>
      </c>
      <c r="B865" t="s">
        <v>16841</v>
      </c>
      <c r="C865" t="s">
        <v>74</v>
      </c>
      <c r="D865" t="s">
        <v>74</v>
      </c>
      <c r="E865" t="s">
        <v>74</v>
      </c>
      <c r="F865" t="s">
        <v>16842</v>
      </c>
      <c r="G865" t="s">
        <v>74</v>
      </c>
      <c r="H865" t="s">
        <v>74</v>
      </c>
      <c r="I865" t="s">
        <v>16843</v>
      </c>
      <c r="J865" t="s">
        <v>16844</v>
      </c>
      <c r="K865" t="s">
        <v>74</v>
      </c>
      <c r="L865" t="s">
        <v>74</v>
      </c>
      <c r="M865" t="s">
        <v>78</v>
      </c>
      <c r="N865" t="s">
        <v>79</v>
      </c>
      <c r="O865" t="s">
        <v>74</v>
      </c>
      <c r="P865" t="s">
        <v>74</v>
      </c>
      <c r="Q865" t="s">
        <v>74</v>
      </c>
      <c r="R865" t="s">
        <v>74</v>
      </c>
      <c r="S865" t="s">
        <v>74</v>
      </c>
      <c r="T865" t="s">
        <v>74</v>
      </c>
      <c r="U865" t="s">
        <v>16845</v>
      </c>
      <c r="V865" t="s">
        <v>16846</v>
      </c>
      <c r="W865" t="s">
        <v>16847</v>
      </c>
      <c r="X865" t="s">
        <v>16848</v>
      </c>
      <c r="Y865" t="s">
        <v>16849</v>
      </c>
      <c r="Z865" t="s">
        <v>16850</v>
      </c>
      <c r="AA865" t="s">
        <v>74</v>
      </c>
      <c r="AB865" t="s">
        <v>16851</v>
      </c>
      <c r="AC865" t="s">
        <v>16852</v>
      </c>
      <c r="AD865" t="s">
        <v>16853</v>
      </c>
      <c r="AE865" t="s">
        <v>16854</v>
      </c>
      <c r="AF865" t="s">
        <v>74</v>
      </c>
      <c r="AG865">
        <v>106</v>
      </c>
      <c r="AH865">
        <v>5</v>
      </c>
      <c r="AI865">
        <v>5</v>
      </c>
      <c r="AJ865">
        <v>3</v>
      </c>
      <c r="AK865">
        <v>4</v>
      </c>
      <c r="AL865" t="s">
        <v>428</v>
      </c>
      <c r="AM865" t="s">
        <v>531</v>
      </c>
      <c r="AN865" t="s">
        <v>748</v>
      </c>
      <c r="AO865" t="s">
        <v>16855</v>
      </c>
      <c r="AP865" t="s">
        <v>16856</v>
      </c>
      <c r="AQ865" t="s">
        <v>74</v>
      </c>
      <c r="AR865" t="s">
        <v>16857</v>
      </c>
      <c r="AS865" t="s">
        <v>16858</v>
      </c>
      <c r="AT865" t="s">
        <v>6497</v>
      </c>
      <c r="AU865">
        <v>2022</v>
      </c>
      <c r="AV865">
        <v>15</v>
      </c>
      <c r="AW865">
        <v>1</v>
      </c>
      <c r="AX865" t="s">
        <v>74</v>
      </c>
      <c r="AY865" t="s">
        <v>74</v>
      </c>
      <c r="AZ865" t="s">
        <v>74</v>
      </c>
      <c r="BA865" t="s">
        <v>74</v>
      </c>
      <c r="BB865">
        <v>114</v>
      </c>
      <c r="BC865">
        <v>141</v>
      </c>
      <c r="BD865" t="s">
        <v>74</v>
      </c>
      <c r="BE865" t="s">
        <v>16859</v>
      </c>
      <c r="BF865" t="str">
        <f>HYPERLINK("http://dx.doi.org/10.1017/S1755048320000620","http://dx.doi.org/10.1017/S1755048320000620")</f>
        <v>http://dx.doi.org/10.1017/S1755048320000620</v>
      </c>
      <c r="BG865" t="s">
        <v>74</v>
      </c>
      <c r="BH865" t="s">
        <v>74</v>
      </c>
      <c r="BI865">
        <v>28</v>
      </c>
      <c r="BJ865" t="s">
        <v>16860</v>
      </c>
      <c r="BK865" t="s">
        <v>16861</v>
      </c>
      <c r="BL865" t="s">
        <v>16862</v>
      </c>
      <c r="BM865" t="s">
        <v>16863</v>
      </c>
      <c r="BN865" t="s">
        <v>74</v>
      </c>
      <c r="BO865" t="s">
        <v>74</v>
      </c>
      <c r="BP865" t="s">
        <v>74</v>
      </c>
      <c r="BQ865" t="s">
        <v>74</v>
      </c>
      <c r="BR865" t="s">
        <v>103</v>
      </c>
      <c r="BS865" t="s">
        <v>16864</v>
      </c>
      <c r="BT865" t="str">
        <f>HYPERLINK("https%3A%2F%2Fwww.webofscience.com%2Fwos%2Fwoscc%2Ffull-record%2FWOS:000898608100005","View Full Record in Web of Science")</f>
        <v>View Full Record in Web of Science</v>
      </c>
    </row>
    <row r="866" spans="1:72" x14ac:dyDescent="0.15">
      <c r="A866" t="s">
        <v>72</v>
      </c>
      <c r="B866" t="s">
        <v>16865</v>
      </c>
      <c r="C866" t="s">
        <v>74</v>
      </c>
      <c r="D866" t="s">
        <v>74</v>
      </c>
      <c r="E866" t="s">
        <v>74</v>
      </c>
      <c r="F866" t="s">
        <v>16866</v>
      </c>
      <c r="G866" t="s">
        <v>74</v>
      </c>
      <c r="H866" t="s">
        <v>74</v>
      </c>
      <c r="I866" t="s">
        <v>16867</v>
      </c>
      <c r="J866" t="s">
        <v>16868</v>
      </c>
      <c r="K866" t="s">
        <v>74</v>
      </c>
      <c r="L866" t="s">
        <v>74</v>
      </c>
      <c r="M866" t="s">
        <v>78</v>
      </c>
      <c r="N866" t="s">
        <v>190</v>
      </c>
      <c r="O866" t="s">
        <v>74</v>
      </c>
      <c r="P866" t="s">
        <v>74</v>
      </c>
      <c r="Q866" t="s">
        <v>74</v>
      </c>
      <c r="R866" t="s">
        <v>74</v>
      </c>
      <c r="S866" t="s">
        <v>74</v>
      </c>
      <c r="T866" t="s">
        <v>74</v>
      </c>
      <c r="U866" t="s">
        <v>74</v>
      </c>
      <c r="V866" t="s">
        <v>16869</v>
      </c>
      <c r="W866" t="s">
        <v>16870</v>
      </c>
      <c r="X866" t="s">
        <v>16871</v>
      </c>
      <c r="Y866" t="s">
        <v>16872</v>
      </c>
      <c r="Z866" t="s">
        <v>16873</v>
      </c>
      <c r="AA866" t="s">
        <v>74</v>
      </c>
      <c r="AB866" t="s">
        <v>74</v>
      </c>
      <c r="AC866" t="s">
        <v>74</v>
      </c>
      <c r="AD866" t="s">
        <v>74</v>
      </c>
      <c r="AE866" t="s">
        <v>74</v>
      </c>
      <c r="AF866" t="s">
        <v>74</v>
      </c>
      <c r="AG866">
        <v>1</v>
      </c>
      <c r="AH866">
        <v>0</v>
      </c>
      <c r="AI866">
        <v>0</v>
      </c>
      <c r="AJ866">
        <v>0</v>
      </c>
      <c r="AK866">
        <v>1</v>
      </c>
      <c r="AL866" t="s">
        <v>2858</v>
      </c>
      <c r="AM866" t="s">
        <v>2859</v>
      </c>
      <c r="AN866" t="s">
        <v>2860</v>
      </c>
      <c r="AO866" t="s">
        <v>16874</v>
      </c>
      <c r="AP866" t="s">
        <v>16875</v>
      </c>
      <c r="AQ866" t="s">
        <v>74</v>
      </c>
      <c r="AR866" t="s">
        <v>16876</v>
      </c>
      <c r="AS866" t="s">
        <v>16877</v>
      </c>
      <c r="AT866" t="s">
        <v>6497</v>
      </c>
      <c r="AU866">
        <v>2022</v>
      </c>
      <c r="AV866">
        <v>2</v>
      </c>
      <c r="AW866">
        <v>2</v>
      </c>
      <c r="AX866" t="s">
        <v>74</v>
      </c>
      <c r="AY866" t="s">
        <v>74</v>
      </c>
      <c r="AZ866" t="s">
        <v>74</v>
      </c>
      <c r="BA866" t="s">
        <v>74</v>
      </c>
      <c r="BB866">
        <v>337</v>
      </c>
      <c r="BC866">
        <v>338</v>
      </c>
      <c r="BD866" t="s">
        <v>74</v>
      </c>
      <c r="BE866" t="s">
        <v>16878</v>
      </c>
      <c r="BF866" t="str">
        <f>HYPERLINK("http://dx.doi.org/10.1016/j.fmre.2022.01.012","http://dx.doi.org/10.1016/j.fmre.2022.01.012")</f>
        <v>http://dx.doi.org/10.1016/j.fmre.2022.01.012</v>
      </c>
      <c r="BG866" t="s">
        <v>74</v>
      </c>
      <c r="BH866" t="s">
        <v>74</v>
      </c>
      <c r="BI866">
        <v>2</v>
      </c>
      <c r="BJ866" t="s">
        <v>657</v>
      </c>
      <c r="BK866" t="s">
        <v>839</v>
      </c>
      <c r="BL866" t="s">
        <v>658</v>
      </c>
      <c r="BM866" t="s">
        <v>16879</v>
      </c>
      <c r="BN866" t="s">
        <v>74</v>
      </c>
      <c r="BO866" t="s">
        <v>438</v>
      </c>
      <c r="BP866" t="s">
        <v>74</v>
      </c>
      <c r="BQ866" t="s">
        <v>74</v>
      </c>
      <c r="BR866" t="s">
        <v>103</v>
      </c>
      <c r="BS866" t="s">
        <v>16880</v>
      </c>
      <c r="BT866" t="str">
        <f>HYPERLINK("https%3A%2F%2Fwww.webofscience.com%2Fwos%2Fwoscc%2Ffull-record%2FWOS:000855406500001","View Full Record in Web of Science")</f>
        <v>View Full Record in Web of Science</v>
      </c>
    </row>
    <row r="867" spans="1:72" x14ac:dyDescent="0.15">
      <c r="A867" t="s">
        <v>72</v>
      </c>
      <c r="B867" t="s">
        <v>16881</v>
      </c>
      <c r="C867" t="s">
        <v>74</v>
      </c>
      <c r="D867" t="s">
        <v>74</v>
      </c>
      <c r="E867" t="s">
        <v>74</v>
      </c>
      <c r="F867" t="s">
        <v>16882</v>
      </c>
      <c r="G867" t="s">
        <v>74</v>
      </c>
      <c r="H867" t="s">
        <v>74</v>
      </c>
      <c r="I867" t="s">
        <v>16883</v>
      </c>
      <c r="J867" t="s">
        <v>16884</v>
      </c>
      <c r="K867" t="s">
        <v>74</v>
      </c>
      <c r="L867" t="s">
        <v>74</v>
      </c>
      <c r="M867" t="s">
        <v>78</v>
      </c>
      <c r="N867" t="s">
        <v>79</v>
      </c>
      <c r="O867" t="s">
        <v>74</v>
      </c>
      <c r="P867" t="s">
        <v>74</v>
      </c>
      <c r="Q867" t="s">
        <v>74</v>
      </c>
      <c r="R867" t="s">
        <v>74</v>
      </c>
      <c r="S867" t="s">
        <v>74</v>
      </c>
      <c r="T867" t="s">
        <v>16885</v>
      </c>
      <c r="U867" t="s">
        <v>16886</v>
      </c>
      <c r="V867" t="s">
        <v>16887</v>
      </c>
      <c r="W867" t="s">
        <v>16888</v>
      </c>
      <c r="X867" t="s">
        <v>2364</v>
      </c>
      <c r="Y867" t="s">
        <v>16889</v>
      </c>
      <c r="Z867" t="s">
        <v>16890</v>
      </c>
      <c r="AA867" t="s">
        <v>74</v>
      </c>
      <c r="AB867" t="s">
        <v>16891</v>
      </c>
      <c r="AC867" t="s">
        <v>74</v>
      </c>
      <c r="AD867" t="s">
        <v>74</v>
      </c>
      <c r="AE867" t="s">
        <v>74</v>
      </c>
      <c r="AF867" t="s">
        <v>74</v>
      </c>
      <c r="AG867">
        <v>33</v>
      </c>
      <c r="AH867">
        <v>3</v>
      </c>
      <c r="AI867">
        <v>4</v>
      </c>
      <c r="AJ867">
        <v>1</v>
      </c>
      <c r="AK867">
        <v>2</v>
      </c>
      <c r="AL867" t="s">
        <v>1766</v>
      </c>
      <c r="AM867" t="s">
        <v>1767</v>
      </c>
      <c r="AN867" t="s">
        <v>1768</v>
      </c>
      <c r="AO867" t="s">
        <v>74</v>
      </c>
      <c r="AP867" t="s">
        <v>16892</v>
      </c>
      <c r="AQ867" t="s">
        <v>74</v>
      </c>
      <c r="AR867" t="s">
        <v>16893</v>
      </c>
      <c r="AS867" t="s">
        <v>16894</v>
      </c>
      <c r="AT867" t="s">
        <v>6497</v>
      </c>
      <c r="AU867">
        <v>2022</v>
      </c>
      <c r="AV867">
        <v>5</v>
      </c>
      <c r="AW867">
        <v>1</v>
      </c>
      <c r="AX867" t="s">
        <v>74</v>
      </c>
      <c r="AY867" t="s">
        <v>74</v>
      </c>
      <c r="AZ867" t="s">
        <v>74</v>
      </c>
      <c r="BA867" t="s">
        <v>74</v>
      </c>
      <c r="BB867">
        <v>12</v>
      </c>
      <c r="BC867">
        <v>25</v>
      </c>
      <c r="BD867" t="s">
        <v>74</v>
      </c>
      <c r="BE867" t="s">
        <v>16895</v>
      </c>
      <c r="BF867" t="str">
        <f>HYPERLINK("http://dx.doi.org/10.3390/stats5010002","http://dx.doi.org/10.3390/stats5010002")</f>
        <v>http://dx.doi.org/10.3390/stats5010002</v>
      </c>
      <c r="BG867" t="s">
        <v>74</v>
      </c>
      <c r="BH867" t="s">
        <v>74</v>
      </c>
      <c r="BI867">
        <v>14</v>
      </c>
      <c r="BJ867" t="s">
        <v>16896</v>
      </c>
      <c r="BK867" t="s">
        <v>839</v>
      </c>
      <c r="BL867" t="s">
        <v>7968</v>
      </c>
      <c r="BM867" t="s">
        <v>16897</v>
      </c>
      <c r="BN867" t="s">
        <v>74</v>
      </c>
      <c r="BO867" t="s">
        <v>438</v>
      </c>
      <c r="BP867" t="s">
        <v>74</v>
      </c>
      <c r="BQ867" t="s">
        <v>74</v>
      </c>
      <c r="BR867" t="s">
        <v>103</v>
      </c>
      <c r="BS867" t="s">
        <v>16898</v>
      </c>
      <c r="BT867" t="str">
        <f>HYPERLINK("https%3A%2F%2Fwww.webofscience.com%2Fwos%2Fwoscc%2Ffull-record%2FWOS:000836841400001","View Full Record in Web of Science")</f>
        <v>View Full Record in Web of Science</v>
      </c>
    </row>
    <row r="868" spans="1:72" x14ac:dyDescent="0.15">
      <c r="A868" t="s">
        <v>72</v>
      </c>
      <c r="B868" t="s">
        <v>16899</v>
      </c>
      <c r="C868" t="s">
        <v>74</v>
      </c>
      <c r="D868" t="s">
        <v>74</v>
      </c>
      <c r="E868" t="s">
        <v>74</v>
      </c>
      <c r="F868" t="s">
        <v>16900</v>
      </c>
      <c r="G868" t="s">
        <v>74</v>
      </c>
      <c r="H868" t="s">
        <v>74</v>
      </c>
      <c r="I868" t="s">
        <v>16901</v>
      </c>
      <c r="J868" t="s">
        <v>1361</v>
      </c>
      <c r="K868" t="s">
        <v>74</v>
      </c>
      <c r="L868" t="s">
        <v>74</v>
      </c>
      <c r="M868" t="s">
        <v>78</v>
      </c>
      <c r="N868" t="s">
        <v>79</v>
      </c>
      <c r="O868" t="s">
        <v>74</v>
      </c>
      <c r="P868" t="s">
        <v>74</v>
      </c>
      <c r="Q868" t="s">
        <v>74</v>
      </c>
      <c r="R868" t="s">
        <v>74</v>
      </c>
      <c r="S868" t="s">
        <v>74</v>
      </c>
      <c r="T868" t="s">
        <v>16902</v>
      </c>
      <c r="U868" t="s">
        <v>74</v>
      </c>
      <c r="V868" t="s">
        <v>16903</v>
      </c>
      <c r="W868" t="s">
        <v>16904</v>
      </c>
      <c r="X868" t="s">
        <v>74</v>
      </c>
      <c r="Y868" t="s">
        <v>16905</v>
      </c>
      <c r="Z868" t="s">
        <v>16906</v>
      </c>
      <c r="AA868" t="s">
        <v>74</v>
      </c>
      <c r="AB868" t="s">
        <v>74</v>
      </c>
      <c r="AC868" t="s">
        <v>16907</v>
      </c>
      <c r="AD868" t="s">
        <v>5186</v>
      </c>
      <c r="AE868" t="s">
        <v>16908</v>
      </c>
      <c r="AF868" t="s">
        <v>74</v>
      </c>
      <c r="AG868">
        <v>10</v>
      </c>
      <c r="AH868">
        <v>1</v>
      </c>
      <c r="AI868">
        <v>1</v>
      </c>
      <c r="AJ868">
        <v>0</v>
      </c>
      <c r="AK868">
        <v>1</v>
      </c>
      <c r="AL868" t="s">
        <v>1372</v>
      </c>
      <c r="AM868" t="s">
        <v>531</v>
      </c>
      <c r="AN868" t="s">
        <v>1373</v>
      </c>
      <c r="AO868" t="s">
        <v>1374</v>
      </c>
      <c r="AP868" t="s">
        <v>1375</v>
      </c>
      <c r="AQ868" t="s">
        <v>74</v>
      </c>
      <c r="AR868" t="s">
        <v>1376</v>
      </c>
      <c r="AS868" t="s">
        <v>1377</v>
      </c>
      <c r="AT868" t="s">
        <v>6497</v>
      </c>
      <c r="AU868">
        <v>2022</v>
      </c>
      <c r="AV868">
        <v>47</v>
      </c>
      <c r="AW868">
        <v>3</v>
      </c>
      <c r="AX868" t="s">
        <v>74</v>
      </c>
      <c r="AY868" t="s">
        <v>74</v>
      </c>
      <c r="AZ868" t="s">
        <v>74</v>
      </c>
      <c r="BA868" t="s">
        <v>74</v>
      </c>
      <c r="BB868">
        <v>241</v>
      </c>
      <c r="BC868">
        <v>249</v>
      </c>
      <c r="BD868" t="s">
        <v>74</v>
      </c>
      <c r="BE868" t="s">
        <v>16909</v>
      </c>
      <c r="BF868" t="str">
        <f>HYPERLINK("http://dx.doi.org/10.3103/S1068373922030104","http://dx.doi.org/10.3103/S1068373922030104")</f>
        <v>http://dx.doi.org/10.3103/S1068373922030104</v>
      </c>
      <c r="BG868" t="s">
        <v>74</v>
      </c>
      <c r="BH868" t="s">
        <v>74</v>
      </c>
      <c r="BI868">
        <v>9</v>
      </c>
      <c r="BJ868" t="s">
        <v>510</v>
      </c>
      <c r="BK868" t="s">
        <v>101</v>
      </c>
      <c r="BL868" t="s">
        <v>510</v>
      </c>
      <c r="BM868" t="s">
        <v>16910</v>
      </c>
      <c r="BN868" t="s">
        <v>74</v>
      </c>
      <c r="BO868" t="s">
        <v>74</v>
      </c>
      <c r="BP868" t="s">
        <v>74</v>
      </c>
      <c r="BQ868" t="s">
        <v>74</v>
      </c>
      <c r="BR868" t="s">
        <v>103</v>
      </c>
      <c r="BS868" t="s">
        <v>16911</v>
      </c>
      <c r="BT868" t="str">
        <f>HYPERLINK("https%3A%2F%2Fwww.webofscience.com%2Fwos%2Fwoscc%2Ffull-record%2FWOS:000818811300010","View Full Record in Web of Science")</f>
        <v>View Full Record in Web of Science</v>
      </c>
    </row>
    <row r="869" spans="1:72" x14ac:dyDescent="0.15">
      <c r="A869" t="s">
        <v>72</v>
      </c>
      <c r="B869" t="s">
        <v>16912</v>
      </c>
      <c r="C869" t="s">
        <v>74</v>
      </c>
      <c r="D869" t="s">
        <v>74</v>
      </c>
      <c r="E869" t="s">
        <v>74</v>
      </c>
      <c r="F869" t="s">
        <v>16913</v>
      </c>
      <c r="G869" t="s">
        <v>74</v>
      </c>
      <c r="H869" t="s">
        <v>74</v>
      </c>
      <c r="I869" t="s">
        <v>16914</v>
      </c>
      <c r="J869" t="s">
        <v>16915</v>
      </c>
      <c r="K869" t="s">
        <v>74</v>
      </c>
      <c r="L869" t="s">
        <v>74</v>
      </c>
      <c r="M869" t="s">
        <v>78</v>
      </c>
      <c r="N869" t="s">
        <v>79</v>
      </c>
      <c r="O869" t="s">
        <v>74</v>
      </c>
      <c r="P869" t="s">
        <v>74</v>
      </c>
      <c r="Q869" t="s">
        <v>74</v>
      </c>
      <c r="R869" t="s">
        <v>74</v>
      </c>
      <c r="S869" t="s">
        <v>74</v>
      </c>
      <c r="T869" t="s">
        <v>16916</v>
      </c>
      <c r="U869" t="s">
        <v>16917</v>
      </c>
      <c r="V869" t="s">
        <v>16918</v>
      </c>
      <c r="W869" t="s">
        <v>16919</v>
      </c>
      <c r="X869" t="s">
        <v>16920</v>
      </c>
      <c r="Y869" t="s">
        <v>16921</v>
      </c>
      <c r="Z869" t="s">
        <v>16922</v>
      </c>
      <c r="AA869" t="s">
        <v>74</v>
      </c>
      <c r="AB869" t="s">
        <v>74</v>
      </c>
      <c r="AC869" t="s">
        <v>16923</v>
      </c>
      <c r="AD869" t="s">
        <v>16924</v>
      </c>
      <c r="AE869" t="s">
        <v>16925</v>
      </c>
      <c r="AF869" t="s">
        <v>74</v>
      </c>
      <c r="AG869">
        <v>85</v>
      </c>
      <c r="AH869">
        <v>1</v>
      </c>
      <c r="AI869">
        <v>1</v>
      </c>
      <c r="AJ869">
        <v>4</v>
      </c>
      <c r="AK869">
        <v>14</v>
      </c>
      <c r="AL869" t="s">
        <v>16926</v>
      </c>
      <c r="AM869" t="s">
        <v>16927</v>
      </c>
      <c r="AN869" t="s">
        <v>16928</v>
      </c>
      <c r="AO869" t="s">
        <v>16929</v>
      </c>
      <c r="AP869" t="s">
        <v>16930</v>
      </c>
      <c r="AQ869" t="s">
        <v>74</v>
      </c>
      <c r="AR869" t="s">
        <v>16915</v>
      </c>
      <c r="AS869" t="s">
        <v>16931</v>
      </c>
      <c r="AT869" t="s">
        <v>6497</v>
      </c>
      <c r="AU869">
        <v>2022</v>
      </c>
      <c r="AV869">
        <v>75</v>
      </c>
      <c r="AW869">
        <v>1</v>
      </c>
      <c r="AX869" t="s">
        <v>74</v>
      </c>
      <c r="AY869" t="s">
        <v>74</v>
      </c>
      <c r="AZ869" t="s">
        <v>74</v>
      </c>
      <c r="BA869" t="s">
        <v>74</v>
      </c>
      <c r="BB869">
        <v>55</v>
      </c>
      <c r="BC869">
        <v>71</v>
      </c>
      <c r="BD869" t="s">
        <v>74</v>
      </c>
      <c r="BE869" t="s">
        <v>16932</v>
      </c>
      <c r="BF869" t="str">
        <f>HYPERLINK("http://dx.doi.org/10.14430/arctic74868","http://dx.doi.org/10.14430/arctic74868")</f>
        <v>http://dx.doi.org/10.14430/arctic74868</v>
      </c>
      <c r="BG869" t="s">
        <v>74</v>
      </c>
      <c r="BH869" t="s">
        <v>74</v>
      </c>
      <c r="BI869">
        <v>17</v>
      </c>
      <c r="BJ869" t="s">
        <v>16933</v>
      </c>
      <c r="BK869" t="s">
        <v>101</v>
      </c>
      <c r="BL869" t="s">
        <v>4025</v>
      </c>
      <c r="BM869" t="s">
        <v>16934</v>
      </c>
      <c r="BN869" t="s">
        <v>74</v>
      </c>
      <c r="BO869" t="s">
        <v>128</v>
      </c>
      <c r="BP869" t="s">
        <v>74</v>
      </c>
      <c r="BQ869" t="s">
        <v>74</v>
      </c>
      <c r="BR869" t="s">
        <v>103</v>
      </c>
      <c r="BS869" t="s">
        <v>16935</v>
      </c>
      <c r="BT869" t="str">
        <f>HYPERLINK("https%3A%2F%2Fwww.webofscience.com%2Fwos%2Fwoscc%2Ffull-record%2FWOS:000813934500003","View Full Record in Web of Science")</f>
        <v>View Full Record in Web of Science</v>
      </c>
    </row>
    <row r="870" spans="1:72" x14ac:dyDescent="0.15">
      <c r="A870" t="s">
        <v>72</v>
      </c>
      <c r="B870" t="s">
        <v>16936</v>
      </c>
      <c r="C870" t="s">
        <v>74</v>
      </c>
      <c r="D870" t="s">
        <v>74</v>
      </c>
      <c r="E870" t="s">
        <v>74</v>
      </c>
      <c r="F870" t="s">
        <v>16937</v>
      </c>
      <c r="G870" t="s">
        <v>74</v>
      </c>
      <c r="H870" t="s">
        <v>74</v>
      </c>
      <c r="I870" t="s">
        <v>16938</v>
      </c>
      <c r="J870" t="s">
        <v>4808</v>
      </c>
      <c r="K870" t="s">
        <v>74</v>
      </c>
      <c r="L870" t="s">
        <v>74</v>
      </c>
      <c r="M870" t="s">
        <v>78</v>
      </c>
      <c r="N870" t="s">
        <v>79</v>
      </c>
      <c r="O870" t="s">
        <v>74</v>
      </c>
      <c r="P870" t="s">
        <v>74</v>
      </c>
      <c r="Q870" t="s">
        <v>74</v>
      </c>
      <c r="R870" t="s">
        <v>74</v>
      </c>
      <c r="S870" t="s">
        <v>74</v>
      </c>
      <c r="T870" t="s">
        <v>16939</v>
      </c>
      <c r="U870" t="s">
        <v>16940</v>
      </c>
      <c r="V870" t="s">
        <v>16941</v>
      </c>
      <c r="W870" t="s">
        <v>16942</v>
      </c>
      <c r="X870" t="s">
        <v>16943</v>
      </c>
      <c r="Y870" t="s">
        <v>16944</v>
      </c>
      <c r="Z870" t="s">
        <v>16945</v>
      </c>
      <c r="AA870" t="s">
        <v>16946</v>
      </c>
      <c r="AB870" t="s">
        <v>16947</v>
      </c>
      <c r="AC870" t="s">
        <v>16948</v>
      </c>
      <c r="AD870" t="s">
        <v>16949</v>
      </c>
      <c r="AE870" t="s">
        <v>16950</v>
      </c>
      <c r="AF870" t="s">
        <v>74</v>
      </c>
      <c r="AG870">
        <v>104</v>
      </c>
      <c r="AH870">
        <v>12</v>
      </c>
      <c r="AI870">
        <v>12</v>
      </c>
      <c r="AJ870">
        <v>3</v>
      </c>
      <c r="AK870">
        <v>26</v>
      </c>
      <c r="AL870" t="s">
        <v>1413</v>
      </c>
      <c r="AM870" t="s">
        <v>1414</v>
      </c>
      <c r="AN870" t="s">
        <v>1415</v>
      </c>
      <c r="AO870" t="s">
        <v>4822</v>
      </c>
      <c r="AP870" t="s">
        <v>4823</v>
      </c>
      <c r="AQ870" t="s">
        <v>74</v>
      </c>
      <c r="AR870" t="s">
        <v>4824</v>
      </c>
      <c r="AS870" t="s">
        <v>4825</v>
      </c>
      <c r="AT870" t="s">
        <v>6497</v>
      </c>
      <c r="AU870">
        <v>2022</v>
      </c>
      <c r="AV870">
        <v>35</v>
      </c>
      <c r="AW870">
        <v>5</v>
      </c>
      <c r="AX870" t="s">
        <v>74</v>
      </c>
      <c r="AY870" t="s">
        <v>74</v>
      </c>
      <c r="AZ870" t="s">
        <v>74</v>
      </c>
      <c r="BA870" t="s">
        <v>74</v>
      </c>
      <c r="BB870">
        <v>1479</v>
      </c>
      <c r="BC870">
        <v>1496</v>
      </c>
      <c r="BD870" t="s">
        <v>74</v>
      </c>
      <c r="BE870" t="s">
        <v>16951</v>
      </c>
      <c r="BF870" t="str">
        <f>HYPERLINK("http://dx.doi.org/10.1175/JCLI-D-21-0288.1","http://dx.doi.org/10.1175/JCLI-D-21-0288.1")</f>
        <v>http://dx.doi.org/10.1175/JCLI-D-21-0288.1</v>
      </c>
      <c r="BG870" t="s">
        <v>74</v>
      </c>
      <c r="BH870" t="s">
        <v>74</v>
      </c>
      <c r="BI870">
        <v>18</v>
      </c>
      <c r="BJ870" t="s">
        <v>510</v>
      </c>
      <c r="BK870" t="s">
        <v>101</v>
      </c>
      <c r="BL870" t="s">
        <v>510</v>
      </c>
      <c r="BM870" t="s">
        <v>16952</v>
      </c>
      <c r="BN870" t="s">
        <v>74</v>
      </c>
      <c r="BO870" t="s">
        <v>74</v>
      </c>
      <c r="BP870" t="s">
        <v>74</v>
      </c>
      <c r="BQ870" t="s">
        <v>74</v>
      </c>
      <c r="BR870" t="s">
        <v>103</v>
      </c>
      <c r="BS870" t="s">
        <v>16953</v>
      </c>
      <c r="BT870" t="str">
        <f>HYPERLINK("https%3A%2F%2Fwww.webofscience.com%2Fwos%2Fwoscc%2Ffull-record%2FWOS:000799197000006","View Full Record in Web of Science")</f>
        <v>View Full Record in Web of Science</v>
      </c>
    </row>
    <row r="871" spans="1:72" x14ac:dyDescent="0.15">
      <c r="A871" t="s">
        <v>72</v>
      </c>
      <c r="B871" t="s">
        <v>16954</v>
      </c>
      <c r="C871" t="s">
        <v>74</v>
      </c>
      <c r="D871" t="s">
        <v>74</v>
      </c>
      <c r="E871" t="s">
        <v>74</v>
      </c>
      <c r="F871" t="s">
        <v>16955</v>
      </c>
      <c r="G871" t="s">
        <v>74</v>
      </c>
      <c r="H871" t="s">
        <v>74</v>
      </c>
      <c r="I871" t="s">
        <v>16956</v>
      </c>
      <c r="J871" t="s">
        <v>4808</v>
      </c>
      <c r="K871" t="s">
        <v>74</v>
      </c>
      <c r="L871" t="s">
        <v>74</v>
      </c>
      <c r="M871" t="s">
        <v>78</v>
      </c>
      <c r="N871" t="s">
        <v>79</v>
      </c>
      <c r="O871" t="s">
        <v>74</v>
      </c>
      <c r="P871" t="s">
        <v>74</v>
      </c>
      <c r="Q871" t="s">
        <v>74</v>
      </c>
      <c r="R871" t="s">
        <v>74</v>
      </c>
      <c r="S871" t="s">
        <v>74</v>
      </c>
      <c r="T871" t="s">
        <v>16957</v>
      </c>
      <c r="U871" t="s">
        <v>16958</v>
      </c>
      <c r="V871" t="s">
        <v>16959</v>
      </c>
      <c r="W871" t="s">
        <v>16960</v>
      </c>
      <c r="X871" t="s">
        <v>16961</v>
      </c>
      <c r="Y871" t="s">
        <v>16962</v>
      </c>
      <c r="Z871" t="s">
        <v>16963</v>
      </c>
      <c r="AA871" t="s">
        <v>16964</v>
      </c>
      <c r="AB871" t="s">
        <v>16965</v>
      </c>
      <c r="AC871" t="s">
        <v>16966</v>
      </c>
      <c r="AD871" t="s">
        <v>16967</v>
      </c>
      <c r="AE871" t="s">
        <v>16968</v>
      </c>
      <c r="AF871" t="s">
        <v>74</v>
      </c>
      <c r="AG871">
        <v>61</v>
      </c>
      <c r="AH871">
        <v>4</v>
      </c>
      <c r="AI871">
        <v>4</v>
      </c>
      <c r="AJ871">
        <v>2</v>
      </c>
      <c r="AK871">
        <v>6</v>
      </c>
      <c r="AL871" t="s">
        <v>1413</v>
      </c>
      <c r="AM871" t="s">
        <v>1414</v>
      </c>
      <c r="AN871" t="s">
        <v>4821</v>
      </c>
      <c r="AO871" t="s">
        <v>4822</v>
      </c>
      <c r="AP871" t="s">
        <v>4823</v>
      </c>
      <c r="AQ871" t="s">
        <v>74</v>
      </c>
      <c r="AR871" t="s">
        <v>4824</v>
      </c>
      <c r="AS871" t="s">
        <v>4825</v>
      </c>
      <c r="AT871" t="s">
        <v>6497</v>
      </c>
      <c r="AU871">
        <v>2022</v>
      </c>
      <c r="AV871">
        <v>35</v>
      </c>
      <c r="AW871">
        <v>5</v>
      </c>
      <c r="AX871" t="s">
        <v>74</v>
      </c>
      <c r="AY871" t="s">
        <v>74</v>
      </c>
      <c r="AZ871" t="s">
        <v>74</v>
      </c>
      <c r="BA871" t="s">
        <v>74</v>
      </c>
      <c r="BB871">
        <v>1577</v>
      </c>
      <c r="BC871">
        <v>1596</v>
      </c>
      <c r="BD871" t="s">
        <v>74</v>
      </c>
      <c r="BE871" t="s">
        <v>16969</v>
      </c>
      <c r="BF871" t="str">
        <f>HYPERLINK("http://dx.doi.org/10.1175/JCLI-D-21-0466.1","http://dx.doi.org/10.1175/JCLI-D-21-0466.1")</f>
        <v>http://dx.doi.org/10.1175/JCLI-D-21-0466.1</v>
      </c>
      <c r="BG871" t="s">
        <v>74</v>
      </c>
      <c r="BH871" t="s">
        <v>74</v>
      </c>
      <c r="BI871">
        <v>20</v>
      </c>
      <c r="BJ871" t="s">
        <v>510</v>
      </c>
      <c r="BK871" t="s">
        <v>101</v>
      </c>
      <c r="BL871" t="s">
        <v>510</v>
      </c>
      <c r="BM871" t="s">
        <v>16952</v>
      </c>
      <c r="BN871" t="s">
        <v>74</v>
      </c>
      <c r="BO871" t="s">
        <v>74</v>
      </c>
      <c r="BP871" t="s">
        <v>74</v>
      </c>
      <c r="BQ871" t="s">
        <v>74</v>
      </c>
      <c r="BR871" t="s">
        <v>103</v>
      </c>
      <c r="BS871" t="s">
        <v>16970</v>
      </c>
      <c r="BT871" t="str">
        <f>HYPERLINK("https%3A%2F%2Fwww.webofscience.com%2Fwos%2Fwoscc%2Ffull-record%2FWOS:000799197000011","View Full Record in Web of Science")</f>
        <v>View Full Record in Web of Science</v>
      </c>
    </row>
    <row r="872" spans="1:72" x14ac:dyDescent="0.15">
      <c r="A872" t="s">
        <v>72</v>
      </c>
      <c r="B872" t="s">
        <v>16971</v>
      </c>
      <c r="C872" t="s">
        <v>74</v>
      </c>
      <c r="D872" t="s">
        <v>74</v>
      </c>
      <c r="E872" t="s">
        <v>74</v>
      </c>
      <c r="F872" t="s">
        <v>16972</v>
      </c>
      <c r="G872" t="s">
        <v>74</v>
      </c>
      <c r="H872" t="s">
        <v>74</v>
      </c>
      <c r="I872" t="s">
        <v>16973</v>
      </c>
      <c r="J872" t="s">
        <v>1429</v>
      </c>
      <c r="K872" t="s">
        <v>74</v>
      </c>
      <c r="L872" t="s">
        <v>74</v>
      </c>
      <c r="M872" t="s">
        <v>78</v>
      </c>
      <c r="N872" t="s">
        <v>79</v>
      </c>
      <c r="O872" t="s">
        <v>74</v>
      </c>
      <c r="P872" t="s">
        <v>74</v>
      </c>
      <c r="Q872" t="s">
        <v>74</v>
      </c>
      <c r="R872" t="s">
        <v>74</v>
      </c>
      <c r="S872" t="s">
        <v>74</v>
      </c>
      <c r="T872" t="s">
        <v>16974</v>
      </c>
      <c r="U872" t="s">
        <v>16975</v>
      </c>
      <c r="V872" t="s">
        <v>16976</v>
      </c>
      <c r="W872" t="s">
        <v>16977</v>
      </c>
      <c r="X872" t="s">
        <v>16978</v>
      </c>
      <c r="Y872" t="s">
        <v>16979</v>
      </c>
      <c r="Z872" t="s">
        <v>16980</v>
      </c>
      <c r="AA872" t="s">
        <v>16981</v>
      </c>
      <c r="AB872" t="s">
        <v>16982</v>
      </c>
      <c r="AC872" t="s">
        <v>16983</v>
      </c>
      <c r="AD872" t="s">
        <v>16984</v>
      </c>
      <c r="AE872" t="s">
        <v>16985</v>
      </c>
      <c r="AF872" t="s">
        <v>74</v>
      </c>
      <c r="AG872">
        <v>43</v>
      </c>
      <c r="AH872">
        <v>9</v>
      </c>
      <c r="AI872">
        <v>9</v>
      </c>
      <c r="AJ872">
        <v>0</v>
      </c>
      <c r="AK872">
        <v>4</v>
      </c>
      <c r="AL872" t="s">
        <v>1413</v>
      </c>
      <c r="AM872" t="s">
        <v>1414</v>
      </c>
      <c r="AN872" t="s">
        <v>4821</v>
      </c>
      <c r="AO872" t="s">
        <v>1442</v>
      </c>
      <c r="AP872" t="s">
        <v>1443</v>
      </c>
      <c r="AQ872" t="s">
        <v>74</v>
      </c>
      <c r="AR872" t="s">
        <v>1444</v>
      </c>
      <c r="AS872" t="s">
        <v>1445</v>
      </c>
      <c r="AT872" t="s">
        <v>6497</v>
      </c>
      <c r="AU872">
        <v>2022</v>
      </c>
      <c r="AV872">
        <v>52</v>
      </c>
      <c r="AW872">
        <v>3</v>
      </c>
      <c r="AX872" t="s">
        <v>74</v>
      </c>
      <c r="AY872" t="s">
        <v>74</v>
      </c>
      <c r="AZ872" t="s">
        <v>74</v>
      </c>
      <c r="BA872" t="s">
        <v>74</v>
      </c>
      <c r="BB872">
        <v>347</v>
      </c>
      <c r="BC872">
        <v>361</v>
      </c>
      <c r="BD872" t="s">
        <v>74</v>
      </c>
      <c r="BE872" t="s">
        <v>16986</v>
      </c>
      <c r="BF872" t="str">
        <f>HYPERLINK("http://dx.doi.org/10.1175/JPO-D-21-0143.1","http://dx.doi.org/10.1175/JPO-D-21-0143.1")</f>
        <v>http://dx.doi.org/10.1175/JPO-D-21-0143.1</v>
      </c>
      <c r="BG872" t="s">
        <v>74</v>
      </c>
      <c r="BH872" t="s">
        <v>74</v>
      </c>
      <c r="BI872">
        <v>15</v>
      </c>
      <c r="BJ872" t="s">
        <v>208</v>
      </c>
      <c r="BK872" t="s">
        <v>101</v>
      </c>
      <c r="BL872" t="s">
        <v>208</v>
      </c>
      <c r="BM872" t="s">
        <v>16987</v>
      </c>
      <c r="BN872" t="s">
        <v>74</v>
      </c>
      <c r="BO872" t="s">
        <v>74</v>
      </c>
      <c r="BP872" t="s">
        <v>74</v>
      </c>
      <c r="BQ872" t="s">
        <v>74</v>
      </c>
      <c r="BR872" t="s">
        <v>103</v>
      </c>
      <c r="BS872" t="s">
        <v>16988</v>
      </c>
      <c r="BT872" t="str">
        <f>HYPERLINK("https%3A%2F%2Fwww.webofscience.com%2Fwos%2Fwoscc%2Ffull-record%2FWOS:000799585300001","View Full Record in Web of Science")</f>
        <v>View Full Record in Web of Science</v>
      </c>
    </row>
    <row r="873" spans="1:72" x14ac:dyDescent="0.15">
      <c r="A873" t="s">
        <v>72</v>
      </c>
      <c r="B873" t="s">
        <v>16989</v>
      </c>
      <c r="C873" t="s">
        <v>74</v>
      </c>
      <c r="D873" t="s">
        <v>74</v>
      </c>
      <c r="E873" t="s">
        <v>74</v>
      </c>
      <c r="F873" t="s">
        <v>16990</v>
      </c>
      <c r="G873" t="s">
        <v>74</v>
      </c>
      <c r="H873" t="s">
        <v>74</v>
      </c>
      <c r="I873" t="s">
        <v>16991</v>
      </c>
      <c r="J873" t="s">
        <v>4808</v>
      </c>
      <c r="K873" t="s">
        <v>74</v>
      </c>
      <c r="L873" t="s">
        <v>74</v>
      </c>
      <c r="M873" t="s">
        <v>78</v>
      </c>
      <c r="N873" t="s">
        <v>79</v>
      </c>
      <c r="O873" t="s">
        <v>74</v>
      </c>
      <c r="P873" t="s">
        <v>74</v>
      </c>
      <c r="Q873" t="s">
        <v>74</v>
      </c>
      <c r="R873" t="s">
        <v>74</v>
      </c>
      <c r="S873" t="s">
        <v>74</v>
      </c>
      <c r="T873" t="s">
        <v>16992</v>
      </c>
      <c r="U873" t="s">
        <v>16993</v>
      </c>
      <c r="V873" t="s">
        <v>16994</v>
      </c>
      <c r="W873" t="s">
        <v>16995</v>
      </c>
      <c r="X873" t="s">
        <v>16996</v>
      </c>
      <c r="Y873" t="s">
        <v>16997</v>
      </c>
      <c r="Z873" t="s">
        <v>16998</v>
      </c>
      <c r="AA873" t="s">
        <v>74</v>
      </c>
      <c r="AB873" t="s">
        <v>16999</v>
      </c>
      <c r="AC873" t="s">
        <v>17000</v>
      </c>
      <c r="AD873" t="s">
        <v>4081</v>
      </c>
      <c r="AE873" t="s">
        <v>17001</v>
      </c>
      <c r="AF873" t="s">
        <v>74</v>
      </c>
      <c r="AG873">
        <v>47</v>
      </c>
      <c r="AH873">
        <v>1</v>
      </c>
      <c r="AI873">
        <v>1</v>
      </c>
      <c r="AJ873">
        <v>2</v>
      </c>
      <c r="AK873">
        <v>5</v>
      </c>
      <c r="AL873" t="s">
        <v>1413</v>
      </c>
      <c r="AM873" t="s">
        <v>1414</v>
      </c>
      <c r="AN873" t="s">
        <v>4821</v>
      </c>
      <c r="AO873" t="s">
        <v>4822</v>
      </c>
      <c r="AP873" t="s">
        <v>4823</v>
      </c>
      <c r="AQ873" t="s">
        <v>74</v>
      </c>
      <c r="AR873" t="s">
        <v>4824</v>
      </c>
      <c r="AS873" t="s">
        <v>4825</v>
      </c>
      <c r="AT873" t="s">
        <v>6497</v>
      </c>
      <c r="AU873">
        <v>2022</v>
      </c>
      <c r="AV873">
        <v>35</v>
      </c>
      <c r="AW873">
        <v>6</v>
      </c>
      <c r="AX873" t="s">
        <v>74</v>
      </c>
      <c r="AY873" t="s">
        <v>74</v>
      </c>
      <c r="AZ873" t="s">
        <v>74</v>
      </c>
      <c r="BA873" t="s">
        <v>74</v>
      </c>
      <c r="BB873">
        <v>1761</v>
      </c>
      <c r="BC873">
        <v>1772</v>
      </c>
      <c r="BD873" t="s">
        <v>74</v>
      </c>
      <c r="BE873" t="s">
        <v>17002</v>
      </c>
      <c r="BF873" t="str">
        <f>HYPERLINK("http://dx.doi.org/10.1175/JCLI-D-21-0404.1","http://dx.doi.org/10.1175/JCLI-D-21-0404.1")</f>
        <v>http://dx.doi.org/10.1175/JCLI-D-21-0404.1</v>
      </c>
      <c r="BG873" t="s">
        <v>74</v>
      </c>
      <c r="BH873" t="s">
        <v>74</v>
      </c>
      <c r="BI873">
        <v>12</v>
      </c>
      <c r="BJ873" t="s">
        <v>510</v>
      </c>
      <c r="BK873" t="s">
        <v>101</v>
      </c>
      <c r="BL873" t="s">
        <v>510</v>
      </c>
      <c r="BM873" t="s">
        <v>17003</v>
      </c>
      <c r="BN873" t="s">
        <v>74</v>
      </c>
      <c r="BO873" t="s">
        <v>74</v>
      </c>
      <c r="BP873" t="s">
        <v>74</v>
      </c>
      <c r="BQ873" t="s">
        <v>74</v>
      </c>
      <c r="BR873" t="s">
        <v>103</v>
      </c>
      <c r="BS873" t="s">
        <v>17004</v>
      </c>
      <c r="BT873" t="str">
        <f>HYPERLINK("https%3A%2F%2Fwww.webofscience.com%2Fwos%2Fwoscc%2Ffull-record%2FWOS:000799200700004","View Full Record in Web of Science")</f>
        <v>View Full Record in Web of Science</v>
      </c>
    </row>
    <row r="874" spans="1:72" x14ac:dyDescent="0.15">
      <c r="A874" t="s">
        <v>72</v>
      </c>
      <c r="B874" t="s">
        <v>17005</v>
      </c>
      <c r="C874" t="s">
        <v>74</v>
      </c>
      <c r="D874" t="s">
        <v>74</v>
      </c>
      <c r="E874" t="s">
        <v>74</v>
      </c>
      <c r="F874" t="s">
        <v>17006</v>
      </c>
      <c r="G874" t="s">
        <v>74</v>
      </c>
      <c r="H874" t="s">
        <v>74</v>
      </c>
      <c r="I874" t="s">
        <v>17007</v>
      </c>
      <c r="J874" t="s">
        <v>4808</v>
      </c>
      <c r="K874" t="s">
        <v>74</v>
      </c>
      <c r="L874" t="s">
        <v>74</v>
      </c>
      <c r="M874" t="s">
        <v>78</v>
      </c>
      <c r="N874" t="s">
        <v>79</v>
      </c>
      <c r="O874" t="s">
        <v>74</v>
      </c>
      <c r="P874" t="s">
        <v>74</v>
      </c>
      <c r="Q874" t="s">
        <v>74</v>
      </c>
      <c r="R874" t="s">
        <v>74</v>
      </c>
      <c r="S874" t="s">
        <v>74</v>
      </c>
      <c r="T874" t="s">
        <v>17008</v>
      </c>
      <c r="U874" t="s">
        <v>17009</v>
      </c>
      <c r="V874" t="s">
        <v>17010</v>
      </c>
      <c r="W874" t="s">
        <v>17011</v>
      </c>
      <c r="X874" t="s">
        <v>17012</v>
      </c>
      <c r="Y874" t="s">
        <v>17013</v>
      </c>
      <c r="Z874" t="s">
        <v>17014</v>
      </c>
      <c r="AA874" t="s">
        <v>17015</v>
      </c>
      <c r="AB874" t="s">
        <v>17016</v>
      </c>
      <c r="AC874" t="s">
        <v>17017</v>
      </c>
      <c r="AD874" t="s">
        <v>17018</v>
      </c>
      <c r="AE874" t="s">
        <v>17019</v>
      </c>
      <c r="AF874" t="s">
        <v>74</v>
      </c>
      <c r="AG874">
        <v>57</v>
      </c>
      <c r="AH874">
        <v>9</v>
      </c>
      <c r="AI874">
        <v>9</v>
      </c>
      <c r="AJ874">
        <v>1</v>
      </c>
      <c r="AK874">
        <v>24</v>
      </c>
      <c r="AL874" t="s">
        <v>1413</v>
      </c>
      <c r="AM874" t="s">
        <v>1414</v>
      </c>
      <c r="AN874" t="s">
        <v>1415</v>
      </c>
      <c r="AO874" t="s">
        <v>4822</v>
      </c>
      <c r="AP874" t="s">
        <v>4823</v>
      </c>
      <c r="AQ874" t="s">
        <v>74</v>
      </c>
      <c r="AR874" t="s">
        <v>4824</v>
      </c>
      <c r="AS874" t="s">
        <v>4825</v>
      </c>
      <c r="AT874" t="s">
        <v>6497</v>
      </c>
      <c r="AU874">
        <v>2022</v>
      </c>
      <c r="AV874">
        <v>35</v>
      </c>
      <c r="AW874">
        <v>6</v>
      </c>
      <c r="AX874" t="s">
        <v>74</v>
      </c>
      <c r="AY874" t="s">
        <v>74</v>
      </c>
      <c r="AZ874" t="s">
        <v>74</v>
      </c>
      <c r="BA874" t="s">
        <v>74</v>
      </c>
      <c r="BB874">
        <v>1825</v>
      </c>
      <c r="BC874">
        <v>1838</v>
      </c>
      <c r="BD874" t="s">
        <v>74</v>
      </c>
      <c r="BE874" t="s">
        <v>17020</v>
      </c>
      <c r="BF874" t="str">
        <f>HYPERLINK("http://dx.doi.org/10.1175/JCLI-D-21-0285.1","http://dx.doi.org/10.1175/JCLI-D-21-0285.1")</f>
        <v>http://dx.doi.org/10.1175/JCLI-D-21-0285.1</v>
      </c>
      <c r="BG874" t="s">
        <v>74</v>
      </c>
      <c r="BH874" t="s">
        <v>74</v>
      </c>
      <c r="BI874">
        <v>14</v>
      </c>
      <c r="BJ874" t="s">
        <v>510</v>
      </c>
      <c r="BK874" t="s">
        <v>101</v>
      </c>
      <c r="BL874" t="s">
        <v>510</v>
      </c>
      <c r="BM874" t="s">
        <v>17003</v>
      </c>
      <c r="BN874" t="s">
        <v>74</v>
      </c>
      <c r="BO874" t="s">
        <v>1483</v>
      </c>
      <c r="BP874" t="s">
        <v>74</v>
      </c>
      <c r="BQ874" t="s">
        <v>74</v>
      </c>
      <c r="BR874" t="s">
        <v>103</v>
      </c>
      <c r="BS874" t="s">
        <v>17021</v>
      </c>
      <c r="BT874" t="str">
        <f>HYPERLINK("https%3A%2F%2Fwww.webofscience.com%2Fwos%2Fwoscc%2Ffull-record%2FWOS:000799200700008","View Full Record in Web of Science")</f>
        <v>View Full Record in Web of Science</v>
      </c>
    </row>
    <row r="875" spans="1:72" x14ac:dyDescent="0.15">
      <c r="A875" t="s">
        <v>72</v>
      </c>
      <c r="B875" t="s">
        <v>17022</v>
      </c>
      <c r="C875" t="s">
        <v>74</v>
      </c>
      <c r="D875" t="s">
        <v>74</v>
      </c>
      <c r="E875" t="s">
        <v>74</v>
      </c>
      <c r="F875" t="s">
        <v>17023</v>
      </c>
      <c r="G875" t="s">
        <v>74</v>
      </c>
      <c r="H875" t="s">
        <v>74</v>
      </c>
      <c r="I875" t="s">
        <v>17024</v>
      </c>
      <c r="J875" t="s">
        <v>4808</v>
      </c>
      <c r="K875" t="s">
        <v>74</v>
      </c>
      <c r="L875" t="s">
        <v>74</v>
      </c>
      <c r="M875" t="s">
        <v>78</v>
      </c>
      <c r="N875" t="s">
        <v>79</v>
      </c>
      <c r="O875" t="s">
        <v>74</v>
      </c>
      <c r="P875" t="s">
        <v>74</v>
      </c>
      <c r="Q875" t="s">
        <v>74</v>
      </c>
      <c r="R875" t="s">
        <v>74</v>
      </c>
      <c r="S875" t="s">
        <v>74</v>
      </c>
      <c r="T875" t="s">
        <v>17025</v>
      </c>
      <c r="U875" t="s">
        <v>17026</v>
      </c>
      <c r="V875" t="s">
        <v>17027</v>
      </c>
      <c r="W875" t="s">
        <v>17028</v>
      </c>
      <c r="X875" t="s">
        <v>17029</v>
      </c>
      <c r="Y875" t="s">
        <v>17030</v>
      </c>
      <c r="Z875" t="s">
        <v>17031</v>
      </c>
      <c r="AA875" t="s">
        <v>3427</v>
      </c>
      <c r="AB875" t="s">
        <v>17032</v>
      </c>
      <c r="AC875" t="s">
        <v>17033</v>
      </c>
      <c r="AD875" t="s">
        <v>17034</v>
      </c>
      <c r="AE875" t="s">
        <v>17035</v>
      </c>
      <c r="AF875" t="s">
        <v>74</v>
      </c>
      <c r="AG875">
        <v>77</v>
      </c>
      <c r="AH875">
        <v>3</v>
      </c>
      <c r="AI875">
        <v>3</v>
      </c>
      <c r="AJ875">
        <v>5</v>
      </c>
      <c r="AK875">
        <v>11</v>
      </c>
      <c r="AL875" t="s">
        <v>1413</v>
      </c>
      <c r="AM875" t="s">
        <v>1414</v>
      </c>
      <c r="AN875" t="s">
        <v>4821</v>
      </c>
      <c r="AO875" t="s">
        <v>4822</v>
      </c>
      <c r="AP875" t="s">
        <v>4823</v>
      </c>
      <c r="AQ875" t="s">
        <v>74</v>
      </c>
      <c r="AR875" t="s">
        <v>4824</v>
      </c>
      <c r="AS875" t="s">
        <v>4825</v>
      </c>
      <c r="AT875" t="s">
        <v>6497</v>
      </c>
      <c r="AU875">
        <v>2022</v>
      </c>
      <c r="AV875">
        <v>35</v>
      </c>
      <c r="AW875">
        <v>6</v>
      </c>
      <c r="AX875" t="s">
        <v>74</v>
      </c>
      <c r="AY875" t="s">
        <v>74</v>
      </c>
      <c r="AZ875" t="s">
        <v>74</v>
      </c>
      <c r="BA875" t="s">
        <v>74</v>
      </c>
      <c r="BB875">
        <v>1963</v>
      </c>
      <c r="BC875">
        <v>1981</v>
      </c>
      <c r="BD875" t="s">
        <v>74</v>
      </c>
      <c r="BE875" t="s">
        <v>17036</v>
      </c>
      <c r="BF875" t="str">
        <f>HYPERLINK("http://dx.doi.org/10.1175/JCLI-D-21-0250.1","http://dx.doi.org/10.1175/JCLI-D-21-0250.1")</f>
        <v>http://dx.doi.org/10.1175/JCLI-D-21-0250.1</v>
      </c>
      <c r="BG875" t="s">
        <v>74</v>
      </c>
      <c r="BH875" t="s">
        <v>74</v>
      </c>
      <c r="BI875">
        <v>19</v>
      </c>
      <c r="BJ875" t="s">
        <v>510</v>
      </c>
      <c r="BK875" t="s">
        <v>101</v>
      </c>
      <c r="BL875" t="s">
        <v>510</v>
      </c>
      <c r="BM875" t="s">
        <v>17003</v>
      </c>
      <c r="BN875" t="s">
        <v>74</v>
      </c>
      <c r="BO875" t="s">
        <v>1483</v>
      </c>
      <c r="BP875" t="s">
        <v>74</v>
      </c>
      <c r="BQ875" t="s">
        <v>74</v>
      </c>
      <c r="BR875" t="s">
        <v>103</v>
      </c>
      <c r="BS875" t="s">
        <v>17037</v>
      </c>
      <c r="BT875" t="str">
        <f>HYPERLINK("https%3A%2F%2Fwww.webofscience.com%2Fwos%2Fwoscc%2Ffull-record%2FWOS:000799200700016","View Full Record in Web of Science")</f>
        <v>View Full Record in Web of Science</v>
      </c>
    </row>
    <row r="876" spans="1:72" x14ac:dyDescent="0.15">
      <c r="A876" t="s">
        <v>72</v>
      </c>
      <c r="B876" t="s">
        <v>17038</v>
      </c>
      <c r="C876" t="s">
        <v>74</v>
      </c>
      <c r="D876" t="s">
        <v>74</v>
      </c>
      <c r="E876" t="s">
        <v>74</v>
      </c>
      <c r="F876" t="s">
        <v>17039</v>
      </c>
      <c r="G876" t="s">
        <v>74</v>
      </c>
      <c r="H876" t="s">
        <v>74</v>
      </c>
      <c r="I876" t="s">
        <v>17040</v>
      </c>
      <c r="J876" t="s">
        <v>4808</v>
      </c>
      <c r="K876" t="s">
        <v>74</v>
      </c>
      <c r="L876" t="s">
        <v>74</v>
      </c>
      <c r="M876" t="s">
        <v>78</v>
      </c>
      <c r="N876" t="s">
        <v>79</v>
      </c>
      <c r="O876" t="s">
        <v>74</v>
      </c>
      <c r="P876" t="s">
        <v>74</v>
      </c>
      <c r="Q876" t="s">
        <v>74</v>
      </c>
      <c r="R876" t="s">
        <v>74</v>
      </c>
      <c r="S876" t="s">
        <v>74</v>
      </c>
      <c r="T876" t="s">
        <v>17041</v>
      </c>
      <c r="U876" t="s">
        <v>17042</v>
      </c>
      <c r="V876" t="s">
        <v>17043</v>
      </c>
      <c r="W876" t="s">
        <v>17044</v>
      </c>
      <c r="X876" t="s">
        <v>17045</v>
      </c>
      <c r="Y876" t="s">
        <v>17046</v>
      </c>
      <c r="Z876" t="s">
        <v>17047</v>
      </c>
      <c r="AA876" t="s">
        <v>17048</v>
      </c>
      <c r="AB876" t="s">
        <v>17049</v>
      </c>
      <c r="AC876" t="s">
        <v>17050</v>
      </c>
      <c r="AD876" t="s">
        <v>17051</v>
      </c>
      <c r="AE876" t="s">
        <v>17052</v>
      </c>
      <c r="AF876" t="s">
        <v>74</v>
      </c>
      <c r="AG876">
        <v>92</v>
      </c>
      <c r="AH876">
        <v>4</v>
      </c>
      <c r="AI876">
        <v>5</v>
      </c>
      <c r="AJ876">
        <v>0</v>
      </c>
      <c r="AK876">
        <v>19</v>
      </c>
      <c r="AL876" t="s">
        <v>1413</v>
      </c>
      <c r="AM876" t="s">
        <v>1414</v>
      </c>
      <c r="AN876" t="s">
        <v>1415</v>
      </c>
      <c r="AO876" t="s">
        <v>4822</v>
      </c>
      <c r="AP876" t="s">
        <v>4823</v>
      </c>
      <c r="AQ876" t="s">
        <v>74</v>
      </c>
      <c r="AR876" t="s">
        <v>4824</v>
      </c>
      <c r="AS876" t="s">
        <v>4825</v>
      </c>
      <c r="AT876" t="s">
        <v>6497</v>
      </c>
      <c r="AU876">
        <v>2022</v>
      </c>
      <c r="AV876">
        <v>35</v>
      </c>
      <c r="AW876">
        <v>6</v>
      </c>
      <c r="AX876" t="s">
        <v>74</v>
      </c>
      <c r="AY876" t="s">
        <v>74</v>
      </c>
      <c r="AZ876" t="s">
        <v>74</v>
      </c>
      <c r="BA876" t="s">
        <v>74</v>
      </c>
      <c r="BB876">
        <v>2075</v>
      </c>
      <c r="BC876">
        <v>2092</v>
      </c>
      <c r="BD876" t="s">
        <v>74</v>
      </c>
      <c r="BE876" t="s">
        <v>17053</v>
      </c>
      <c r="BF876" t="str">
        <f>HYPERLINK("http://dx.doi.org/10.1175/JCLI-D-21-0500.1","http://dx.doi.org/10.1175/JCLI-D-21-0500.1")</f>
        <v>http://dx.doi.org/10.1175/JCLI-D-21-0500.1</v>
      </c>
      <c r="BG876" t="s">
        <v>74</v>
      </c>
      <c r="BH876" t="s">
        <v>74</v>
      </c>
      <c r="BI876">
        <v>18</v>
      </c>
      <c r="BJ876" t="s">
        <v>510</v>
      </c>
      <c r="BK876" t="s">
        <v>101</v>
      </c>
      <c r="BL876" t="s">
        <v>510</v>
      </c>
      <c r="BM876" t="s">
        <v>17003</v>
      </c>
      <c r="BN876" t="s">
        <v>74</v>
      </c>
      <c r="BO876" t="s">
        <v>986</v>
      </c>
      <c r="BP876" t="s">
        <v>74</v>
      </c>
      <c r="BQ876" t="s">
        <v>74</v>
      </c>
      <c r="BR876" t="s">
        <v>103</v>
      </c>
      <c r="BS876" t="s">
        <v>17054</v>
      </c>
      <c r="BT876" t="str">
        <f>HYPERLINK("https%3A%2F%2Fwww.webofscience.com%2Fwos%2Fwoscc%2Ffull-record%2FWOS:000799200700022","View Full Record in Web of Science")</f>
        <v>View Full Record in Web of Science</v>
      </c>
    </row>
    <row r="877" spans="1:72" x14ac:dyDescent="0.15">
      <c r="A877" t="s">
        <v>72</v>
      </c>
      <c r="B877" t="s">
        <v>17055</v>
      </c>
      <c r="C877" t="s">
        <v>74</v>
      </c>
      <c r="D877" t="s">
        <v>74</v>
      </c>
      <c r="E877" t="s">
        <v>74</v>
      </c>
      <c r="F877" t="s">
        <v>17056</v>
      </c>
      <c r="G877" t="s">
        <v>74</v>
      </c>
      <c r="H877" t="s">
        <v>74</v>
      </c>
      <c r="I877" t="s">
        <v>17057</v>
      </c>
      <c r="J877" t="s">
        <v>17058</v>
      </c>
      <c r="K877" t="s">
        <v>74</v>
      </c>
      <c r="L877" t="s">
        <v>74</v>
      </c>
      <c r="M877" t="s">
        <v>78</v>
      </c>
      <c r="N877" t="s">
        <v>161</v>
      </c>
      <c r="O877" t="s">
        <v>74</v>
      </c>
      <c r="P877" t="s">
        <v>74</v>
      </c>
      <c r="Q877" t="s">
        <v>74</v>
      </c>
      <c r="R877" t="s">
        <v>74</v>
      </c>
      <c r="S877" t="s">
        <v>74</v>
      </c>
      <c r="T877" t="s">
        <v>17059</v>
      </c>
      <c r="U877" t="s">
        <v>17060</v>
      </c>
      <c r="V877" t="s">
        <v>17061</v>
      </c>
      <c r="W877" t="s">
        <v>17062</v>
      </c>
      <c r="X877" t="s">
        <v>17063</v>
      </c>
      <c r="Y877" t="s">
        <v>17064</v>
      </c>
      <c r="Z877" t="s">
        <v>17065</v>
      </c>
      <c r="AA877" t="s">
        <v>17066</v>
      </c>
      <c r="AB877" t="s">
        <v>17067</v>
      </c>
      <c r="AC877" t="s">
        <v>17068</v>
      </c>
      <c r="AD877" t="s">
        <v>9191</v>
      </c>
      <c r="AE877" t="s">
        <v>17069</v>
      </c>
      <c r="AF877" t="s">
        <v>74</v>
      </c>
      <c r="AG877">
        <v>95</v>
      </c>
      <c r="AH877">
        <v>9</v>
      </c>
      <c r="AI877">
        <v>10</v>
      </c>
      <c r="AJ877">
        <v>1</v>
      </c>
      <c r="AK877">
        <v>51</v>
      </c>
      <c r="AL877" t="s">
        <v>17070</v>
      </c>
      <c r="AM877" t="s">
        <v>17071</v>
      </c>
      <c r="AN877" t="s">
        <v>17072</v>
      </c>
      <c r="AO877" t="s">
        <v>17073</v>
      </c>
      <c r="AP877" t="s">
        <v>17074</v>
      </c>
      <c r="AQ877" t="s">
        <v>74</v>
      </c>
      <c r="AR877" t="s">
        <v>17075</v>
      </c>
      <c r="AS877" t="s">
        <v>17076</v>
      </c>
      <c r="AT877" t="s">
        <v>6497</v>
      </c>
      <c r="AU877">
        <v>2022</v>
      </c>
      <c r="AV877">
        <v>54</v>
      </c>
      <c r="AW877" t="s">
        <v>74</v>
      </c>
      <c r="AX877" t="s">
        <v>74</v>
      </c>
      <c r="AY877" t="s">
        <v>74</v>
      </c>
      <c r="AZ877" t="s">
        <v>74</v>
      </c>
      <c r="BA877" t="s">
        <v>74</v>
      </c>
      <c r="BB877">
        <v>105</v>
      </c>
      <c r="BC877">
        <v>132</v>
      </c>
      <c r="BD877" t="s">
        <v>74</v>
      </c>
      <c r="BE877" t="s">
        <v>17077</v>
      </c>
      <c r="BF877" t="str">
        <f>HYPERLINK("http://dx.doi.org/10.1146/annurev-fluid-030121-115729","http://dx.doi.org/10.1146/annurev-fluid-030121-115729")</f>
        <v>http://dx.doi.org/10.1146/annurev-fluid-030121-115729</v>
      </c>
      <c r="BG877" t="s">
        <v>74</v>
      </c>
      <c r="BH877" t="s">
        <v>74</v>
      </c>
      <c r="BI877">
        <v>28</v>
      </c>
      <c r="BJ877" t="s">
        <v>11392</v>
      </c>
      <c r="BK877" t="s">
        <v>101</v>
      </c>
      <c r="BL877" t="s">
        <v>11393</v>
      </c>
      <c r="BM877" t="s">
        <v>17078</v>
      </c>
      <c r="BN877" t="s">
        <v>74</v>
      </c>
      <c r="BO877" t="s">
        <v>1483</v>
      </c>
      <c r="BP877" t="s">
        <v>74</v>
      </c>
      <c r="BQ877" t="s">
        <v>74</v>
      </c>
      <c r="BR877" t="s">
        <v>103</v>
      </c>
      <c r="BS877" t="s">
        <v>17079</v>
      </c>
      <c r="BT877" t="str">
        <f>HYPERLINK("https%3A%2F%2Fwww.webofscience.com%2Fwos%2Fwoscc%2Ffull-record%2FWOS:000794152800005","View Full Record in Web of Science")</f>
        <v>View Full Record in Web of Science</v>
      </c>
    </row>
    <row r="878" spans="1:72" x14ac:dyDescent="0.15">
      <c r="A878" t="s">
        <v>72</v>
      </c>
      <c r="B878" t="s">
        <v>17080</v>
      </c>
      <c r="C878" t="s">
        <v>74</v>
      </c>
      <c r="D878" t="s">
        <v>74</v>
      </c>
      <c r="E878" t="s">
        <v>74</v>
      </c>
      <c r="F878" t="s">
        <v>17081</v>
      </c>
      <c r="G878" t="s">
        <v>74</v>
      </c>
      <c r="H878" t="s">
        <v>74</v>
      </c>
      <c r="I878" t="s">
        <v>17082</v>
      </c>
      <c r="J878" t="s">
        <v>17083</v>
      </c>
      <c r="K878" t="s">
        <v>74</v>
      </c>
      <c r="L878" t="s">
        <v>74</v>
      </c>
      <c r="M878" t="s">
        <v>78</v>
      </c>
      <c r="N878" t="s">
        <v>79</v>
      </c>
      <c r="O878" t="s">
        <v>74</v>
      </c>
      <c r="P878" t="s">
        <v>74</v>
      </c>
      <c r="Q878" t="s">
        <v>74</v>
      </c>
      <c r="R878" t="s">
        <v>74</v>
      </c>
      <c r="S878" t="s">
        <v>74</v>
      </c>
      <c r="T878" t="s">
        <v>17084</v>
      </c>
      <c r="U878" t="s">
        <v>17085</v>
      </c>
      <c r="V878" t="s">
        <v>17086</v>
      </c>
      <c r="W878" t="s">
        <v>17087</v>
      </c>
      <c r="X878" t="s">
        <v>17088</v>
      </c>
      <c r="Y878" t="s">
        <v>17089</v>
      </c>
      <c r="Z878" t="s">
        <v>17090</v>
      </c>
      <c r="AA878" t="s">
        <v>74</v>
      </c>
      <c r="AB878" t="s">
        <v>74</v>
      </c>
      <c r="AC878" t="s">
        <v>17091</v>
      </c>
      <c r="AD878" t="s">
        <v>17092</v>
      </c>
      <c r="AE878" t="s">
        <v>17093</v>
      </c>
      <c r="AF878" t="s">
        <v>74</v>
      </c>
      <c r="AG878">
        <v>44</v>
      </c>
      <c r="AH878">
        <v>2</v>
      </c>
      <c r="AI878">
        <v>2</v>
      </c>
      <c r="AJ878">
        <v>0</v>
      </c>
      <c r="AK878">
        <v>0</v>
      </c>
      <c r="AL878" t="s">
        <v>17094</v>
      </c>
      <c r="AM878" t="s">
        <v>5299</v>
      </c>
      <c r="AN878" t="s">
        <v>17095</v>
      </c>
      <c r="AO878" t="s">
        <v>17096</v>
      </c>
      <c r="AP878" t="s">
        <v>74</v>
      </c>
      <c r="AQ878" t="s">
        <v>74</v>
      </c>
      <c r="AR878" t="s">
        <v>17097</v>
      </c>
      <c r="AS878" t="s">
        <v>17098</v>
      </c>
      <c r="AT878" t="s">
        <v>6497</v>
      </c>
      <c r="AU878">
        <v>2022</v>
      </c>
      <c r="AV878">
        <v>74</v>
      </c>
      <c r="AW878">
        <v>1</v>
      </c>
      <c r="AX878" t="s">
        <v>74</v>
      </c>
      <c r="AY878" t="s">
        <v>74</v>
      </c>
      <c r="AZ878" t="s">
        <v>74</v>
      </c>
      <c r="BA878" t="s">
        <v>74</v>
      </c>
      <c r="BB878">
        <v>85</v>
      </c>
      <c r="BC878">
        <v>93</v>
      </c>
      <c r="BD878" t="s">
        <v>74</v>
      </c>
      <c r="BE878" t="s">
        <v>74</v>
      </c>
      <c r="BF878" t="s">
        <v>74</v>
      </c>
      <c r="BG878" t="s">
        <v>74</v>
      </c>
      <c r="BH878" t="s">
        <v>74</v>
      </c>
      <c r="BI878">
        <v>9</v>
      </c>
      <c r="BJ878" t="s">
        <v>1054</v>
      </c>
      <c r="BK878" t="s">
        <v>101</v>
      </c>
      <c r="BL878" t="s">
        <v>1054</v>
      </c>
      <c r="BM878" t="s">
        <v>17099</v>
      </c>
      <c r="BN878" t="s">
        <v>74</v>
      </c>
      <c r="BO878" t="s">
        <v>74</v>
      </c>
      <c r="BP878" t="s">
        <v>74</v>
      </c>
      <c r="BQ878" t="s">
        <v>74</v>
      </c>
      <c r="BR878" t="s">
        <v>103</v>
      </c>
      <c r="BS878" t="s">
        <v>17100</v>
      </c>
      <c r="BT878" t="str">
        <f>HYPERLINK("https%3A%2F%2Fwww.webofscience.com%2Fwos%2Fwoscc%2Ffull-record%2FWOS:000788635700010","View Full Record in Web of Science")</f>
        <v>View Full Record in Web of Science</v>
      </c>
    </row>
    <row r="879" spans="1:72" x14ac:dyDescent="0.15">
      <c r="A879" t="s">
        <v>72</v>
      </c>
      <c r="B879" t="s">
        <v>17101</v>
      </c>
      <c r="C879" t="s">
        <v>74</v>
      </c>
      <c r="D879" t="s">
        <v>74</v>
      </c>
      <c r="E879" t="s">
        <v>74</v>
      </c>
      <c r="F879" t="s">
        <v>17102</v>
      </c>
      <c r="G879" t="s">
        <v>74</v>
      </c>
      <c r="H879" t="s">
        <v>74</v>
      </c>
      <c r="I879" t="s">
        <v>17103</v>
      </c>
      <c r="J879" t="s">
        <v>3612</v>
      </c>
      <c r="K879" t="s">
        <v>74</v>
      </c>
      <c r="L879" t="s">
        <v>74</v>
      </c>
      <c r="M879" t="s">
        <v>78</v>
      </c>
      <c r="N879" t="s">
        <v>79</v>
      </c>
      <c r="O879" t="s">
        <v>74</v>
      </c>
      <c r="P879" t="s">
        <v>74</v>
      </c>
      <c r="Q879" t="s">
        <v>74</v>
      </c>
      <c r="R879" t="s">
        <v>74</v>
      </c>
      <c r="S879" t="s">
        <v>74</v>
      </c>
      <c r="T879" t="s">
        <v>17104</v>
      </c>
      <c r="U879" t="s">
        <v>17105</v>
      </c>
      <c r="V879" t="s">
        <v>17106</v>
      </c>
      <c r="W879" t="s">
        <v>17107</v>
      </c>
      <c r="X879" t="s">
        <v>17108</v>
      </c>
      <c r="Y879" t="s">
        <v>17109</v>
      </c>
      <c r="Z879" t="s">
        <v>17110</v>
      </c>
      <c r="AA879" t="s">
        <v>17111</v>
      </c>
      <c r="AB879" t="s">
        <v>17112</v>
      </c>
      <c r="AC879" t="s">
        <v>17113</v>
      </c>
      <c r="AD879" t="s">
        <v>17114</v>
      </c>
      <c r="AE879" t="s">
        <v>17115</v>
      </c>
      <c r="AF879" t="s">
        <v>74</v>
      </c>
      <c r="AG879">
        <v>62</v>
      </c>
      <c r="AH879">
        <v>1</v>
      </c>
      <c r="AI879">
        <v>1</v>
      </c>
      <c r="AJ879">
        <v>1</v>
      </c>
      <c r="AK879">
        <v>5</v>
      </c>
      <c r="AL879" t="s">
        <v>257</v>
      </c>
      <c r="AM879" t="s">
        <v>258</v>
      </c>
      <c r="AN879" t="s">
        <v>259</v>
      </c>
      <c r="AO879" t="s">
        <v>3625</v>
      </c>
      <c r="AP879" t="s">
        <v>3626</v>
      </c>
      <c r="AQ879" t="s">
        <v>74</v>
      </c>
      <c r="AR879" t="s">
        <v>3627</v>
      </c>
      <c r="AS879" t="s">
        <v>3628</v>
      </c>
      <c r="AT879" t="s">
        <v>6497</v>
      </c>
      <c r="AU879">
        <v>2022</v>
      </c>
      <c r="AV879">
        <v>548</v>
      </c>
      <c r="AW879" t="s">
        <v>74</v>
      </c>
      <c r="AX879" t="s">
        <v>74</v>
      </c>
      <c r="AY879" t="s">
        <v>74</v>
      </c>
      <c r="AZ879" t="s">
        <v>74</v>
      </c>
      <c r="BA879" t="s">
        <v>74</v>
      </c>
      <c r="BB879" t="s">
        <v>74</v>
      </c>
      <c r="BC879" t="s">
        <v>74</v>
      </c>
      <c r="BD879">
        <v>151682</v>
      </c>
      <c r="BE879" t="s">
        <v>17116</v>
      </c>
      <c r="BF879" t="str">
        <f>HYPERLINK("http://dx.doi.org/10.1016/j.jembe.2021.151682","http://dx.doi.org/10.1016/j.jembe.2021.151682")</f>
        <v>http://dx.doi.org/10.1016/j.jembe.2021.151682</v>
      </c>
      <c r="BG879" t="s">
        <v>74</v>
      </c>
      <c r="BH879" t="s">
        <v>74</v>
      </c>
      <c r="BI879">
        <v>7</v>
      </c>
      <c r="BJ879" t="s">
        <v>3630</v>
      </c>
      <c r="BK879" t="s">
        <v>101</v>
      </c>
      <c r="BL879" t="s">
        <v>564</v>
      </c>
      <c r="BM879" t="s">
        <v>17117</v>
      </c>
      <c r="BN879" t="s">
        <v>74</v>
      </c>
      <c r="BO879" t="s">
        <v>74</v>
      </c>
      <c r="BP879" t="s">
        <v>74</v>
      </c>
      <c r="BQ879" t="s">
        <v>74</v>
      </c>
      <c r="BR879" t="s">
        <v>103</v>
      </c>
      <c r="BS879" t="s">
        <v>17118</v>
      </c>
      <c r="BT879" t="str">
        <f>HYPERLINK("https%3A%2F%2Fwww.webofscience.com%2Fwos%2Fwoscc%2Ffull-record%2FWOS:000788160100001","View Full Record in Web of Science")</f>
        <v>View Full Record in Web of Science</v>
      </c>
    </row>
    <row r="880" spans="1:72" x14ac:dyDescent="0.15">
      <c r="A880" t="s">
        <v>72</v>
      </c>
      <c r="B880" t="s">
        <v>17119</v>
      </c>
      <c r="C880" t="s">
        <v>74</v>
      </c>
      <c r="D880" t="s">
        <v>74</v>
      </c>
      <c r="E880" t="s">
        <v>74</v>
      </c>
      <c r="F880" t="s">
        <v>17120</v>
      </c>
      <c r="G880" t="s">
        <v>74</v>
      </c>
      <c r="H880" t="s">
        <v>74</v>
      </c>
      <c r="I880" t="s">
        <v>17121</v>
      </c>
      <c r="J880" t="s">
        <v>2671</v>
      </c>
      <c r="K880" t="s">
        <v>74</v>
      </c>
      <c r="L880" t="s">
        <v>74</v>
      </c>
      <c r="M880" t="s">
        <v>78</v>
      </c>
      <c r="N880" t="s">
        <v>79</v>
      </c>
      <c r="O880" t="s">
        <v>74</v>
      </c>
      <c r="P880" t="s">
        <v>74</v>
      </c>
      <c r="Q880" t="s">
        <v>74</v>
      </c>
      <c r="R880" t="s">
        <v>74</v>
      </c>
      <c r="S880" t="s">
        <v>74</v>
      </c>
      <c r="T880" t="s">
        <v>17122</v>
      </c>
      <c r="U880" t="s">
        <v>17123</v>
      </c>
      <c r="V880" t="s">
        <v>17124</v>
      </c>
      <c r="W880" t="s">
        <v>17125</v>
      </c>
      <c r="X880" t="s">
        <v>17126</v>
      </c>
      <c r="Y880" t="s">
        <v>17127</v>
      </c>
      <c r="Z880" t="s">
        <v>17128</v>
      </c>
      <c r="AA880" t="s">
        <v>17129</v>
      </c>
      <c r="AB880" t="s">
        <v>17130</v>
      </c>
      <c r="AC880" t="s">
        <v>17131</v>
      </c>
      <c r="AD880" t="s">
        <v>17132</v>
      </c>
      <c r="AE880" t="s">
        <v>17133</v>
      </c>
      <c r="AF880" t="s">
        <v>74</v>
      </c>
      <c r="AG880">
        <v>74</v>
      </c>
      <c r="AH880">
        <v>3</v>
      </c>
      <c r="AI880">
        <v>3</v>
      </c>
      <c r="AJ880">
        <v>0</v>
      </c>
      <c r="AK880">
        <v>15</v>
      </c>
      <c r="AL880" t="s">
        <v>2042</v>
      </c>
      <c r="AM880" t="s">
        <v>2043</v>
      </c>
      <c r="AN880" t="s">
        <v>2044</v>
      </c>
      <c r="AO880" t="s">
        <v>2684</v>
      </c>
      <c r="AP880" t="s">
        <v>2685</v>
      </c>
      <c r="AQ880" t="s">
        <v>74</v>
      </c>
      <c r="AR880" t="s">
        <v>2686</v>
      </c>
      <c r="AS880" t="s">
        <v>2687</v>
      </c>
      <c r="AT880" t="s">
        <v>6497</v>
      </c>
      <c r="AU880">
        <v>2022</v>
      </c>
      <c r="AV880">
        <v>127</v>
      </c>
      <c r="AW880">
        <v>3</v>
      </c>
      <c r="AX880" t="s">
        <v>74</v>
      </c>
      <c r="AY880" t="s">
        <v>74</v>
      </c>
      <c r="AZ880" t="s">
        <v>74</v>
      </c>
      <c r="BA880" t="s">
        <v>74</v>
      </c>
      <c r="BB880" t="s">
        <v>74</v>
      </c>
      <c r="BC880" t="s">
        <v>74</v>
      </c>
      <c r="BD880" t="s">
        <v>17134</v>
      </c>
      <c r="BE880" t="s">
        <v>17135</v>
      </c>
      <c r="BF880" t="str">
        <f>HYPERLINK("http://dx.doi.org/10.1029/2021JE007108","http://dx.doi.org/10.1029/2021JE007108")</f>
        <v>http://dx.doi.org/10.1029/2021JE007108</v>
      </c>
      <c r="BG880" t="s">
        <v>74</v>
      </c>
      <c r="BH880" t="s">
        <v>74</v>
      </c>
      <c r="BI880">
        <v>14</v>
      </c>
      <c r="BJ880" t="s">
        <v>2144</v>
      </c>
      <c r="BK880" t="s">
        <v>101</v>
      </c>
      <c r="BL880" t="s">
        <v>2144</v>
      </c>
      <c r="BM880" t="s">
        <v>17136</v>
      </c>
      <c r="BN880" t="s">
        <v>74</v>
      </c>
      <c r="BO880" t="s">
        <v>1483</v>
      </c>
      <c r="BP880" t="s">
        <v>74</v>
      </c>
      <c r="BQ880" t="s">
        <v>74</v>
      </c>
      <c r="BR880" t="s">
        <v>103</v>
      </c>
      <c r="BS880" t="s">
        <v>17137</v>
      </c>
      <c r="BT880" t="str">
        <f>HYPERLINK("https%3A%2F%2Fwww.webofscience.com%2Fwos%2Fwoscc%2Ffull-record%2FWOS:000781641100009","View Full Record in Web of Science")</f>
        <v>View Full Record in Web of Science</v>
      </c>
    </row>
    <row r="881" spans="1:72" x14ac:dyDescent="0.15">
      <c r="A881" t="s">
        <v>72</v>
      </c>
      <c r="B881" t="s">
        <v>17138</v>
      </c>
      <c r="C881" t="s">
        <v>74</v>
      </c>
      <c r="D881" t="s">
        <v>74</v>
      </c>
      <c r="E881" t="s">
        <v>74</v>
      </c>
      <c r="F881" t="s">
        <v>17139</v>
      </c>
      <c r="G881" t="s">
        <v>74</v>
      </c>
      <c r="H881" t="s">
        <v>74</v>
      </c>
      <c r="I881" t="s">
        <v>17140</v>
      </c>
      <c r="J881" t="s">
        <v>15899</v>
      </c>
      <c r="K881" t="s">
        <v>74</v>
      </c>
      <c r="L881" t="s">
        <v>74</v>
      </c>
      <c r="M881" t="s">
        <v>78</v>
      </c>
      <c r="N881" t="s">
        <v>79</v>
      </c>
      <c r="O881" t="s">
        <v>74</v>
      </c>
      <c r="P881" t="s">
        <v>74</v>
      </c>
      <c r="Q881" t="s">
        <v>74</v>
      </c>
      <c r="R881" t="s">
        <v>74</v>
      </c>
      <c r="S881" t="s">
        <v>74</v>
      </c>
      <c r="T881" t="s">
        <v>17141</v>
      </c>
      <c r="U881" t="s">
        <v>17142</v>
      </c>
      <c r="V881" t="s">
        <v>17143</v>
      </c>
      <c r="W881" t="s">
        <v>17144</v>
      </c>
      <c r="X881" t="s">
        <v>17145</v>
      </c>
      <c r="Y881" t="s">
        <v>17146</v>
      </c>
      <c r="Z881" t="s">
        <v>17147</v>
      </c>
      <c r="AA881" t="s">
        <v>74</v>
      </c>
      <c r="AB881" t="s">
        <v>17148</v>
      </c>
      <c r="AC881" t="s">
        <v>17149</v>
      </c>
      <c r="AD881" t="s">
        <v>17150</v>
      </c>
      <c r="AE881" t="s">
        <v>17151</v>
      </c>
      <c r="AF881" t="s">
        <v>74</v>
      </c>
      <c r="AG881">
        <v>65</v>
      </c>
      <c r="AH881">
        <v>3</v>
      </c>
      <c r="AI881">
        <v>5</v>
      </c>
      <c r="AJ881">
        <v>2</v>
      </c>
      <c r="AK881">
        <v>20</v>
      </c>
      <c r="AL881" t="s">
        <v>1000</v>
      </c>
      <c r="AM881" t="s">
        <v>531</v>
      </c>
      <c r="AN881" t="s">
        <v>1001</v>
      </c>
      <c r="AO881" t="s">
        <v>15912</v>
      </c>
      <c r="AP881" t="s">
        <v>15913</v>
      </c>
      <c r="AQ881" t="s">
        <v>74</v>
      </c>
      <c r="AR881" t="s">
        <v>15914</v>
      </c>
      <c r="AS881" t="s">
        <v>15915</v>
      </c>
      <c r="AT881" t="s">
        <v>6497</v>
      </c>
      <c r="AU881">
        <v>2022</v>
      </c>
      <c r="AV881">
        <v>266</v>
      </c>
      <c r="AW881" t="s">
        <v>74</v>
      </c>
      <c r="AX881" t="s">
        <v>74</v>
      </c>
      <c r="AY881" t="s">
        <v>74</v>
      </c>
      <c r="AZ881" t="s">
        <v>74</v>
      </c>
      <c r="BA881" t="s">
        <v>74</v>
      </c>
      <c r="BB881" t="s">
        <v>74</v>
      </c>
      <c r="BC881" t="s">
        <v>74</v>
      </c>
      <c r="BD881">
        <v>105967</v>
      </c>
      <c r="BE881" t="s">
        <v>17152</v>
      </c>
      <c r="BF881" t="str">
        <f>HYPERLINK("http://dx.doi.org/10.1016/j.atmosres.2021.105967","http://dx.doi.org/10.1016/j.atmosres.2021.105967")</f>
        <v>http://dx.doi.org/10.1016/j.atmosres.2021.105967</v>
      </c>
      <c r="BG881" t="s">
        <v>74</v>
      </c>
      <c r="BH881" t="s">
        <v>74</v>
      </c>
      <c r="BI881">
        <v>11</v>
      </c>
      <c r="BJ881" t="s">
        <v>510</v>
      </c>
      <c r="BK881" t="s">
        <v>101</v>
      </c>
      <c r="BL881" t="s">
        <v>510</v>
      </c>
      <c r="BM881" t="s">
        <v>17153</v>
      </c>
      <c r="BN881" t="s">
        <v>74</v>
      </c>
      <c r="BO881" t="s">
        <v>74</v>
      </c>
      <c r="BP881" t="s">
        <v>74</v>
      </c>
      <c r="BQ881" t="s">
        <v>74</v>
      </c>
      <c r="BR881" t="s">
        <v>103</v>
      </c>
      <c r="BS881" t="s">
        <v>17154</v>
      </c>
      <c r="BT881" t="str">
        <f>HYPERLINK("https%3A%2F%2Fwww.webofscience.com%2Fwos%2Fwoscc%2Ffull-record%2FWOS:000777771100005","View Full Record in Web of Science")</f>
        <v>View Full Record in Web of Science</v>
      </c>
    </row>
    <row r="882" spans="1:72" x14ac:dyDescent="0.15">
      <c r="A882" t="s">
        <v>72</v>
      </c>
      <c r="B882" t="s">
        <v>17155</v>
      </c>
      <c r="C882" t="s">
        <v>74</v>
      </c>
      <c r="D882" t="s">
        <v>74</v>
      </c>
      <c r="E882" t="s">
        <v>74</v>
      </c>
      <c r="F882" t="s">
        <v>17156</v>
      </c>
      <c r="G882" t="s">
        <v>74</v>
      </c>
      <c r="H882" t="s">
        <v>74</v>
      </c>
      <c r="I882" t="s">
        <v>17157</v>
      </c>
      <c r="J882" t="s">
        <v>12154</v>
      </c>
      <c r="K882" t="s">
        <v>74</v>
      </c>
      <c r="L882" t="s">
        <v>74</v>
      </c>
      <c r="M882" t="s">
        <v>78</v>
      </c>
      <c r="N882" t="s">
        <v>79</v>
      </c>
      <c r="O882" t="s">
        <v>74</v>
      </c>
      <c r="P882" t="s">
        <v>74</v>
      </c>
      <c r="Q882" t="s">
        <v>74</v>
      </c>
      <c r="R882" t="s">
        <v>74</v>
      </c>
      <c r="S882" t="s">
        <v>74</v>
      </c>
      <c r="T882" t="s">
        <v>17158</v>
      </c>
      <c r="U882" t="s">
        <v>17159</v>
      </c>
      <c r="V882" t="s">
        <v>17160</v>
      </c>
      <c r="W882" t="s">
        <v>17161</v>
      </c>
      <c r="X882" t="s">
        <v>17162</v>
      </c>
      <c r="Y882" t="s">
        <v>17163</v>
      </c>
      <c r="Z882" t="s">
        <v>17164</v>
      </c>
      <c r="AA882" t="s">
        <v>17165</v>
      </c>
      <c r="AB882" t="s">
        <v>17166</v>
      </c>
      <c r="AC882" t="s">
        <v>17167</v>
      </c>
      <c r="AD882" t="s">
        <v>17168</v>
      </c>
      <c r="AE882" t="s">
        <v>17169</v>
      </c>
      <c r="AF882" t="s">
        <v>74</v>
      </c>
      <c r="AG882">
        <v>25</v>
      </c>
      <c r="AH882">
        <v>1</v>
      </c>
      <c r="AI882">
        <v>1</v>
      </c>
      <c r="AJ882">
        <v>1</v>
      </c>
      <c r="AK882">
        <v>11</v>
      </c>
      <c r="AL882" t="s">
        <v>1372</v>
      </c>
      <c r="AM882" t="s">
        <v>531</v>
      </c>
      <c r="AN882" t="s">
        <v>1373</v>
      </c>
      <c r="AO882" t="s">
        <v>12167</v>
      </c>
      <c r="AP882" t="s">
        <v>12168</v>
      </c>
      <c r="AQ882" t="s">
        <v>74</v>
      </c>
      <c r="AR882" t="s">
        <v>12169</v>
      </c>
      <c r="AS882" t="s">
        <v>12170</v>
      </c>
      <c r="AT882" t="s">
        <v>6497</v>
      </c>
      <c r="AU882">
        <v>2022</v>
      </c>
      <c r="AV882">
        <v>55</v>
      </c>
      <c r="AW882">
        <v>3</v>
      </c>
      <c r="AX882" t="s">
        <v>74</v>
      </c>
      <c r="AY882" t="s">
        <v>74</v>
      </c>
      <c r="AZ882" t="s">
        <v>74</v>
      </c>
      <c r="BA882" t="s">
        <v>74</v>
      </c>
      <c r="BB882">
        <v>357</v>
      </c>
      <c r="BC882">
        <v>362</v>
      </c>
      <c r="BD882" t="s">
        <v>74</v>
      </c>
      <c r="BE882" t="s">
        <v>17170</v>
      </c>
      <c r="BF882" t="str">
        <f>HYPERLINK("http://dx.doi.org/10.1134/S1064229322030048","http://dx.doi.org/10.1134/S1064229322030048")</f>
        <v>http://dx.doi.org/10.1134/S1064229322030048</v>
      </c>
      <c r="BG882" t="s">
        <v>74</v>
      </c>
      <c r="BH882" t="s">
        <v>74</v>
      </c>
      <c r="BI882">
        <v>6</v>
      </c>
      <c r="BJ882" t="s">
        <v>12172</v>
      </c>
      <c r="BK882" t="s">
        <v>101</v>
      </c>
      <c r="BL882" t="s">
        <v>12173</v>
      </c>
      <c r="BM882" t="s">
        <v>17171</v>
      </c>
      <c r="BN882" t="s">
        <v>74</v>
      </c>
      <c r="BO882" t="s">
        <v>74</v>
      </c>
      <c r="BP882" t="s">
        <v>74</v>
      </c>
      <c r="BQ882" t="s">
        <v>74</v>
      </c>
      <c r="BR882" t="s">
        <v>103</v>
      </c>
      <c r="BS882" t="s">
        <v>17172</v>
      </c>
      <c r="BT882" t="str">
        <f>HYPERLINK("https%3A%2F%2Fwww.webofscience.com%2Fwos%2Fwoscc%2Ffull-record%2FWOS:000780993600007","View Full Record in Web of Science")</f>
        <v>View Full Record in Web of Science</v>
      </c>
    </row>
    <row r="883" spans="1:72" x14ac:dyDescent="0.15">
      <c r="A883" t="s">
        <v>72</v>
      </c>
      <c r="B883" t="s">
        <v>17173</v>
      </c>
      <c r="C883" t="s">
        <v>74</v>
      </c>
      <c r="D883" t="s">
        <v>74</v>
      </c>
      <c r="E883" t="s">
        <v>74</v>
      </c>
      <c r="F883" t="s">
        <v>17174</v>
      </c>
      <c r="G883" t="s">
        <v>74</v>
      </c>
      <c r="H883" t="s">
        <v>74</v>
      </c>
      <c r="I883" t="s">
        <v>17175</v>
      </c>
      <c r="J883" t="s">
        <v>546</v>
      </c>
      <c r="K883" t="s">
        <v>74</v>
      </c>
      <c r="L883" t="s">
        <v>74</v>
      </c>
      <c r="M883" t="s">
        <v>78</v>
      </c>
      <c r="N883" t="s">
        <v>79</v>
      </c>
      <c r="O883" t="s">
        <v>74</v>
      </c>
      <c r="P883" t="s">
        <v>74</v>
      </c>
      <c r="Q883" t="s">
        <v>74</v>
      </c>
      <c r="R883" t="s">
        <v>74</v>
      </c>
      <c r="S883" t="s">
        <v>74</v>
      </c>
      <c r="T883" t="s">
        <v>17176</v>
      </c>
      <c r="U883" t="s">
        <v>17177</v>
      </c>
      <c r="V883" t="s">
        <v>17178</v>
      </c>
      <c r="W883" t="s">
        <v>17179</v>
      </c>
      <c r="X883" t="s">
        <v>17180</v>
      </c>
      <c r="Y883" t="s">
        <v>17181</v>
      </c>
      <c r="Z883" t="s">
        <v>17182</v>
      </c>
      <c r="AA883" t="s">
        <v>17183</v>
      </c>
      <c r="AB883" t="s">
        <v>17184</v>
      </c>
      <c r="AC883" t="s">
        <v>17185</v>
      </c>
      <c r="AD883" t="s">
        <v>17186</v>
      </c>
      <c r="AE883" t="s">
        <v>17187</v>
      </c>
      <c r="AF883" t="s">
        <v>74</v>
      </c>
      <c r="AG883">
        <v>90</v>
      </c>
      <c r="AH883">
        <v>2</v>
      </c>
      <c r="AI883">
        <v>2</v>
      </c>
      <c r="AJ883">
        <v>2</v>
      </c>
      <c r="AK883">
        <v>7</v>
      </c>
      <c r="AL883" t="s">
        <v>285</v>
      </c>
      <c r="AM883" t="s">
        <v>286</v>
      </c>
      <c r="AN883" t="s">
        <v>287</v>
      </c>
      <c r="AO883" t="s">
        <v>74</v>
      </c>
      <c r="AP883" t="s">
        <v>558</v>
      </c>
      <c r="AQ883" t="s">
        <v>74</v>
      </c>
      <c r="AR883" t="s">
        <v>559</v>
      </c>
      <c r="AS883" t="s">
        <v>560</v>
      </c>
      <c r="AT883" t="s">
        <v>17188</v>
      </c>
      <c r="AU883">
        <v>2022</v>
      </c>
      <c r="AV883">
        <v>9</v>
      </c>
      <c r="AW883" t="s">
        <v>74</v>
      </c>
      <c r="AX883" t="s">
        <v>74</v>
      </c>
      <c r="AY883" t="s">
        <v>74</v>
      </c>
      <c r="AZ883" t="s">
        <v>74</v>
      </c>
      <c r="BA883" t="s">
        <v>74</v>
      </c>
      <c r="BB883" t="s">
        <v>74</v>
      </c>
      <c r="BC883" t="s">
        <v>74</v>
      </c>
      <c r="BD883">
        <v>811398</v>
      </c>
      <c r="BE883" t="s">
        <v>17189</v>
      </c>
      <c r="BF883" t="str">
        <f>HYPERLINK("http://dx.doi.org/10.3389/fmars.2022.811398","http://dx.doi.org/10.3389/fmars.2022.811398")</f>
        <v>http://dx.doi.org/10.3389/fmars.2022.811398</v>
      </c>
      <c r="BG883" t="s">
        <v>74</v>
      </c>
      <c r="BH883" t="s">
        <v>74</v>
      </c>
      <c r="BI883">
        <v>19</v>
      </c>
      <c r="BJ883" t="s">
        <v>563</v>
      </c>
      <c r="BK883" t="s">
        <v>101</v>
      </c>
      <c r="BL883" t="s">
        <v>564</v>
      </c>
      <c r="BM883" t="s">
        <v>17190</v>
      </c>
      <c r="BN883" t="s">
        <v>74</v>
      </c>
      <c r="BO883" t="s">
        <v>295</v>
      </c>
      <c r="BP883" t="s">
        <v>74</v>
      </c>
      <c r="BQ883" t="s">
        <v>74</v>
      </c>
      <c r="BR883" t="s">
        <v>103</v>
      </c>
      <c r="BS883" t="s">
        <v>17191</v>
      </c>
      <c r="BT883" t="str">
        <f>HYPERLINK("https%3A%2F%2Fwww.webofscience.com%2Fwos%2Fwoscc%2Ffull-record%2FWOS:000778288700001","View Full Record in Web of Science")</f>
        <v>View Full Record in Web of Science</v>
      </c>
    </row>
    <row r="884" spans="1:72" x14ac:dyDescent="0.15">
      <c r="A884" t="s">
        <v>72</v>
      </c>
      <c r="B884" t="s">
        <v>17192</v>
      </c>
      <c r="C884" t="s">
        <v>74</v>
      </c>
      <c r="D884" t="s">
        <v>74</v>
      </c>
      <c r="E884" t="s">
        <v>74</v>
      </c>
      <c r="F884" t="s">
        <v>17193</v>
      </c>
      <c r="G884" t="s">
        <v>74</v>
      </c>
      <c r="H884" t="s">
        <v>74</v>
      </c>
      <c r="I884" t="s">
        <v>17194</v>
      </c>
      <c r="J884" t="s">
        <v>6626</v>
      </c>
      <c r="K884" t="s">
        <v>74</v>
      </c>
      <c r="L884" t="s">
        <v>74</v>
      </c>
      <c r="M884" t="s">
        <v>78</v>
      </c>
      <c r="N884" t="s">
        <v>79</v>
      </c>
      <c r="O884" t="s">
        <v>74</v>
      </c>
      <c r="P884" t="s">
        <v>74</v>
      </c>
      <c r="Q884" t="s">
        <v>74</v>
      </c>
      <c r="R884" t="s">
        <v>74</v>
      </c>
      <c r="S884" t="s">
        <v>74</v>
      </c>
      <c r="T884" t="s">
        <v>17195</v>
      </c>
      <c r="U884" t="s">
        <v>17196</v>
      </c>
      <c r="V884" t="s">
        <v>17197</v>
      </c>
      <c r="W884" t="s">
        <v>17198</v>
      </c>
      <c r="X884" t="s">
        <v>17199</v>
      </c>
      <c r="Y884" t="s">
        <v>17200</v>
      </c>
      <c r="Z884" t="s">
        <v>17201</v>
      </c>
      <c r="AA884" t="s">
        <v>17202</v>
      </c>
      <c r="AB884" t="s">
        <v>17203</v>
      </c>
      <c r="AC884" t="s">
        <v>17204</v>
      </c>
      <c r="AD884" t="s">
        <v>17205</v>
      </c>
      <c r="AE884" t="s">
        <v>17206</v>
      </c>
      <c r="AF884" t="s">
        <v>74</v>
      </c>
      <c r="AG884">
        <v>79</v>
      </c>
      <c r="AH884">
        <v>3</v>
      </c>
      <c r="AI884">
        <v>3</v>
      </c>
      <c r="AJ884">
        <v>1</v>
      </c>
      <c r="AK884">
        <v>4</v>
      </c>
      <c r="AL884" t="s">
        <v>91</v>
      </c>
      <c r="AM884" t="s">
        <v>92</v>
      </c>
      <c r="AN884" t="s">
        <v>93</v>
      </c>
      <c r="AO884" t="s">
        <v>6639</v>
      </c>
      <c r="AP884" t="s">
        <v>6640</v>
      </c>
      <c r="AQ884" t="s">
        <v>74</v>
      </c>
      <c r="AR884" t="s">
        <v>6626</v>
      </c>
      <c r="AS884" t="s">
        <v>863</v>
      </c>
      <c r="AT884" t="s">
        <v>6497</v>
      </c>
      <c r="AU884">
        <v>2022</v>
      </c>
      <c r="AV884">
        <v>65</v>
      </c>
      <c r="AW884">
        <v>2</v>
      </c>
      <c r="AX884" t="s">
        <v>74</v>
      </c>
      <c r="AY884" t="s">
        <v>74</v>
      </c>
      <c r="AZ884" t="s">
        <v>74</v>
      </c>
      <c r="BA884" t="s">
        <v>74</v>
      </c>
      <c r="BB884" t="s">
        <v>74</v>
      </c>
      <c r="BC884" t="s">
        <v>74</v>
      </c>
      <c r="BD884" t="s">
        <v>17207</v>
      </c>
      <c r="BE884" t="s">
        <v>17208</v>
      </c>
      <c r="BF884" t="str">
        <f>HYPERLINK("http://dx.doi.org/10.1111/pala.12593","http://dx.doi.org/10.1111/pala.12593")</f>
        <v>http://dx.doi.org/10.1111/pala.12593</v>
      </c>
      <c r="BG884" t="s">
        <v>74</v>
      </c>
      <c r="BH884" t="s">
        <v>74</v>
      </c>
      <c r="BI884">
        <v>21</v>
      </c>
      <c r="BJ884" t="s">
        <v>863</v>
      </c>
      <c r="BK884" t="s">
        <v>101</v>
      </c>
      <c r="BL884" t="s">
        <v>863</v>
      </c>
      <c r="BM884" t="s">
        <v>17209</v>
      </c>
      <c r="BN884" t="s">
        <v>74</v>
      </c>
      <c r="BO884" t="s">
        <v>74</v>
      </c>
      <c r="BP884" t="s">
        <v>74</v>
      </c>
      <c r="BQ884" t="s">
        <v>74</v>
      </c>
      <c r="BR884" t="s">
        <v>103</v>
      </c>
      <c r="BS884" t="s">
        <v>17210</v>
      </c>
      <c r="BT884" t="str">
        <f>HYPERLINK("https%3A%2F%2Fwww.webofscience.com%2Fwos%2Fwoscc%2Ffull-record%2FWOS:000780713800001","View Full Record in Web of Science")</f>
        <v>View Full Record in Web of Science</v>
      </c>
    </row>
    <row r="885" spans="1:72" x14ac:dyDescent="0.15">
      <c r="A885" t="s">
        <v>72</v>
      </c>
      <c r="B885" t="s">
        <v>17211</v>
      </c>
      <c r="C885" t="s">
        <v>74</v>
      </c>
      <c r="D885" t="s">
        <v>74</v>
      </c>
      <c r="E885" t="s">
        <v>74</v>
      </c>
      <c r="F885" t="s">
        <v>17212</v>
      </c>
      <c r="G885" t="s">
        <v>74</v>
      </c>
      <c r="H885" t="s">
        <v>74</v>
      </c>
      <c r="I885" t="s">
        <v>17213</v>
      </c>
      <c r="J885" t="s">
        <v>4497</v>
      </c>
      <c r="K885" t="s">
        <v>74</v>
      </c>
      <c r="L885" t="s">
        <v>74</v>
      </c>
      <c r="M885" t="s">
        <v>78</v>
      </c>
      <c r="N885" t="s">
        <v>79</v>
      </c>
      <c r="O885" t="s">
        <v>74</v>
      </c>
      <c r="P885" t="s">
        <v>74</v>
      </c>
      <c r="Q885" t="s">
        <v>74</v>
      </c>
      <c r="R885" t="s">
        <v>74</v>
      </c>
      <c r="S885" t="s">
        <v>74</v>
      </c>
      <c r="T885" t="s">
        <v>17214</v>
      </c>
      <c r="U885" t="s">
        <v>17215</v>
      </c>
      <c r="V885" t="s">
        <v>17216</v>
      </c>
      <c r="W885" t="s">
        <v>17217</v>
      </c>
      <c r="X885" t="s">
        <v>17218</v>
      </c>
      <c r="Y885" t="s">
        <v>17219</v>
      </c>
      <c r="Z885" t="s">
        <v>8951</v>
      </c>
      <c r="AA885" t="s">
        <v>17220</v>
      </c>
      <c r="AB885" t="s">
        <v>17221</v>
      </c>
      <c r="AC885" t="s">
        <v>17222</v>
      </c>
      <c r="AD885" t="s">
        <v>17223</v>
      </c>
      <c r="AE885" t="s">
        <v>17224</v>
      </c>
      <c r="AF885" t="s">
        <v>74</v>
      </c>
      <c r="AG885">
        <v>56</v>
      </c>
      <c r="AH885">
        <v>4</v>
      </c>
      <c r="AI885">
        <v>5</v>
      </c>
      <c r="AJ885">
        <v>5</v>
      </c>
      <c r="AK885">
        <v>48</v>
      </c>
      <c r="AL885" t="s">
        <v>4510</v>
      </c>
      <c r="AM885" t="s">
        <v>2043</v>
      </c>
      <c r="AN885" t="s">
        <v>4511</v>
      </c>
      <c r="AO885" t="s">
        <v>4512</v>
      </c>
      <c r="AP885" t="s">
        <v>4513</v>
      </c>
      <c r="AQ885" t="s">
        <v>74</v>
      </c>
      <c r="AR885" t="s">
        <v>4514</v>
      </c>
      <c r="AS885" t="s">
        <v>4515</v>
      </c>
      <c r="AT885" t="s">
        <v>17188</v>
      </c>
      <c r="AU885">
        <v>2022</v>
      </c>
      <c r="AV885">
        <v>56</v>
      </c>
      <c r="AW885">
        <v>5</v>
      </c>
      <c r="AX885" t="s">
        <v>74</v>
      </c>
      <c r="AY885" t="s">
        <v>74</v>
      </c>
      <c r="AZ885" t="s">
        <v>74</v>
      </c>
      <c r="BA885" t="s">
        <v>74</v>
      </c>
      <c r="BB885">
        <v>2968</v>
      </c>
      <c r="BC885">
        <v>2976</v>
      </c>
      <c r="BD885" t="s">
        <v>74</v>
      </c>
      <c r="BE885" t="s">
        <v>17225</v>
      </c>
      <c r="BF885" t="str">
        <f>HYPERLINK("http://dx.doi.org/10.1021/acs.est.1c07229","http://dx.doi.org/10.1021/acs.est.1c07229")</f>
        <v>http://dx.doi.org/10.1021/acs.est.1c07229</v>
      </c>
      <c r="BG885" t="s">
        <v>74</v>
      </c>
      <c r="BH885" t="s">
        <v>74</v>
      </c>
      <c r="BI885">
        <v>9</v>
      </c>
      <c r="BJ885" t="s">
        <v>4518</v>
      </c>
      <c r="BK885" t="s">
        <v>101</v>
      </c>
      <c r="BL885" t="s">
        <v>4519</v>
      </c>
      <c r="BM885" t="s">
        <v>17226</v>
      </c>
      <c r="BN885">
        <v>35143172</v>
      </c>
      <c r="BO885" t="s">
        <v>74</v>
      </c>
      <c r="BP885" t="s">
        <v>74</v>
      </c>
      <c r="BQ885" t="s">
        <v>74</v>
      </c>
      <c r="BR885" t="s">
        <v>103</v>
      </c>
      <c r="BS885" t="s">
        <v>17227</v>
      </c>
      <c r="BT885" t="str">
        <f>HYPERLINK("https%3A%2F%2Fwww.webofscience.com%2Fwos%2Fwoscc%2Ffull-record%2FWOS:000776699100010","View Full Record in Web of Science")</f>
        <v>View Full Record in Web of Science</v>
      </c>
    </row>
    <row r="886" spans="1:72" x14ac:dyDescent="0.15">
      <c r="A886" t="s">
        <v>72</v>
      </c>
      <c r="B886" t="s">
        <v>17228</v>
      </c>
      <c r="C886" t="s">
        <v>74</v>
      </c>
      <c r="D886" t="s">
        <v>74</v>
      </c>
      <c r="E886" t="s">
        <v>74</v>
      </c>
      <c r="F886" t="s">
        <v>17229</v>
      </c>
      <c r="G886" t="s">
        <v>74</v>
      </c>
      <c r="H886" t="s">
        <v>74</v>
      </c>
      <c r="I886" t="s">
        <v>17230</v>
      </c>
      <c r="J886" t="s">
        <v>2235</v>
      </c>
      <c r="K886" t="s">
        <v>74</v>
      </c>
      <c r="L886" t="s">
        <v>74</v>
      </c>
      <c r="M886" t="s">
        <v>78</v>
      </c>
      <c r="N886" t="s">
        <v>79</v>
      </c>
      <c r="O886" t="s">
        <v>74</v>
      </c>
      <c r="P886" t="s">
        <v>74</v>
      </c>
      <c r="Q886" t="s">
        <v>74</v>
      </c>
      <c r="R886" t="s">
        <v>74</v>
      </c>
      <c r="S886" t="s">
        <v>74</v>
      </c>
      <c r="T886" t="s">
        <v>74</v>
      </c>
      <c r="U886" t="s">
        <v>17231</v>
      </c>
      <c r="V886" t="s">
        <v>17232</v>
      </c>
      <c r="W886" t="s">
        <v>17233</v>
      </c>
      <c r="X886" t="s">
        <v>17234</v>
      </c>
      <c r="Y886" t="s">
        <v>17235</v>
      </c>
      <c r="Z886" t="s">
        <v>17236</v>
      </c>
      <c r="AA886" t="s">
        <v>17237</v>
      </c>
      <c r="AB886" t="s">
        <v>17238</v>
      </c>
      <c r="AC886" t="s">
        <v>17239</v>
      </c>
      <c r="AD886" t="s">
        <v>17240</v>
      </c>
      <c r="AE886" t="s">
        <v>17241</v>
      </c>
      <c r="AF886" t="s">
        <v>74</v>
      </c>
      <c r="AG886">
        <v>98</v>
      </c>
      <c r="AH886">
        <v>5</v>
      </c>
      <c r="AI886">
        <v>5</v>
      </c>
      <c r="AJ886">
        <v>0</v>
      </c>
      <c r="AK886">
        <v>5</v>
      </c>
      <c r="AL886" t="s">
        <v>2042</v>
      </c>
      <c r="AM886" t="s">
        <v>2043</v>
      </c>
      <c r="AN886" t="s">
        <v>2044</v>
      </c>
      <c r="AO886" t="s">
        <v>2248</v>
      </c>
      <c r="AP886" t="s">
        <v>2249</v>
      </c>
      <c r="AQ886" t="s">
        <v>74</v>
      </c>
      <c r="AR886" t="s">
        <v>2250</v>
      </c>
      <c r="AS886" t="s">
        <v>2251</v>
      </c>
      <c r="AT886" t="s">
        <v>6497</v>
      </c>
      <c r="AU886">
        <v>2022</v>
      </c>
      <c r="AV886">
        <v>127</v>
      </c>
      <c r="AW886">
        <v>3</v>
      </c>
      <c r="AX886" t="s">
        <v>74</v>
      </c>
      <c r="AY886" t="s">
        <v>74</v>
      </c>
      <c r="AZ886" t="s">
        <v>74</v>
      </c>
      <c r="BA886" t="s">
        <v>74</v>
      </c>
      <c r="BB886" t="s">
        <v>74</v>
      </c>
      <c r="BC886" t="s">
        <v>74</v>
      </c>
      <c r="BD886" t="s">
        <v>17242</v>
      </c>
      <c r="BE886" t="s">
        <v>17243</v>
      </c>
      <c r="BF886" t="str">
        <f>HYPERLINK("http://dx.doi.org/10.1029/2021JF006332","http://dx.doi.org/10.1029/2021JF006332")</f>
        <v>http://dx.doi.org/10.1029/2021JF006332</v>
      </c>
      <c r="BG886" t="s">
        <v>74</v>
      </c>
      <c r="BH886" t="s">
        <v>74</v>
      </c>
      <c r="BI886">
        <v>20</v>
      </c>
      <c r="BJ886" t="s">
        <v>265</v>
      </c>
      <c r="BK886" t="s">
        <v>101</v>
      </c>
      <c r="BL886" t="s">
        <v>100</v>
      </c>
      <c r="BM886" t="s">
        <v>17244</v>
      </c>
      <c r="BN886" t="s">
        <v>74</v>
      </c>
      <c r="BO886" t="s">
        <v>1033</v>
      </c>
      <c r="BP886" t="s">
        <v>74</v>
      </c>
      <c r="BQ886" t="s">
        <v>74</v>
      </c>
      <c r="BR886" t="s">
        <v>103</v>
      </c>
      <c r="BS886" t="s">
        <v>17245</v>
      </c>
      <c r="BT886" t="str">
        <f>HYPERLINK("https%3A%2F%2Fwww.webofscience.com%2Fwos%2Fwoscc%2Ffull-record%2FWOS:000776590100005","View Full Record in Web of Science")</f>
        <v>View Full Record in Web of Science</v>
      </c>
    </row>
    <row r="887" spans="1:72" x14ac:dyDescent="0.15">
      <c r="A887" t="s">
        <v>72</v>
      </c>
      <c r="B887" t="s">
        <v>17246</v>
      </c>
      <c r="C887" t="s">
        <v>74</v>
      </c>
      <c r="D887" t="s">
        <v>74</v>
      </c>
      <c r="E887" t="s">
        <v>74</v>
      </c>
      <c r="F887" t="s">
        <v>17247</v>
      </c>
      <c r="G887" t="s">
        <v>74</v>
      </c>
      <c r="H887" t="s">
        <v>74</v>
      </c>
      <c r="I887" t="s">
        <v>17248</v>
      </c>
      <c r="J887" t="s">
        <v>2235</v>
      </c>
      <c r="K887" t="s">
        <v>74</v>
      </c>
      <c r="L887" t="s">
        <v>74</v>
      </c>
      <c r="M887" t="s">
        <v>78</v>
      </c>
      <c r="N887" t="s">
        <v>79</v>
      </c>
      <c r="O887" t="s">
        <v>74</v>
      </c>
      <c r="P887" t="s">
        <v>74</v>
      </c>
      <c r="Q887" t="s">
        <v>74</v>
      </c>
      <c r="R887" t="s">
        <v>74</v>
      </c>
      <c r="S887" t="s">
        <v>74</v>
      </c>
      <c r="T887" t="s">
        <v>17249</v>
      </c>
      <c r="U887" t="s">
        <v>17250</v>
      </c>
      <c r="V887" t="s">
        <v>17251</v>
      </c>
      <c r="W887" t="s">
        <v>17252</v>
      </c>
      <c r="X887" t="s">
        <v>17253</v>
      </c>
      <c r="Y887" t="s">
        <v>17254</v>
      </c>
      <c r="Z887" t="s">
        <v>17255</v>
      </c>
      <c r="AA887" t="s">
        <v>74</v>
      </c>
      <c r="AB887" t="s">
        <v>17256</v>
      </c>
      <c r="AC887" t="s">
        <v>17257</v>
      </c>
      <c r="AD887" t="s">
        <v>17258</v>
      </c>
      <c r="AE887" t="s">
        <v>17259</v>
      </c>
      <c r="AF887" t="s">
        <v>74</v>
      </c>
      <c r="AG887">
        <v>90</v>
      </c>
      <c r="AH887">
        <v>14</v>
      </c>
      <c r="AI887">
        <v>14</v>
      </c>
      <c r="AJ887">
        <v>3</v>
      </c>
      <c r="AK887">
        <v>18</v>
      </c>
      <c r="AL887" t="s">
        <v>2042</v>
      </c>
      <c r="AM887" t="s">
        <v>2043</v>
      </c>
      <c r="AN887" t="s">
        <v>2044</v>
      </c>
      <c r="AO887" t="s">
        <v>2248</v>
      </c>
      <c r="AP887" t="s">
        <v>2249</v>
      </c>
      <c r="AQ887" t="s">
        <v>74</v>
      </c>
      <c r="AR887" t="s">
        <v>2250</v>
      </c>
      <c r="AS887" t="s">
        <v>2251</v>
      </c>
      <c r="AT887" t="s">
        <v>6497</v>
      </c>
      <c r="AU887">
        <v>2022</v>
      </c>
      <c r="AV887">
        <v>127</v>
      </c>
      <c r="AW887">
        <v>3</v>
      </c>
      <c r="AX887" t="s">
        <v>74</v>
      </c>
      <c r="AY887" t="s">
        <v>74</v>
      </c>
      <c r="AZ887" t="s">
        <v>74</v>
      </c>
      <c r="BA887" t="s">
        <v>74</v>
      </c>
      <c r="BB887" t="s">
        <v>74</v>
      </c>
      <c r="BC887" t="s">
        <v>74</v>
      </c>
      <c r="BD887" t="s">
        <v>17260</v>
      </c>
      <c r="BE887" t="s">
        <v>17261</v>
      </c>
      <c r="BF887" t="str">
        <f>HYPERLINK("http://dx.doi.org/10.1029/2021JF006346","http://dx.doi.org/10.1029/2021JF006346")</f>
        <v>http://dx.doi.org/10.1029/2021JF006346</v>
      </c>
      <c r="BG887" t="s">
        <v>74</v>
      </c>
      <c r="BH887" t="s">
        <v>74</v>
      </c>
      <c r="BI887">
        <v>23</v>
      </c>
      <c r="BJ887" t="s">
        <v>265</v>
      </c>
      <c r="BK887" t="s">
        <v>101</v>
      </c>
      <c r="BL887" t="s">
        <v>100</v>
      </c>
      <c r="BM887" t="s">
        <v>17244</v>
      </c>
      <c r="BN887" t="s">
        <v>74</v>
      </c>
      <c r="BO887" t="s">
        <v>12932</v>
      </c>
      <c r="BP887" t="s">
        <v>74</v>
      </c>
      <c r="BQ887" t="s">
        <v>74</v>
      </c>
      <c r="BR887" t="s">
        <v>103</v>
      </c>
      <c r="BS887" t="s">
        <v>17262</v>
      </c>
      <c r="BT887" t="str">
        <f>HYPERLINK("https%3A%2F%2Fwww.webofscience.com%2Fwos%2Fwoscc%2Ffull-record%2FWOS:000776590100003","View Full Record in Web of Science")</f>
        <v>View Full Record in Web of Science</v>
      </c>
    </row>
    <row r="888" spans="1:72" x14ac:dyDescent="0.15">
      <c r="A888" t="s">
        <v>72</v>
      </c>
      <c r="B888" t="s">
        <v>17263</v>
      </c>
      <c r="C888" t="s">
        <v>74</v>
      </c>
      <c r="D888" t="s">
        <v>74</v>
      </c>
      <c r="E888" t="s">
        <v>74</v>
      </c>
      <c r="F888" t="s">
        <v>17264</v>
      </c>
      <c r="G888" t="s">
        <v>74</v>
      </c>
      <c r="H888" t="s">
        <v>74</v>
      </c>
      <c r="I888" t="s">
        <v>17265</v>
      </c>
      <c r="J888" t="s">
        <v>2381</v>
      </c>
      <c r="K888" t="s">
        <v>74</v>
      </c>
      <c r="L888" t="s">
        <v>74</v>
      </c>
      <c r="M888" t="s">
        <v>78</v>
      </c>
      <c r="N888" t="s">
        <v>79</v>
      </c>
      <c r="O888" t="s">
        <v>74</v>
      </c>
      <c r="P888" t="s">
        <v>74</v>
      </c>
      <c r="Q888" t="s">
        <v>74</v>
      </c>
      <c r="R888" t="s">
        <v>74</v>
      </c>
      <c r="S888" t="s">
        <v>74</v>
      </c>
      <c r="T888" t="s">
        <v>17266</v>
      </c>
      <c r="U888" t="s">
        <v>17267</v>
      </c>
      <c r="V888" t="s">
        <v>17268</v>
      </c>
      <c r="W888" t="s">
        <v>17269</v>
      </c>
      <c r="X888" t="s">
        <v>17270</v>
      </c>
      <c r="Y888" t="s">
        <v>17271</v>
      </c>
      <c r="Z888" t="s">
        <v>17272</v>
      </c>
      <c r="AA888" t="s">
        <v>17273</v>
      </c>
      <c r="AB888" t="s">
        <v>17274</v>
      </c>
      <c r="AC888" t="s">
        <v>17275</v>
      </c>
      <c r="AD888" t="s">
        <v>17276</v>
      </c>
      <c r="AE888" t="s">
        <v>17277</v>
      </c>
      <c r="AF888" t="s">
        <v>74</v>
      </c>
      <c r="AG888">
        <v>65</v>
      </c>
      <c r="AH888">
        <v>10</v>
      </c>
      <c r="AI888">
        <v>10</v>
      </c>
      <c r="AJ888">
        <v>3</v>
      </c>
      <c r="AK888">
        <v>12</v>
      </c>
      <c r="AL888" t="s">
        <v>2042</v>
      </c>
      <c r="AM888" t="s">
        <v>2043</v>
      </c>
      <c r="AN888" t="s">
        <v>2044</v>
      </c>
      <c r="AO888" t="s">
        <v>2394</v>
      </c>
      <c r="AP888" t="s">
        <v>2395</v>
      </c>
      <c r="AQ888" t="s">
        <v>74</v>
      </c>
      <c r="AR888" t="s">
        <v>2396</v>
      </c>
      <c r="AS888" t="s">
        <v>2397</v>
      </c>
      <c r="AT888" t="s">
        <v>6497</v>
      </c>
      <c r="AU888">
        <v>2022</v>
      </c>
      <c r="AV888">
        <v>127</v>
      </c>
      <c r="AW888">
        <v>3</v>
      </c>
      <c r="AX888" t="s">
        <v>74</v>
      </c>
      <c r="AY888" t="s">
        <v>74</v>
      </c>
      <c r="AZ888" t="s">
        <v>74</v>
      </c>
      <c r="BA888" t="s">
        <v>74</v>
      </c>
      <c r="BB888" t="s">
        <v>74</v>
      </c>
      <c r="BC888" t="s">
        <v>74</v>
      </c>
      <c r="BD888" t="s">
        <v>17278</v>
      </c>
      <c r="BE888" t="s">
        <v>17279</v>
      </c>
      <c r="BF888" t="str">
        <f>HYPERLINK("http://dx.doi.org/10.1029/2021JA030177","http://dx.doi.org/10.1029/2021JA030177")</f>
        <v>http://dx.doi.org/10.1029/2021JA030177</v>
      </c>
      <c r="BG888" t="s">
        <v>74</v>
      </c>
      <c r="BH888" t="s">
        <v>74</v>
      </c>
      <c r="BI888">
        <v>17</v>
      </c>
      <c r="BJ888" t="s">
        <v>2275</v>
      </c>
      <c r="BK888" t="s">
        <v>101</v>
      </c>
      <c r="BL888" t="s">
        <v>2275</v>
      </c>
      <c r="BM888" t="s">
        <v>17280</v>
      </c>
      <c r="BN888" t="s">
        <v>74</v>
      </c>
      <c r="BO888" t="s">
        <v>883</v>
      </c>
      <c r="BP888" t="s">
        <v>74</v>
      </c>
      <c r="BQ888" t="s">
        <v>74</v>
      </c>
      <c r="BR888" t="s">
        <v>103</v>
      </c>
      <c r="BS888" t="s">
        <v>17281</v>
      </c>
      <c r="BT888" t="str">
        <f>HYPERLINK("https%3A%2F%2Fwww.webofscience.com%2Fwos%2Fwoscc%2Ffull-record%2FWOS:000776515200027","View Full Record in Web of Science")</f>
        <v>View Full Record in Web of Science</v>
      </c>
    </row>
    <row r="889" spans="1:72" x14ac:dyDescent="0.15">
      <c r="A889" t="s">
        <v>72</v>
      </c>
      <c r="B889" t="s">
        <v>17282</v>
      </c>
      <c r="C889" t="s">
        <v>74</v>
      </c>
      <c r="D889" t="s">
        <v>74</v>
      </c>
      <c r="E889" t="s">
        <v>74</v>
      </c>
      <c r="F889" t="s">
        <v>17283</v>
      </c>
      <c r="G889" t="s">
        <v>74</v>
      </c>
      <c r="H889" t="s">
        <v>74</v>
      </c>
      <c r="I889" t="s">
        <v>17284</v>
      </c>
      <c r="J889" t="s">
        <v>7501</v>
      </c>
      <c r="K889" t="s">
        <v>74</v>
      </c>
      <c r="L889" t="s">
        <v>74</v>
      </c>
      <c r="M889" t="s">
        <v>78</v>
      </c>
      <c r="N889" t="s">
        <v>79</v>
      </c>
      <c r="O889" t="s">
        <v>74</v>
      </c>
      <c r="P889" t="s">
        <v>74</v>
      </c>
      <c r="Q889" t="s">
        <v>74</v>
      </c>
      <c r="R889" t="s">
        <v>74</v>
      </c>
      <c r="S889" t="s">
        <v>74</v>
      </c>
      <c r="T889" t="s">
        <v>17285</v>
      </c>
      <c r="U889" t="s">
        <v>17286</v>
      </c>
      <c r="V889" t="s">
        <v>17287</v>
      </c>
      <c r="W889" t="s">
        <v>17288</v>
      </c>
      <c r="X889" t="s">
        <v>17289</v>
      </c>
      <c r="Y889" t="s">
        <v>17290</v>
      </c>
      <c r="Z889" t="s">
        <v>17291</v>
      </c>
      <c r="AA889" t="s">
        <v>74</v>
      </c>
      <c r="AB889" t="s">
        <v>17292</v>
      </c>
      <c r="AC889" t="s">
        <v>17293</v>
      </c>
      <c r="AD889" t="s">
        <v>17294</v>
      </c>
      <c r="AE889" t="s">
        <v>17295</v>
      </c>
      <c r="AF889" t="s">
        <v>74</v>
      </c>
      <c r="AG889">
        <v>83</v>
      </c>
      <c r="AH889">
        <v>6</v>
      </c>
      <c r="AI889">
        <v>7</v>
      </c>
      <c r="AJ889">
        <v>1</v>
      </c>
      <c r="AK889">
        <v>6</v>
      </c>
      <c r="AL889" t="s">
        <v>7514</v>
      </c>
      <c r="AM889" t="s">
        <v>174</v>
      </c>
      <c r="AN889" t="s">
        <v>7515</v>
      </c>
      <c r="AO889" t="s">
        <v>7516</v>
      </c>
      <c r="AP889" t="s">
        <v>7517</v>
      </c>
      <c r="AQ889" t="s">
        <v>74</v>
      </c>
      <c r="AR889" t="s">
        <v>7518</v>
      </c>
      <c r="AS889" t="s">
        <v>7519</v>
      </c>
      <c r="AT889" t="s">
        <v>6497</v>
      </c>
      <c r="AU889">
        <v>2022</v>
      </c>
      <c r="AV889">
        <v>225</v>
      </c>
      <c r="AW889">
        <v>6</v>
      </c>
      <c r="AX889" t="s">
        <v>74</v>
      </c>
      <c r="AY889" t="s">
        <v>74</v>
      </c>
      <c r="AZ889" t="s">
        <v>74</v>
      </c>
      <c r="BA889" t="s">
        <v>74</v>
      </c>
      <c r="BB889" t="s">
        <v>74</v>
      </c>
      <c r="BC889" t="s">
        <v>74</v>
      </c>
      <c r="BD889" t="s">
        <v>17296</v>
      </c>
      <c r="BE889" t="s">
        <v>17297</v>
      </c>
      <c r="BF889" t="str">
        <f>HYPERLINK("http://dx.doi.org/10.1242/jeb.242773","http://dx.doi.org/10.1242/jeb.242773")</f>
        <v>http://dx.doi.org/10.1242/jeb.242773</v>
      </c>
      <c r="BG889" t="s">
        <v>74</v>
      </c>
      <c r="BH889" t="s">
        <v>74</v>
      </c>
      <c r="BI889">
        <v>13</v>
      </c>
      <c r="BJ889" t="s">
        <v>1819</v>
      </c>
      <c r="BK889" t="s">
        <v>101</v>
      </c>
      <c r="BL889" t="s">
        <v>1820</v>
      </c>
      <c r="BM889" t="s">
        <v>17298</v>
      </c>
      <c r="BN889">
        <v>35217875</v>
      </c>
      <c r="BO889" t="s">
        <v>1483</v>
      </c>
      <c r="BP889" t="s">
        <v>74</v>
      </c>
      <c r="BQ889" t="s">
        <v>74</v>
      </c>
      <c r="BR889" t="s">
        <v>103</v>
      </c>
      <c r="BS889" t="s">
        <v>17299</v>
      </c>
      <c r="BT889" t="str">
        <f>HYPERLINK("https%3A%2F%2Fwww.webofscience.com%2Fwos%2Fwoscc%2Ffull-record%2FWOS:000777476400002","View Full Record in Web of Science")</f>
        <v>View Full Record in Web of Science</v>
      </c>
    </row>
    <row r="890" spans="1:72" x14ac:dyDescent="0.15">
      <c r="A890" t="s">
        <v>72</v>
      </c>
      <c r="B890" t="s">
        <v>17300</v>
      </c>
      <c r="C890" t="s">
        <v>74</v>
      </c>
      <c r="D890" t="s">
        <v>74</v>
      </c>
      <c r="E890" t="s">
        <v>74</v>
      </c>
      <c r="F890" t="s">
        <v>17301</v>
      </c>
      <c r="G890" t="s">
        <v>74</v>
      </c>
      <c r="H890" t="s">
        <v>74</v>
      </c>
      <c r="I890" t="s">
        <v>17302</v>
      </c>
      <c r="J890" t="s">
        <v>2029</v>
      </c>
      <c r="K890" t="s">
        <v>74</v>
      </c>
      <c r="L890" t="s">
        <v>74</v>
      </c>
      <c r="M890" t="s">
        <v>78</v>
      </c>
      <c r="N890" t="s">
        <v>79</v>
      </c>
      <c r="O890" t="s">
        <v>74</v>
      </c>
      <c r="P890" t="s">
        <v>74</v>
      </c>
      <c r="Q890" t="s">
        <v>74</v>
      </c>
      <c r="R890" t="s">
        <v>74</v>
      </c>
      <c r="S890" t="s">
        <v>74</v>
      </c>
      <c r="T890" t="s">
        <v>17303</v>
      </c>
      <c r="U890" t="s">
        <v>17304</v>
      </c>
      <c r="V890" t="s">
        <v>17305</v>
      </c>
      <c r="W890" t="s">
        <v>17306</v>
      </c>
      <c r="X890" t="s">
        <v>17307</v>
      </c>
      <c r="Y890" t="s">
        <v>17308</v>
      </c>
      <c r="Z890" t="s">
        <v>17309</v>
      </c>
      <c r="AA890" t="s">
        <v>17310</v>
      </c>
      <c r="AB890" t="s">
        <v>17311</v>
      </c>
      <c r="AC890" t="s">
        <v>17312</v>
      </c>
      <c r="AD890" t="s">
        <v>17313</v>
      </c>
      <c r="AE890" t="s">
        <v>17314</v>
      </c>
      <c r="AF890" t="s">
        <v>74</v>
      </c>
      <c r="AG890">
        <v>63</v>
      </c>
      <c r="AH890">
        <v>11</v>
      </c>
      <c r="AI890">
        <v>12</v>
      </c>
      <c r="AJ890">
        <v>9</v>
      </c>
      <c r="AK890">
        <v>44</v>
      </c>
      <c r="AL890" t="s">
        <v>2042</v>
      </c>
      <c r="AM890" t="s">
        <v>2043</v>
      </c>
      <c r="AN890" t="s">
        <v>2044</v>
      </c>
      <c r="AO890" t="s">
        <v>2045</v>
      </c>
      <c r="AP890" t="s">
        <v>2046</v>
      </c>
      <c r="AQ890" t="s">
        <v>74</v>
      </c>
      <c r="AR890" t="s">
        <v>2047</v>
      </c>
      <c r="AS890" t="s">
        <v>2048</v>
      </c>
      <c r="AT890" t="s">
        <v>6497</v>
      </c>
      <c r="AU890">
        <v>2022</v>
      </c>
      <c r="AV890">
        <v>36</v>
      </c>
      <c r="AW890">
        <v>3</v>
      </c>
      <c r="AX890" t="s">
        <v>74</v>
      </c>
      <c r="AY890" t="s">
        <v>74</v>
      </c>
      <c r="AZ890" t="s">
        <v>74</v>
      </c>
      <c r="BA890" t="s">
        <v>74</v>
      </c>
      <c r="BB890" t="s">
        <v>74</v>
      </c>
      <c r="BC890" t="s">
        <v>74</v>
      </c>
      <c r="BD890" t="s">
        <v>17315</v>
      </c>
      <c r="BE890" t="s">
        <v>17316</v>
      </c>
      <c r="BF890" t="str">
        <f>HYPERLINK("http://dx.doi.org/10.1029/2021GB007163","http://dx.doi.org/10.1029/2021GB007163")</f>
        <v>http://dx.doi.org/10.1029/2021GB007163</v>
      </c>
      <c r="BG890" t="s">
        <v>74</v>
      </c>
      <c r="BH890" t="s">
        <v>74</v>
      </c>
      <c r="BI890">
        <v>15</v>
      </c>
      <c r="BJ890" t="s">
        <v>407</v>
      </c>
      <c r="BK890" t="s">
        <v>101</v>
      </c>
      <c r="BL890" t="s">
        <v>408</v>
      </c>
      <c r="BM890" t="s">
        <v>17317</v>
      </c>
      <c r="BN890" t="s">
        <v>74</v>
      </c>
      <c r="BO890" t="s">
        <v>17318</v>
      </c>
      <c r="BP890" t="s">
        <v>74</v>
      </c>
      <c r="BQ890" t="s">
        <v>74</v>
      </c>
      <c r="BR890" t="s">
        <v>103</v>
      </c>
      <c r="BS890" t="s">
        <v>17319</v>
      </c>
      <c r="BT890" t="str">
        <f>HYPERLINK("https%3A%2F%2Fwww.webofscience.com%2Fwos%2Fwoscc%2Ffull-record%2FWOS:000776569800001","View Full Record in Web of Science")</f>
        <v>View Full Record in Web of Science</v>
      </c>
    </row>
    <row r="891" spans="1:72" x14ac:dyDescent="0.15">
      <c r="A891" t="s">
        <v>72</v>
      </c>
      <c r="B891" t="s">
        <v>17320</v>
      </c>
      <c r="C891" t="s">
        <v>74</v>
      </c>
      <c r="D891" t="s">
        <v>74</v>
      </c>
      <c r="E891" t="s">
        <v>74</v>
      </c>
      <c r="F891" t="s">
        <v>17321</v>
      </c>
      <c r="G891" t="s">
        <v>74</v>
      </c>
      <c r="H891" t="s">
        <v>74</v>
      </c>
      <c r="I891" t="s">
        <v>17322</v>
      </c>
      <c r="J891" t="s">
        <v>2359</v>
      </c>
      <c r="K891" t="s">
        <v>74</v>
      </c>
      <c r="L891" t="s">
        <v>74</v>
      </c>
      <c r="M891" t="s">
        <v>78</v>
      </c>
      <c r="N891" t="s">
        <v>79</v>
      </c>
      <c r="O891" t="s">
        <v>74</v>
      </c>
      <c r="P891" t="s">
        <v>74</v>
      </c>
      <c r="Q891" t="s">
        <v>74</v>
      </c>
      <c r="R891" t="s">
        <v>74</v>
      </c>
      <c r="S891" t="s">
        <v>74</v>
      </c>
      <c r="T891" t="s">
        <v>17323</v>
      </c>
      <c r="U891" t="s">
        <v>17324</v>
      </c>
      <c r="V891" t="s">
        <v>17325</v>
      </c>
      <c r="W891" t="s">
        <v>17326</v>
      </c>
      <c r="X891" t="s">
        <v>17327</v>
      </c>
      <c r="Y891" t="s">
        <v>17328</v>
      </c>
      <c r="Z891" t="s">
        <v>17329</v>
      </c>
      <c r="AA891" t="s">
        <v>17330</v>
      </c>
      <c r="AB891" t="s">
        <v>17331</v>
      </c>
      <c r="AC891" t="s">
        <v>17332</v>
      </c>
      <c r="AD891" t="s">
        <v>17333</v>
      </c>
      <c r="AE891" t="s">
        <v>17334</v>
      </c>
      <c r="AF891" t="s">
        <v>74</v>
      </c>
      <c r="AG891">
        <v>61</v>
      </c>
      <c r="AH891">
        <v>7</v>
      </c>
      <c r="AI891">
        <v>7</v>
      </c>
      <c r="AJ891">
        <v>2</v>
      </c>
      <c r="AK891">
        <v>7</v>
      </c>
      <c r="AL891" t="s">
        <v>2042</v>
      </c>
      <c r="AM891" t="s">
        <v>2043</v>
      </c>
      <c r="AN891" t="s">
        <v>2044</v>
      </c>
      <c r="AO891" t="s">
        <v>74</v>
      </c>
      <c r="AP891" t="s">
        <v>2371</v>
      </c>
      <c r="AQ891" t="s">
        <v>74</v>
      </c>
      <c r="AR891" t="s">
        <v>2372</v>
      </c>
      <c r="AS891" t="s">
        <v>2373</v>
      </c>
      <c r="AT891" t="s">
        <v>6497</v>
      </c>
      <c r="AU891">
        <v>2022</v>
      </c>
      <c r="AV891">
        <v>14</v>
      </c>
      <c r="AW891">
        <v>3</v>
      </c>
      <c r="AX891" t="s">
        <v>74</v>
      </c>
      <c r="AY891" t="s">
        <v>74</v>
      </c>
      <c r="AZ891" t="s">
        <v>74</v>
      </c>
      <c r="BA891" t="s">
        <v>74</v>
      </c>
      <c r="BB891" t="s">
        <v>74</v>
      </c>
      <c r="BC891" t="s">
        <v>74</v>
      </c>
      <c r="BD891" t="s">
        <v>17335</v>
      </c>
      <c r="BE891" t="s">
        <v>17336</v>
      </c>
      <c r="BF891" t="str">
        <f>HYPERLINK("http://dx.doi.org/10.1029/2021MS002925","http://dx.doi.org/10.1029/2021MS002925")</f>
        <v>http://dx.doi.org/10.1029/2021MS002925</v>
      </c>
      <c r="BG891" t="s">
        <v>74</v>
      </c>
      <c r="BH891" t="s">
        <v>74</v>
      </c>
      <c r="BI891">
        <v>34</v>
      </c>
      <c r="BJ891" t="s">
        <v>510</v>
      </c>
      <c r="BK891" t="s">
        <v>101</v>
      </c>
      <c r="BL891" t="s">
        <v>510</v>
      </c>
      <c r="BM891" t="s">
        <v>17337</v>
      </c>
      <c r="BN891" t="s">
        <v>74</v>
      </c>
      <c r="BO891" t="s">
        <v>17338</v>
      </c>
      <c r="BP891" t="s">
        <v>74</v>
      </c>
      <c r="BQ891" t="s">
        <v>74</v>
      </c>
      <c r="BR891" t="s">
        <v>103</v>
      </c>
      <c r="BS891" t="s">
        <v>17339</v>
      </c>
      <c r="BT891" t="str">
        <f>HYPERLINK("https%3A%2F%2Fwww.webofscience.com%2Fwos%2Fwoscc%2Ffull-record%2FWOS:000776466100002","View Full Record in Web of Science")</f>
        <v>View Full Record in Web of Science</v>
      </c>
    </row>
    <row r="892" spans="1:72" x14ac:dyDescent="0.15">
      <c r="A892" t="s">
        <v>72</v>
      </c>
      <c r="B892" t="s">
        <v>17340</v>
      </c>
      <c r="C892" t="s">
        <v>74</v>
      </c>
      <c r="D892" t="s">
        <v>74</v>
      </c>
      <c r="E892" t="s">
        <v>74</v>
      </c>
      <c r="F892" t="s">
        <v>17341</v>
      </c>
      <c r="G892" t="s">
        <v>74</v>
      </c>
      <c r="H892" t="s">
        <v>74</v>
      </c>
      <c r="I892" t="s">
        <v>17342</v>
      </c>
      <c r="J892" t="s">
        <v>2359</v>
      </c>
      <c r="K892" t="s">
        <v>74</v>
      </c>
      <c r="L892" t="s">
        <v>74</v>
      </c>
      <c r="M892" t="s">
        <v>78</v>
      </c>
      <c r="N892" t="s">
        <v>79</v>
      </c>
      <c r="O892" t="s">
        <v>74</v>
      </c>
      <c r="P892" t="s">
        <v>74</v>
      </c>
      <c r="Q892" t="s">
        <v>74</v>
      </c>
      <c r="R892" t="s">
        <v>74</v>
      </c>
      <c r="S892" t="s">
        <v>74</v>
      </c>
      <c r="T892" t="s">
        <v>17343</v>
      </c>
      <c r="U892" t="s">
        <v>17344</v>
      </c>
      <c r="V892" t="s">
        <v>17345</v>
      </c>
      <c r="W892" t="s">
        <v>17346</v>
      </c>
      <c r="X892" t="s">
        <v>17347</v>
      </c>
      <c r="Y892" t="s">
        <v>17348</v>
      </c>
      <c r="Z892" t="s">
        <v>17349</v>
      </c>
      <c r="AA892" t="s">
        <v>17350</v>
      </c>
      <c r="AB892" t="s">
        <v>17351</v>
      </c>
      <c r="AC892" t="s">
        <v>17352</v>
      </c>
      <c r="AD892" t="s">
        <v>17353</v>
      </c>
      <c r="AE892" t="s">
        <v>17354</v>
      </c>
      <c r="AF892" t="s">
        <v>74</v>
      </c>
      <c r="AG892">
        <v>34</v>
      </c>
      <c r="AH892">
        <v>5</v>
      </c>
      <c r="AI892">
        <v>5</v>
      </c>
      <c r="AJ892">
        <v>1</v>
      </c>
      <c r="AK892">
        <v>7</v>
      </c>
      <c r="AL892" t="s">
        <v>2042</v>
      </c>
      <c r="AM892" t="s">
        <v>2043</v>
      </c>
      <c r="AN892" t="s">
        <v>2044</v>
      </c>
      <c r="AO892" t="s">
        <v>74</v>
      </c>
      <c r="AP892" t="s">
        <v>2371</v>
      </c>
      <c r="AQ892" t="s">
        <v>74</v>
      </c>
      <c r="AR892" t="s">
        <v>2372</v>
      </c>
      <c r="AS892" t="s">
        <v>2373</v>
      </c>
      <c r="AT892" t="s">
        <v>6497</v>
      </c>
      <c r="AU892">
        <v>2022</v>
      </c>
      <c r="AV892">
        <v>14</v>
      </c>
      <c r="AW892">
        <v>3</v>
      </c>
      <c r="AX892" t="s">
        <v>74</v>
      </c>
      <c r="AY892" t="s">
        <v>74</v>
      </c>
      <c r="AZ892" t="s">
        <v>74</v>
      </c>
      <c r="BA892" t="s">
        <v>74</v>
      </c>
      <c r="BB892" t="s">
        <v>74</v>
      </c>
      <c r="BC892" t="s">
        <v>74</v>
      </c>
      <c r="BD892" t="s">
        <v>17355</v>
      </c>
      <c r="BE892" t="s">
        <v>17356</v>
      </c>
      <c r="BF892" t="str">
        <f>HYPERLINK("http://dx.doi.org/10.1029/2021MS002869","http://dx.doi.org/10.1029/2021MS002869")</f>
        <v>http://dx.doi.org/10.1029/2021MS002869</v>
      </c>
      <c r="BG892" t="s">
        <v>74</v>
      </c>
      <c r="BH892" t="s">
        <v>74</v>
      </c>
      <c r="BI892">
        <v>19</v>
      </c>
      <c r="BJ892" t="s">
        <v>510</v>
      </c>
      <c r="BK892" t="s">
        <v>101</v>
      </c>
      <c r="BL892" t="s">
        <v>510</v>
      </c>
      <c r="BM892" t="s">
        <v>17337</v>
      </c>
      <c r="BN892" t="s">
        <v>74</v>
      </c>
      <c r="BO892" t="s">
        <v>1533</v>
      </c>
      <c r="BP892" t="s">
        <v>74</v>
      </c>
      <c r="BQ892" t="s">
        <v>74</v>
      </c>
      <c r="BR892" t="s">
        <v>103</v>
      </c>
      <c r="BS892" t="s">
        <v>17357</v>
      </c>
      <c r="BT892" t="str">
        <f>HYPERLINK("https%3A%2F%2Fwww.webofscience.com%2Fwos%2Fwoscc%2Ffull-record%2FWOS:000776466100023","View Full Record in Web of Science")</f>
        <v>View Full Record in Web of Science</v>
      </c>
    </row>
    <row r="893" spans="1:72" x14ac:dyDescent="0.15">
      <c r="A893" t="s">
        <v>72</v>
      </c>
      <c r="B893" t="s">
        <v>17358</v>
      </c>
      <c r="C893" t="s">
        <v>74</v>
      </c>
      <c r="D893" t="s">
        <v>74</v>
      </c>
      <c r="E893" t="s">
        <v>74</v>
      </c>
      <c r="F893" t="s">
        <v>17359</v>
      </c>
      <c r="G893" t="s">
        <v>74</v>
      </c>
      <c r="H893" t="s">
        <v>74</v>
      </c>
      <c r="I893" t="s">
        <v>17360</v>
      </c>
      <c r="J893" t="s">
        <v>7057</v>
      </c>
      <c r="K893" t="s">
        <v>74</v>
      </c>
      <c r="L893" t="s">
        <v>74</v>
      </c>
      <c r="M893" t="s">
        <v>78</v>
      </c>
      <c r="N893" t="s">
        <v>79</v>
      </c>
      <c r="O893" t="s">
        <v>74</v>
      </c>
      <c r="P893" t="s">
        <v>74</v>
      </c>
      <c r="Q893" t="s">
        <v>74</v>
      </c>
      <c r="R893" t="s">
        <v>74</v>
      </c>
      <c r="S893" t="s">
        <v>74</v>
      </c>
      <c r="T893" t="s">
        <v>17361</v>
      </c>
      <c r="U893" t="s">
        <v>17362</v>
      </c>
      <c r="V893" t="s">
        <v>17363</v>
      </c>
      <c r="W893" t="s">
        <v>17364</v>
      </c>
      <c r="X893" t="s">
        <v>17365</v>
      </c>
      <c r="Y893" t="s">
        <v>17366</v>
      </c>
      <c r="Z893" t="s">
        <v>17367</v>
      </c>
      <c r="AA893" t="s">
        <v>17368</v>
      </c>
      <c r="AB893" t="s">
        <v>17369</v>
      </c>
      <c r="AC893" t="s">
        <v>17370</v>
      </c>
      <c r="AD893" t="s">
        <v>17371</v>
      </c>
      <c r="AE893" t="s">
        <v>17372</v>
      </c>
      <c r="AF893" t="s">
        <v>74</v>
      </c>
      <c r="AG893">
        <v>42</v>
      </c>
      <c r="AH893">
        <v>5</v>
      </c>
      <c r="AI893">
        <v>5</v>
      </c>
      <c r="AJ893">
        <v>0</v>
      </c>
      <c r="AK893">
        <v>10</v>
      </c>
      <c r="AL893" t="s">
        <v>1766</v>
      </c>
      <c r="AM893" t="s">
        <v>1767</v>
      </c>
      <c r="AN893" t="s">
        <v>1768</v>
      </c>
      <c r="AO893" t="s">
        <v>74</v>
      </c>
      <c r="AP893" t="s">
        <v>7067</v>
      </c>
      <c r="AQ893" t="s">
        <v>74</v>
      </c>
      <c r="AR893" t="s">
        <v>7068</v>
      </c>
      <c r="AS893" t="s">
        <v>7069</v>
      </c>
      <c r="AT893" t="s">
        <v>6497</v>
      </c>
      <c r="AU893">
        <v>2022</v>
      </c>
      <c r="AV893">
        <v>20</v>
      </c>
      <c r="AW893">
        <v>3</v>
      </c>
      <c r="AX893" t="s">
        <v>74</v>
      </c>
      <c r="AY893" t="s">
        <v>74</v>
      </c>
      <c r="AZ893" t="s">
        <v>74</v>
      </c>
      <c r="BA893" t="s">
        <v>74</v>
      </c>
      <c r="BB893" t="s">
        <v>74</v>
      </c>
      <c r="BC893" t="s">
        <v>74</v>
      </c>
      <c r="BD893">
        <v>196</v>
      </c>
      <c r="BE893" t="s">
        <v>17373</v>
      </c>
      <c r="BF893" t="str">
        <f>HYPERLINK("http://dx.doi.org/10.3390/md20030196","http://dx.doi.org/10.3390/md20030196")</f>
        <v>http://dx.doi.org/10.3390/md20030196</v>
      </c>
      <c r="BG893" t="s">
        <v>74</v>
      </c>
      <c r="BH893" t="s">
        <v>74</v>
      </c>
      <c r="BI893">
        <v>11</v>
      </c>
      <c r="BJ893" t="s">
        <v>7071</v>
      </c>
      <c r="BK893" t="s">
        <v>101</v>
      </c>
      <c r="BL893" t="s">
        <v>7072</v>
      </c>
      <c r="BM893" t="s">
        <v>17374</v>
      </c>
      <c r="BN893">
        <v>35323495</v>
      </c>
      <c r="BO893" t="s">
        <v>295</v>
      </c>
      <c r="BP893" t="s">
        <v>74</v>
      </c>
      <c r="BQ893" t="s">
        <v>74</v>
      </c>
      <c r="BR893" t="s">
        <v>103</v>
      </c>
      <c r="BS893" t="s">
        <v>17375</v>
      </c>
      <c r="BT893" t="str">
        <f>HYPERLINK("https%3A%2F%2Fwww.webofscience.com%2Fwos%2Fwoscc%2Ffull-record%2FWOS:000774997300001","View Full Record in Web of Science")</f>
        <v>View Full Record in Web of Science</v>
      </c>
    </row>
    <row r="894" spans="1:72" x14ac:dyDescent="0.15">
      <c r="A894" t="s">
        <v>72</v>
      </c>
      <c r="B894" t="s">
        <v>17376</v>
      </c>
      <c r="C894" t="s">
        <v>74</v>
      </c>
      <c r="D894" t="s">
        <v>74</v>
      </c>
      <c r="E894" t="s">
        <v>74</v>
      </c>
      <c r="F894" t="s">
        <v>17377</v>
      </c>
      <c r="G894" t="s">
        <v>74</v>
      </c>
      <c r="H894" t="s">
        <v>74</v>
      </c>
      <c r="I894" t="s">
        <v>17378</v>
      </c>
      <c r="J894" t="s">
        <v>12436</v>
      </c>
      <c r="K894" t="s">
        <v>74</v>
      </c>
      <c r="L894" t="s">
        <v>74</v>
      </c>
      <c r="M894" t="s">
        <v>78</v>
      </c>
      <c r="N894" t="s">
        <v>79</v>
      </c>
      <c r="O894" t="s">
        <v>74</v>
      </c>
      <c r="P894" t="s">
        <v>74</v>
      </c>
      <c r="Q894" t="s">
        <v>74</v>
      </c>
      <c r="R894" t="s">
        <v>74</v>
      </c>
      <c r="S894" t="s">
        <v>74</v>
      </c>
      <c r="T894" t="s">
        <v>17379</v>
      </c>
      <c r="U894" t="s">
        <v>17380</v>
      </c>
      <c r="V894" t="s">
        <v>17381</v>
      </c>
      <c r="W894" t="s">
        <v>17382</v>
      </c>
      <c r="X894" t="s">
        <v>17383</v>
      </c>
      <c r="Y894" t="s">
        <v>17384</v>
      </c>
      <c r="Z894" t="s">
        <v>17385</v>
      </c>
      <c r="AA894" t="s">
        <v>12406</v>
      </c>
      <c r="AB894" t="s">
        <v>17386</v>
      </c>
      <c r="AC894" t="s">
        <v>17387</v>
      </c>
      <c r="AD894" t="s">
        <v>8760</v>
      </c>
      <c r="AE894" t="s">
        <v>17388</v>
      </c>
      <c r="AF894" t="s">
        <v>74</v>
      </c>
      <c r="AG894">
        <v>43</v>
      </c>
      <c r="AH894">
        <v>4</v>
      </c>
      <c r="AI894">
        <v>4</v>
      </c>
      <c r="AJ894">
        <v>1</v>
      </c>
      <c r="AK894">
        <v>6</v>
      </c>
      <c r="AL894" t="s">
        <v>2042</v>
      </c>
      <c r="AM894" t="s">
        <v>2043</v>
      </c>
      <c r="AN894" t="s">
        <v>2044</v>
      </c>
      <c r="AO894" t="s">
        <v>74</v>
      </c>
      <c r="AP894" t="s">
        <v>12449</v>
      </c>
      <c r="AQ894" t="s">
        <v>74</v>
      </c>
      <c r="AR894" t="s">
        <v>12450</v>
      </c>
      <c r="AS894" t="s">
        <v>12451</v>
      </c>
      <c r="AT894" t="s">
        <v>6497</v>
      </c>
      <c r="AU894">
        <v>2022</v>
      </c>
      <c r="AV894">
        <v>20</v>
      </c>
      <c r="AW894">
        <v>3</v>
      </c>
      <c r="AX894" t="s">
        <v>74</v>
      </c>
      <c r="AY894" t="s">
        <v>74</v>
      </c>
      <c r="AZ894" t="s">
        <v>74</v>
      </c>
      <c r="BA894" t="s">
        <v>74</v>
      </c>
      <c r="BB894" t="s">
        <v>74</v>
      </c>
      <c r="BC894" t="s">
        <v>74</v>
      </c>
      <c r="BD894" t="s">
        <v>17389</v>
      </c>
      <c r="BE894" t="s">
        <v>17390</v>
      </c>
      <c r="BF894" t="str">
        <f>HYPERLINK("http://dx.doi.org/10.1029/2021SW002976","http://dx.doi.org/10.1029/2021SW002976")</f>
        <v>http://dx.doi.org/10.1029/2021SW002976</v>
      </c>
      <c r="BG894" t="s">
        <v>74</v>
      </c>
      <c r="BH894" t="s">
        <v>74</v>
      </c>
      <c r="BI894">
        <v>19</v>
      </c>
      <c r="BJ894" t="s">
        <v>932</v>
      </c>
      <c r="BK894" t="s">
        <v>101</v>
      </c>
      <c r="BL894" t="s">
        <v>932</v>
      </c>
      <c r="BM894" t="s">
        <v>17391</v>
      </c>
      <c r="BN894" t="s">
        <v>74</v>
      </c>
      <c r="BO894" t="s">
        <v>2709</v>
      </c>
      <c r="BP894" t="s">
        <v>74</v>
      </c>
      <c r="BQ894" t="s">
        <v>74</v>
      </c>
      <c r="BR894" t="s">
        <v>103</v>
      </c>
      <c r="BS894" t="s">
        <v>17392</v>
      </c>
      <c r="BT894" t="str">
        <f>HYPERLINK("https%3A%2F%2Fwww.webofscience.com%2Fwos%2Fwoscc%2Ffull-record%2FWOS:000776591600004","View Full Record in Web of Science")</f>
        <v>View Full Record in Web of Science</v>
      </c>
    </row>
    <row r="895" spans="1:72" x14ac:dyDescent="0.15">
      <c r="A895" t="s">
        <v>72</v>
      </c>
      <c r="B895" t="s">
        <v>17393</v>
      </c>
      <c r="C895" t="s">
        <v>74</v>
      </c>
      <c r="D895" t="s">
        <v>74</v>
      </c>
      <c r="E895" t="s">
        <v>74</v>
      </c>
      <c r="F895" t="s">
        <v>17394</v>
      </c>
      <c r="G895" t="s">
        <v>74</v>
      </c>
      <c r="H895" t="s">
        <v>74</v>
      </c>
      <c r="I895" t="s">
        <v>17395</v>
      </c>
      <c r="J895" t="s">
        <v>12436</v>
      </c>
      <c r="K895" t="s">
        <v>74</v>
      </c>
      <c r="L895" t="s">
        <v>74</v>
      </c>
      <c r="M895" t="s">
        <v>78</v>
      </c>
      <c r="N895" t="s">
        <v>79</v>
      </c>
      <c r="O895" t="s">
        <v>74</v>
      </c>
      <c r="P895" t="s">
        <v>74</v>
      </c>
      <c r="Q895" t="s">
        <v>74</v>
      </c>
      <c r="R895" t="s">
        <v>74</v>
      </c>
      <c r="S895" t="s">
        <v>74</v>
      </c>
      <c r="T895" t="s">
        <v>74</v>
      </c>
      <c r="U895" t="s">
        <v>17396</v>
      </c>
      <c r="V895" t="s">
        <v>17397</v>
      </c>
      <c r="W895" t="s">
        <v>17398</v>
      </c>
      <c r="X895" t="s">
        <v>17399</v>
      </c>
      <c r="Y895" t="s">
        <v>17400</v>
      </c>
      <c r="Z895" t="s">
        <v>17401</v>
      </c>
      <c r="AA895" t="s">
        <v>17402</v>
      </c>
      <c r="AB895" t="s">
        <v>17403</v>
      </c>
      <c r="AC895" t="s">
        <v>17404</v>
      </c>
      <c r="AD895" t="s">
        <v>17405</v>
      </c>
      <c r="AE895" t="s">
        <v>17406</v>
      </c>
      <c r="AF895" t="s">
        <v>74</v>
      </c>
      <c r="AG895">
        <v>54</v>
      </c>
      <c r="AH895">
        <v>2</v>
      </c>
      <c r="AI895">
        <v>2</v>
      </c>
      <c r="AJ895">
        <v>2</v>
      </c>
      <c r="AK895">
        <v>17</v>
      </c>
      <c r="AL895" t="s">
        <v>2042</v>
      </c>
      <c r="AM895" t="s">
        <v>2043</v>
      </c>
      <c r="AN895" t="s">
        <v>2044</v>
      </c>
      <c r="AO895" t="s">
        <v>74</v>
      </c>
      <c r="AP895" t="s">
        <v>12449</v>
      </c>
      <c r="AQ895" t="s">
        <v>74</v>
      </c>
      <c r="AR895" t="s">
        <v>12450</v>
      </c>
      <c r="AS895" t="s">
        <v>12451</v>
      </c>
      <c r="AT895" t="s">
        <v>6497</v>
      </c>
      <c r="AU895">
        <v>2022</v>
      </c>
      <c r="AV895">
        <v>20</v>
      </c>
      <c r="AW895">
        <v>3</v>
      </c>
      <c r="AX895" t="s">
        <v>74</v>
      </c>
      <c r="AY895" t="s">
        <v>74</v>
      </c>
      <c r="AZ895" t="s">
        <v>74</v>
      </c>
      <c r="BA895" t="s">
        <v>74</v>
      </c>
      <c r="BB895" t="s">
        <v>74</v>
      </c>
      <c r="BC895" t="s">
        <v>74</v>
      </c>
      <c r="BD895" t="s">
        <v>17407</v>
      </c>
      <c r="BE895" t="s">
        <v>17408</v>
      </c>
      <c r="BF895" t="str">
        <f>HYPERLINK("http://dx.doi.org/10.1029/2021SW003002","http://dx.doi.org/10.1029/2021SW003002")</f>
        <v>http://dx.doi.org/10.1029/2021SW003002</v>
      </c>
      <c r="BG895" t="s">
        <v>74</v>
      </c>
      <c r="BH895" t="s">
        <v>74</v>
      </c>
      <c r="BI895">
        <v>12</v>
      </c>
      <c r="BJ895" t="s">
        <v>932</v>
      </c>
      <c r="BK895" t="s">
        <v>101</v>
      </c>
      <c r="BL895" t="s">
        <v>932</v>
      </c>
      <c r="BM895" t="s">
        <v>17391</v>
      </c>
      <c r="BN895" t="s">
        <v>74</v>
      </c>
      <c r="BO895" t="s">
        <v>267</v>
      </c>
      <c r="BP895" t="s">
        <v>74</v>
      </c>
      <c r="BQ895" t="s">
        <v>74</v>
      </c>
      <c r="BR895" t="s">
        <v>103</v>
      </c>
      <c r="BS895" t="s">
        <v>17409</v>
      </c>
      <c r="BT895" t="str">
        <f>HYPERLINK("https%3A%2F%2Fwww.webofscience.com%2Fwos%2Fwoscc%2Ffull-record%2FWOS:000776591600007","View Full Record in Web of Science")</f>
        <v>View Full Record in Web of Science</v>
      </c>
    </row>
    <row r="896" spans="1:72" x14ac:dyDescent="0.15">
      <c r="A896" t="s">
        <v>72</v>
      </c>
      <c r="B896" t="s">
        <v>17410</v>
      </c>
      <c r="C896" t="s">
        <v>74</v>
      </c>
      <c r="D896" t="s">
        <v>74</v>
      </c>
      <c r="E896" t="s">
        <v>74</v>
      </c>
      <c r="F896" t="s">
        <v>17411</v>
      </c>
      <c r="G896" t="s">
        <v>74</v>
      </c>
      <c r="H896" t="s">
        <v>74</v>
      </c>
      <c r="I896" t="s">
        <v>17412</v>
      </c>
      <c r="J896" t="s">
        <v>17413</v>
      </c>
      <c r="K896" t="s">
        <v>74</v>
      </c>
      <c r="L896" t="s">
        <v>74</v>
      </c>
      <c r="M896" t="s">
        <v>78</v>
      </c>
      <c r="N896" t="s">
        <v>79</v>
      </c>
      <c r="O896" t="s">
        <v>74</v>
      </c>
      <c r="P896" t="s">
        <v>74</v>
      </c>
      <c r="Q896" t="s">
        <v>74</v>
      </c>
      <c r="R896" t="s">
        <v>74</v>
      </c>
      <c r="S896" t="s">
        <v>74</v>
      </c>
      <c r="T896" t="s">
        <v>17414</v>
      </c>
      <c r="U896" t="s">
        <v>17415</v>
      </c>
      <c r="V896" t="s">
        <v>17416</v>
      </c>
      <c r="W896" t="s">
        <v>17417</v>
      </c>
      <c r="X896" t="s">
        <v>17418</v>
      </c>
      <c r="Y896" t="s">
        <v>17419</v>
      </c>
      <c r="Z896" t="s">
        <v>17420</v>
      </c>
      <c r="AA896" t="s">
        <v>17421</v>
      </c>
      <c r="AB896" t="s">
        <v>17422</v>
      </c>
      <c r="AC896" t="s">
        <v>17423</v>
      </c>
      <c r="AD896" t="s">
        <v>17424</v>
      </c>
      <c r="AE896" t="s">
        <v>17425</v>
      </c>
      <c r="AF896" t="s">
        <v>74</v>
      </c>
      <c r="AG896">
        <v>35</v>
      </c>
      <c r="AH896">
        <v>2</v>
      </c>
      <c r="AI896">
        <v>3</v>
      </c>
      <c r="AJ896">
        <v>2</v>
      </c>
      <c r="AK896">
        <v>11</v>
      </c>
      <c r="AL896" t="s">
        <v>1766</v>
      </c>
      <c r="AM896" t="s">
        <v>1767</v>
      </c>
      <c r="AN896" t="s">
        <v>1768</v>
      </c>
      <c r="AO896" t="s">
        <v>74</v>
      </c>
      <c r="AP896" t="s">
        <v>17426</v>
      </c>
      <c r="AQ896" t="s">
        <v>74</v>
      </c>
      <c r="AR896" t="s">
        <v>17413</v>
      </c>
      <c r="AS896" t="s">
        <v>17427</v>
      </c>
      <c r="AT896" t="s">
        <v>6497</v>
      </c>
      <c r="AU896">
        <v>2022</v>
      </c>
      <c r="AV896">
        <v>15</v>
      </c>
      <c r="AW896">
        <v>6</v>
      </c>
      <c r="AX896" t="s">
        <v>74</v>
      </c>
      <c r="AY896" t="s">
        <v>74</v>
      </c>
      <c r="AZ896" t="s">
        <v>74</v>
      </c>
      <c r="BA896" t="s">
        <v>74</v>
      </c>
      <c r="BB896" t="s">
        <v>74</v>
      </c>
      <c r="BC896" t="s">
        <v>74</v>
      </c>
      <c r="BD896">
        <v>2301</v>
      </c>
      <c r="BE896" t="s">
        <v>17428</v>
      </c>
      <c r="BF896" t="str">
        <f>HYPERLINK("http://dx.doi.org/10.3390/en15062301","http://dx.doi.org/10.3390/en15062301")</f>
        <v>http://dx.doi.org/10.3390/en15062301</v>
      </c>
      <c r="BG896" t="s">
        <v>74</v>
      </c>
      <c r="BH896" t="s">
        <v>74</v>
      </c>
      <c r="BI896">
        <v>11</v>
      </c>
      <c r="BJ896" t="s">
        <v>17429</v>
      </c>
      <c r="BK896" t="s">
        <v>101</v>
      </c>
      <c r="BL896" t="s">
        <v>17429</v>
      </c>
      <c r="BM896" t="s">
        <v>17430</v>
      </c>
      <c r="BN896" t="s">
        <v>74</v>
      </c>
      <c r="BO896" t="s">
        <v>438</v>
      </c>
      <c r="BP896" t="s">
        <v>74</v>
      </c>
      <c r="BQ896" t="s">
        <v>74</v>
      </c>
      <c r="BR896" t="s">
        <v>103</v>
      </c>
      <c r="BS896" t="s">
        <v>17431</v>
      </c>
      <c r="BT896" t="str">
        <f>HYPERLINK("https%3A%2F%2Fwww.webofscience.com%2Fwos%2Fwoscc%2Ffull-record%2FWOS:000776837600001","View Full Record in Web of Science")</f>
        <v>View Full Record in Web of Science</v>
      </c>
    </row>
    <row r="897" spans="1:72" x14ac:dyDescent="0.15">
      <c r="A897" t="s">
        <v>72</v>
      </c>
      <c r="B897" t="s">
        <v>17432</v>
      </c>
      <c r="C897" t="s">
        <v>74</v>
      </c>
      <c r="D897" t="s">
        <v>74</v>
      </c>
      <c r="E897" t="s">
        <v>74</v>
      </c>
      <c r="F897" t="s">
        <v>17433</v>
      </c>
      <c r="G897" t="s">
        <v>74</v>
      </c>
      <c r="H897" t="s">
        <v>74</v>
      </c>
      <c r="I897" t="s">
        <v>17434</v>
      </c>
      <c r="J897" t="s">
        <v>2006</v>
      </c>
      <c r="K897" t="s">
        <v>74</v>
      </c>
      <c r="L897" t="s">
        <v>74</v>
      </c>
      <c r="M897" t="s">
        <v>78</v>
      </c>
      <c r="N897" t="s">
        <v>79</v>
      </c>
      <c r="O897" t="s">
        <v>74</v>
      </c>
      <c r="P897" t="s">
        <v>74</v>
      </c>
      <c r="Q897" t="s">
        <v>74</v>
      </c>
      <c r="R897" t="s">
        <v>74</v>
      </c>
      <c r="S897" t="s">
        <v>74</v>
      </c>
      <c r="T897" t="s">
        <v>17435</v>
      </c>
      <c r="U897" t="s">
        <v>17436</v>
      </c>
      <c r="V897" t="s">
        <v>17437</v>
      </c>
      <c r="W897" t="s">
        <v>17438</v>
      </c>
      <c r="X897" t="s">
        <v>17439</v>
      </c>
      <c r="Y897" t="s">
        <v>17440</v>
      </c>
      <c r="Z897" t="s">
        <v>17441</v>
      </c>
      <c r="AA897" t="s">
        <v>17442</v>
      </c>
      <c r="AB897" t="s">
        <v>17443</v>
      </c>
      <c r="AC897" t="s">
        <v>17444</v>
      </c>
      <c r="AD897" t="s">
        <v>17445</v>
      </c>
      <c r="AE897" t="s">
        <v>17446</v>
      </c>
      <c r="AF897" t="s">
        <v>74</v>
      </c>
      <c r="AG897">
        <v>84</v>
      </c>
      <c r="AH897">
        <v>13</v>
      </c>
      <c r="AI897">
        <v>13</v>
      </c>
      <c r="AJ897">
        <v>0</v>
      </c>
      <c r="AK897">
        <v>15</v>
      </c>
      <c r="AL897" t="s">
        <v>1766</v>
      </c>
      <c r="AM897" t="s">
        <v>1767</v>
      </c>
      <c r="AN897" t="s">
        <v>1768</v>
      </c>
      <c r="AO897" t="s">
        <v>74</v>
      </c>
      <c r="AP897" t="s">
        <v>2019</v>
      </c>
      <c r="AQ897" t="s">
        <v>74</v>
      </c>
      <c r="AR897" t="s">
        <v>2020</v>
      </c>
      <c r="AS897" t="s">
        <v>2021</v>
      </c>
      <c r="AT897" t="s">
        <v>6497</v>
      </c>
      <c r="AU897">
        <v>2022</v>
      </c>
      <c r="AV897">
        <v>13</v>
      </c>
      <c r="AW897">
        <v>3</v>
      </c>
      <c r="AX897" t="s">
        <v>74</v>
      </c>
      <c r="AY897" t="s">
        <v>74</v>
      </c>
      <c r="AZ897" t="s">
        <v>74</v>
      </c>
      <c r="BA897" t="s">
        <v>74</v>
      </c>
      <c r="BB897" t="s">
        <v>74</v>
      </c>
      <c r="BC897" t="s">
        <v>74</v>
      </c>
      <c r="BD897">
        <v>541</v>
      </c>
      <c r="BE897" t="s">
        <v>17447</v>
      </c>
      <c r="BF897" t="str">
        <f>HYPERLINK("http://dx.doi.org/10.3390/genes13030541","http://dx.doi.org/10.3390/genes13030541")</f>
        <v>http://dx.doi.org/10.3390/genes13030541</v>
      </c>
      <c r="BG897" t="s">
        <v>74</v>
      </c>
      <c r="BH897" t="s">
        <v>74</v>
      </c>
      <c r="BI897">
        <v>12</v>
      </c>
      <c r="BJ897" t="s">
        <v>2023</v>
      </c>
      <c r="BK897" t="s">
        <v>101</v>
      </c>
      <c r="BL897" t="s">
        <v>2023</v>
      </c>
      <c r="BM897" t="s">
        <v>17448</v>
      </c>
      <c r="BN897">
        <v>35328094</v>
      </c>
      <c r="BO897" t="s">
        <v>3044</v>
      </c>
      <c r="BP897" t="s">
        <v>74</v>
      </c>
      <c r="BQ897" t="s">
        <v>74</v>
      </c>
      <c r="BR897" t="s">
        <v>103</v>
      </c>
      <c r="BS897" t="s">
        <v>17449</v>
      </c>
      <c r="BT897" t="str">
        <f>HYPERLINK("https%3A%2F%2Fwww.webofscience.com%2Fwos%2Fwoscc%2Ffull-record%2FWOS:000775301000001","View Full Record in Web of Science")</f>
        <v>View Full Record in Web of Science</v>
      </c>
    </row>
    <row r="898" spans="1:72" x14ac:dyDescent="0.15">
      <c r="A898" t="s">
        <v>72</v>
      </c>
      <c r="B898" t="s">
        <v>17450</v>
      </c>
      <c r="C898" t="s">
        <v>74</v>
      </c>
      <c r="D898" t="s">
        <v>74</v>
      </c>
      <c r="E898" t="s">
        <v>74</v>
      </c>
      <c r="F898" t="s">
        <v>17451</v>
      </c>
      <c r="G898" t="s">
        <v>74</v>
      </c>
      <c r="H898" t="s">
        <v>74</v>
      </c>
      <c r="I898" t="s">
        <v>17452</v>
      </c>
      <c r="J898" t="s">
        <v>2443</v>
      </c>
      <c r="K898" t="s">
        <v>74</v>
      </c>
      <c r="L898" t="s">
        <v>74</v>
      </c>
      <c r="M898" t="s">
        <v>78</v>
      </c>
      <c r="N898" t="s">
        <v>79</v>
      </c>
      <c r="O898" t="s">
        <v>74</v>
      </c>
      <c r="P898" t="s">
        <v>74</v>
      </c>
      <c r="Q898" t="s">
        <v>74</v>
      </c>
      <c r="R898" t="s">
        <v>74</v>
      </c>
      <c r="S898" t="s">
        <v>74</v>
      </c>
      <c r="T898" t="s">
        <v>74</v>
      </c>
      <c r="U898" t="s">
        <v>17453</v>
      </c>
      <c r="V898" t="s">
        <v>17454</v>
      </c>
      <c r="W898" t="s">
        <v>17455</v>
      </c>
      <c r="X898" t="s">
        <v>17456</v>
      </c>
      <c r="Y898" t="s">
        <v>17457</v>
      </c>
      <c r="Z898" t="s">
        <v>17458</v>
      </c>
      <c r="AA898" t="s">
        <v>17459</v>
      </c>
      <c r="AB898" t="s">
        <v>17460</v>
      </c>
      <c r="AC898" t="s">
        <v>17461</v>
      </c>
      <c r="AD898" t="s">
        <v>17462</v>
      </c>
      <c r="AE898" t="s">
        <v>17463</v>
      </c>
      <c r="AF898" t="s">
        <v>74</v>
      </c>
      <c r="AG898">
        <v>129</v>
      </c>
      <c r="AH898">
        <v>19</v>
      </c>
      <c r="AI898">
        <v>21</v>
      </c>
      <c r="AJ898">
        <v>1</v>
      </c>
      <c r="AK898">
        <v>11</v>
      </c>
      <c r="AL898" t="s">
        <v>2042</v>
      </c>
      <c r="AM898" t="s">
        <v>2043</v>
      </c>
      <c r="AN898" t="s">
        <v>2044</v>
      </c>
      <c r="AO898" t="s">
        <v>2456</v>
      </c>
      <c r="AP898" t="s">
        <v>2457</v>
      </c>
      <c r="AQ898" t="s">
        <v>74</v>
      </c>
      <c r="AR898" t="s">
        <v>2458</v>
      </c>
      <c r="AS898" t="s">
        <v>2459</v>
      </c>
      <c r="AT898" t="s">
        <v>6497</v>
      </c>
      <c r="AU898">
        <v>2022</v>
      </c>
      <c r="AV898">
        <v>127</v>
      </c>
      <c r="AW898">
        <v>3</v>
      </c>
      <c r="AX898" t="s">
        <v>74</v>
      </c>
      <c r="AY898" t="s">
        <v>74</v>
      </c>
      <c r="AZ898" t="s">
        <v>74</v>
      </c>
      <c r="BA898" t="s">
        <v>74</v>
      </c>
      <c r="BB898" t="s">
        <v>74</v>
      </c>
      <c r="BC898" t="s">
        <v>74</v>
      </c>
      <c r="BD898" t="s">
        <v>17464</v>
      </c>
      <c r="BE898" t="s">
        <v>17465</v>
      </c>
      <c r="BF898" t="str">
        <f>HYPERLINK("http://dx.doi.org/10.1029/2021JC017808","http://dx.doi.org/10.1029/2021JC017808")</f>
        <v>http://dx.doi.org/10.1029/2021JC017808</v>
      </c>
      <c r="BG898" t="s">
        <v>74</v>
      </c>
      <c r="BH898" t="s">
        <v>74</v>
      </c>
      <c r="BI898">
        <v>19</v>
      </c>
      <c r="BJ898" t="s">
        <v>208</v>
      </c>
      <c r="BK898" t="s">
        <v>101</v>
      </c>
      <c r="BL898" t="s">
        <v>208</v>
      </c>
      <c r="BM898" t="s">
        <v>17466</v>
      </c>
      <c r="BN898" t="s">
        <v>74</v>
      </c>
      <c r="BO898" t="s">
        <v>883</v>
      </c>
      <c r="BP898" t="s">
        <v>74</v>
      </c>
      <c r="BQ898" t="s">
        <v>74</v>
      </c>
      <c r="BR898" t="s">
        <v>103</v>
      </c>
      <c r="BS898" t="s">
        <v>17467</v>
      </c>
      <c r="BT898" t="str">
        <f>HYPERLINK("https%3A%2F%2Fwww.webofscience.com%2Fwos%2Fwoscc%2Ffull-record%2FWOS:000776507900024","View Full Record in Web of Science")</f>
        <v>View Full Record in Web of Science</v>
      </c>
    </row>
    <row r="899" spans="1:72" x14ac:dyDescent="0.15">
      <c r="A899" t="s">
        <v>72</v>
      </c>
      <c r="B899" t="s">
        <v>17468</v>
      </c>
      <c r="C899" t="s">
        <v>74</v>
      </c>
      <c r="D899" t="s">
        <v>74</v>
      </c>
      <c r="E899" t="s">
        <v>74</v>
      </c>
      <c r="F899" t="s">
        <v>17469</v>
      </c>
      <c r="G899" t="s">
        <v>74</v>
      </c>
      <c r="H899" t="s">
        <v>74</v>
      </c>
      <c r="I899" t="s">
        <v>17470</v>
      </c>
      <c r="J899" t="s">
        <v>2443</v>
      </c>
      <c r="K899" t="s">
        <v>74</v>
      </c>
      <c r="L899" t="s">
        <v>74</v>
      </c>
      <c r="M899" t="s">
        <v>78</v>
      </c>
      <c r="N899" t="s">
        <v>79</v>
      </c>
      <c r="O899" t="s">
        <v>74</v>
      </c>
      <c r="P899" t="s">
        <v>74</v>
      </c>
      <c r="Q899" t="s">
        <v>74</v>
      </c>
      <c r="R899" t="s">
        <v>74</v>
      </c>
      <c r="S899" t="s">
        <v>74</v>
      </c>
      <c r="T899" t="s">
        <v>17471</v>
      </c>
      <c r="U899" t="s">
        <v>17472</v>
      </c>
      <c r="V899" t="s">
        <v>17473</v>
      </c>
      <c r="W899" t="s">
        <v>17474</v>
      </c>
      <c r="X899" t="s">
        <v>17475</v>
      </c>
      <c r="Y899" t="s">
        <v>17476</v>
      </c>
      <c r="Z899" t="s">
        <v>17477</v>
      </c>
      <c r="AA899" t="s">
        <v>74</v>
      </c>
      <c r="AB899" t="s">
        <v>17478</v>
      </c>
      <c r="AC899" t="s">
        <v>17479</v>
      </c>
      <c r="AD899" t="s">
        <v>17480</v>
      </c>
      <c r="AE899" t="s">
        <v>17481</v>
      </c>
      <c r="AF899" t="s">
        <v>74</v>
      </c>
      <c r="AG899">
        <v>61</v>
      </c>
      <c r="AH899">
        <v>2</v>
      </c>
      <c r="AI899">
        <v>2</v>
      </c>
      <c r="AJ899">
        <v>1</v>
      </c>
      <c r="AK899">
        <v>3</v>
      </c>
      <c r="AL899" t="s">
        <v>2042</v>
      </c>
      <c r="AM899" t="s">
        <v>2043</v>
      </c>
      <c r="AN899" t="s">
        <v>2044</v>
      </c>
      <c r="AO899" t="s">
        <v>2456</v>
      </c>
      <c r="AP899" t="s">
        <v>2457</v>
      </c>
      <c r="AQ899" t="s">
        <v>74</v>
      </c>
      <c r="AR899" t="s">
        <v>2458</v>
      </c>
      <c r="AS899" t="s">
        <v>2459</v>
      </c>
      <c r="AT899" t="s">
        <v>6497</v>
      </c>
      <c r="AU899">
        <v>2022</v>
      </c>
      <c r="AV899">
        <v>127</v>
      </c>
      <c r="AW899">
        <v>3</v>
      </c>
      <c r="AX899" t="s">
        <v>74</v>
      </c>
      <c r="AY899" t="s">
        <v>74</v>
      </c>
      <c r="AZ899" t="s">
        <v>74</v>
      </c>
      <c r="BA899" t="s">
        <v>74</v>
      </c>
      <c r="BB899" t="s">
        <v>74</v>
      </c>
      <c r="BC899" t="s">
        <v>74</v>
      </c>
      <c r="BD899" t="s">
        <v>17482</v>
      </c>
      <c r="BE899" t="s">
        <v>17483</v>
      </c>
      <c r="BF899" t="str">
        <f>HYPERLINK("http://dx.doi.org/10.1029/2021JC018255","http://dx.doi.org/10.1029/2021JC018255")</f>
        <v>http://dx.doi.org/10.1029/2021JC018255</v>
      </c>
      <c r="BG899" t="s">
        <v>74</v>
      </c>
      <c r="BH899" t="s">
        <v>74</v>
      </c>
      <c r="BI899">
        <v>16</v>
      </c>
      <c r="BJ899" t="s">
        <v>208</v>
      </c>
      <c r="BK899" t="s">
        <v>101</v>
      </c>
      <c r="BL899" t="s">
        <v>208</v>
      </c>
      <c r="BM899" t="s">
        <v>17466</v>
      </c>
      <c r="BN899" t="s">
        <v>74</v>
      </c>
      <c r="BO899" t="s">
        <v>74</v>
      </c>
      <c r="BP899" t="s">
        <v>74</v>
      </c>
      <c r="BQ899" t="s">
        <v>74</v>
      </c>
      <c r="BR899" t="s">
        <v>103</v>
      </c>
      <c r="BS899" t="s">
        <v>17484</v>
      </c>
      <c r="BT899" t="str">
        <f>HYPERLINK("https%3A%2F%2Fwww.webofscience.com%2Fwos%2Fwoscc%2Ffull-record%2FWOS:000776507900041","View Full Record in Web of Science")</f>
        <v>View Full Record in Web of Science</v>
      </c>
    </row>
    <row r="900" spans="1:72" x14ac:dyDescent="0.15">
      <c r="A900" t="s">
        <v>72</v>
      </c>
      <c r="B900" t="s">
        <v>17485</v>
      </c>
      <c r="C900" t="s">
        <v>74</v>
      </c>
      <c r="D900" t="s">
        <v>74</v>
      </c>
      <c r="E900" t="s">
        <v>74</v>
      </c>
      <c r="F900" t="s">
        <v>17486</v>
      </c>
      <c r="G900" t="s">
        <v>74</v>
      </c>
      <c r="H900" t="s">
        <v>74</v>
      </c>
      <c r="I900" t="s">
        <v>17487</v>
      </c>
      <c r="J900" t="s">
        <v>12742</v>
      </c>
      <c r="K900" t="s">
        <v>74</v>
      </c>
      <c r="L900" t="s">
        <v>74</v>
      </c>
      <c r="M900" t="s">
        <v>78</v>
      </c>
      <c r="N900" t="s">
        <v>79</v>
      </c>
      <c r="O900" t="s">
        <v>74</v>
      </c>
      <c r="P900" t="s">
        <v>74</v>
      </c>
      <c r="Q900" t="s">
        <v>74</v>
      </c>
      <c r="R900" t="s">
        <v>74</v>
      </c>
      <c r="S900" t="s">
        <v>74</v>
      </c>
      <c r="T900" t="s">
        <v>17488</v>
      </c>
      <c r="U900" t="s">
        <v>17489</v>
      </c>
      <c r="V900" t="s">
        <v>17490</v>
      </c>
      <c r="W900" t="s">
        <v>17491</v>
      </c>
      <c r="X900" t="s">
        <v>17492</v>
      </c>
      <c r="Y900" t="s">
        <v>17493</v>
      </c>
      <c r="Z900" t="s">
        <v>17494</v>
      </c>
      <c r="AA900" t="s">
        <v>74</v>
      </c>
      <c r="AB900" t="s">
        <v>17495</v>
      </c>
      <c r="AC900" t="s">
        <v>17496</v>
      </c>
      <c r="AD900" t="s">
        <v>17497</v>
      </c>
      <c r="AE900" t="s">
        <v>17498</v>
      </c>
      <c r="AF900" t="s">
        <v>74</v>
      </c>
      <c r="AG900">
        <v>52</v>
      </c>
      <c r="AH900">
        <v>4</v>
      </c>
      <c r="AI900">
        <v>4</v>
      </c>
      <c r="AJ900">
        <v>2</v>
      </c>
      <c r="AK900">
        <v>4</v>
      </c>
      <c r="AL900" t="s">
        <v>2042</v>
      </c>
      <c r="AM900" t="s">
        <v>2043</v>
      </c>
      <c r="AN900" t="s">
        <v>2044</v>
      </c>
      <c r="AO900" t="s">
        <v>12755</v>
      </c>
      <c r="AP900" t="s">
        <v>12756</v>
      </c>
      <c r="AQ900" t="s">
        <v>74</v>
      </c>
      <c r="AR900" t="s">
        <v>12757</v>
      </c>
      <c r="AS900" t="s">
        <v>12758</v>
      </c>
      <c r="AT900" t="s">
        <v>6497</v>
      </c>
      <c r="AU900">
        <v>2022</v>
      </c>
      <c r="AV900">
        <v>127</v>
      </c>
      <c r="AW900">
        <v>3</v>
      </c>
      <c r="AX900" t="s">
        <v>74</v>
      </c>
      <c r="AY900" t="s">
        <v>74</v>
      </c>
      <c r="AZ900" t="s">
        <v>74</v>
      </c>
      <c r="BA900" t="s">
        <v>74</v>
      </c>
      <c r="BB900" t="s">
        <v>74</v>
      </c>
      <c r="BC900" t="s">
        <v>74</v>
      </c>
      <c r="BD900" t="s">
        <v>17499</v>
      </c>
      <c r="BE900" t="s">
        <v>17500</v>
      </c>
      <c r="BF900" t="str">
        <f>HYPERLINK("http://dx.doi.org/10.1029/2021JB023658","http://dx.doi.org/10.1029/2021JB023658")</f>
        <v>http://dx.doi.org/10.1029/2021JB023658</v>
      </c>
      <c r="BG900" t="s">
        <v>74</v>
      </c>
      <c r="BH900" t="s">
        <v>74</v>
      </c>
      <c r="BI900">
        <v>18</v>
      </c>
      <c r="BJ900" t="s">
        <v>2144</v>
      </c>
      <c r="BK900" t="s">
        <v>101</v>
      </c>
      <c r="BL900" t="s">
        <v>2144</v>
      </c>
      <c r="BM900" t="s">
        <v>17501</v>
      </c>
      <c r="BN900" t="s">
        <v>74</v>
      </c>
      <c r="BO900" t="s">
        <v>590</v>
      </c>
      <c r="BP900" t="s">
        <v>74</v>
      </c>
      <c r="BQ900" t="s">
        <v>74</v>
      </c>
      <c r="BR900" t="s">
        <v>103</v>
      </c>
      <c r="BS900" t="s">
        <v>17502</v>
      </c>
      <c r="BT900" t="str">
        <f>HYPERLINK("https%3A%2F%2Fwww.webofscience.com%2Fwos%2Fwoscc%2Ffull-record%2FWOS:000776510500008","View Full Record in Web of Science")</f>
        <v>View Full Record in Web of Science</v>
      </c>
    </row>
    <row r="901" spans="1:72" x14ac:dyDescent="0.15">
      <c r="A901" t="s">
        <v>72</v>
      </c>
      <c r="B901" t="s">
        <v>17503</v>
      </c>
      <c r="C901" t="s">
        <v>74</v>
      </c>
      <c r="D901" t="s">
        <v>74</v>
      </c>
      <c r="E901" t="s">
        <v>74</v>
      </c>
      <c r="F901" t="s">
        <v>17504</v>
      </c>
      <c r="G901" t="s">
        <v>74</v>
      </c>
      <c r="H901" t="s">
        <v>74</v>
      </c>
      <c r="I901" t="s">
        <v>17505</v>
      </c>
      <c r="J901" t="s">
        <v>12742</v>
      </c>
      <c r="K901" t="s">
        <v>74</v>
      </c>
      <c r="L901" t="s">
        <v>74</v>
      </c>
      <c r="M901" t="s">
        <v>78</v>
      </c>
      <c r="N901" t="s">
        <v>79</v>
      </c>
      <c r="O901" t="s">
        <v>74</v>
      </c>
      <c r="P901" t="s">
        <v>74</v>
      </c>
      <c r="Q901" t="s">
        <v>74</v>
      </c>
      <c r="R901" t="s">
        <v>74</v>
      </c>
      <c r="S901" t="s">
        <v>74</v>
      </c>
      <c r="T901" t="s">
        <v>74</v>
      </c>
      <c r="U901" t="s">
        <v>17506</v>
      </c>
      <c r="V901" t="s">
        <v>17507</v>
      </c>
      <c r="W901" t="s">
        <v>17508</v>
      </c>
      <c r="X901" t="s">
        <v>17509</v>
      </c>
      <c r="Y901" t="s">
        <v>17510</v>
      </c>
      <c r="Z901" t="s">
        <v>17511</v>
      </c>
      <c r="AA901" t="s">
        <v>17512</v>
      </c>
      <c r="AB901" t="s">
        <v>17513</v>
      </c>
      <c r="AC901" t="s">
        <v>17514</v>
      </c>
      <c r="AD901" t="s">
        <v>17515</v>
      </c>
      <c r="AE901" t="s">
        <v>17516</v>
      </c>
      <c r="AF901" t="s">
        <v>74</v>
      </c>
      <c r="AG901">
        <v>119</v>
      </c>
      <c r="AH901">
        <v>8</v>
      </c>
      <c r="AI901">
        <v>10</v>
      </c>
      <c r="AJ901">
        <v>2</v>
      </c>
      <c r="AK901">
        <v>13</v>
      </c>
      <c r="AL901" t="s">
        <v>2042</v>
      </c>
      <c r="AM901" t="s">
        <v>2043</v>
      </c>
      <c r="AN901" t="s">
        <v>2044</v>
      </c>
      <c r="AO901" t="s">
        <v>12755</v>
      </c>
      <c r="AP901" t="s">
        <v>12756</v>
      </c>
      <c r="AQ901" t="s">
        <v>74</v>
      </c>
      <c r="AR901" t="s">
        <v>12757</v>
      </c>
      <c r="AS901" t="s">
        <v>12758</v>
      </c>
      <c r="AT901" t="s">
        <v>6497</v>
      </c>
      <c r="AU901">
        <v>2022</v>
      </c>
      <c r="AV901">
        <v>127</v>
      </c>
      <c r="AW901">
        <v>3</v>
      </c>
      <c r="AX901" t="s">
        <v>74</v>
      </c>
      <c r="AY901" t="s">
        <v>74</v>
      </c>
      <c r="AZ901" t="s">
        <v>74</v>
      </c>
      <c r="BA901" t="s">
        <v>74</v>
      </c>
      <c r="BB901" t="s">
        <v>74</v>
      </c>
      <c r="BC901" t="s">
        <v>74</v>
      </c>
      <c r="BD901" t="s">
        <v>17517</v>
      </c>
      <c r="BE901" t="s">
        <v>17518</v>
      </c>
      <c r="BF901" t="str">
        <f>HYPERLINK("http://dx.doi.org/10.1029/2021JB022857","http://dx.doi.org/10.1029/2021JB022857")</f>
        <v>http://dx.doi.org/10.1029/2021JB022857</v>
      </c>
      <c r="BG901" t="s">
        <v>74</v>
      </c>
      <c r="BH901" t="s">
        <v>74</v>
      </c>
      <c r="BI901">
        <v>23</v>
      </c>
      <c r="BJ901" t="s">
        <v>2144</v>
      </c>
      <c r="BK901" t="s">
        <v>101</v>
      </c>
      <c r="BL901" t="s">
        <v>2144</v>
      </c>
      <c r="BM901" t="s">
        <v>17501</v>
      </c>
      <c r="BN901" t="s">
        <v>74</v>
      </c>
      <c r="BO901" t="s">
        <v>74</v>
      </c>
      <c r="BP901" t="s">
        <v>74</v>
      </c>
      <c r="BQ901" t="s">
        <v>74</v>
      </c>
      <c r="BR901" t="s">
        <v>103</v>
      </c>
      <c r="BS901" t="s">
        <v>17519</v>
      </c>
      <c r="BT901" t="str">
        <f>HYPERLINK("https%3A%2F%2Fwww.webofscience.com%2Fwos%2Fwoscc%2Ffull-record%2FWOS:000776510500018","View Full Record in Web of Science")</f>
        <v>View Full Record in Web of Science</v>
      </c>
    </row>
    <row r="902" spans="1:72" x14ac:dyDescent="0.15">
      <c r="A902" t="s">
        <v>72</v>
      </c>
      <c r="B902" t="s">
        <v>17520</v>
      </c>
      <c r="C902" t="s">
        <v>74</v>
      </c>
      <c r="D902" t="s">
        <v>74</v>
      </c>
      <c r="E902" t="s">
        <v>74</v>
      </c>
      <c r="F902" t="s">
        <v>17521</v>
      </c>
      <c r="G902" t="s">
        <v>74</v>
      </c>
      <c r="H902" t="s">
        <v>74</v>
      </c>
      <c r="I902" t="s">
        <v>17522</v>
      </c>
      <c r="J902" t="s">
        <v>1780</v>
      </c>
      <c r="K902" t="s">
        <v>74</v>
      </c>
      <c r="L902" t="s">
        <v>74</v>
      </c>
      <c r="M902" t="s">
        <v>78</v>
      </c>
      <c r="N902" t="s">
        <v>79</v>
      </c>
      <c r="O902" t="s">
        <v>74</v>
      </c>
      <c r="P902" t="s">
        <v>74</v>
      </c>
      <c r="Q902" t="s">
        <v>74</v>
      </c>
      <c r="R902" t="s">
        <v>74</v>
      </c>
      <c r="S902" t="s">
        <v>74</v>
      </c>
      <c r="T902" t="s">
        <v>17523</v>
      </c>
      <c r="U902" t="s">
        <v>17524</v>
      </c>
      <c r="V902" t="s">
        <v>17525</v>
      </c>
      <c r="W902" t="s">
        <v>17526</v>
      </c>
      <c r="X902" t="s">
        <v>17527</v>
      </c>
      <c r="Y902" t="s">
        <v>17528</v>
      </c>
      <c r="Z902" t="s">
        <v>17529</v>
      </c>
      <c r="AA902" t="s">
        <v>17530</v>
      </c>
      <c r="AB902" t="s">
        <v>17531</v>
      </c>
      <c r="AC902" t="s">
        <v>17532</v>
      </c>
      <c r="AD902" t="s">
        <v>3389</v>
      </c>
      <c r="AE902" t="s">
        <v>17533</v>
      </c>
      <c r="AF902" t="s">
        <v>74</v>
      </c>
      <c r="AG902">
        <v>65</v>
      </c>
      <c r="AH902">
        <v>4</v>
      </c>
      <c r="AI902">
        <v>4</v>
      </c>
      <c r="AJ902">
        <v>3</v>
      </c>
      <c r="AK902">
        <v>10</v>
      </c>
      <c r="AL902" t="s">
        <v>1766</v>
      </c>
      <c r="AM902" t="s">
        <v>1767</v>
      </c>
      <c r="AN902" t="s">
        <v>1768</v>
      </c>
      <c r="AO902" t="s">
        <v>74</v>
      </c>
      <c r="AP902" t="s">
        <v>1793</v>
      </c>
      <c r="AQ902" t="s">
        <v>74</v>
      </c>
      <c r="AR902" t="s">
        <v>1794</v>
      </c>
      <c r="AS902" t="s">
        <v>1795</v>
      </c>
      <c r="AT902" t="s">
        <v>6497</v>
      </c>
      <c r="AU902">
        <v>2022</v>
      </c>
      <c r="AV902">
        <v>13</v>
      </c>
      <c r="AW902">
        <v>3</v>
      </c>
      <c r="AX902" t="s">
        <v>74</v>
      </c>
      <c r="AY902" t="s">
        <v>74</v>
      </c>
      <c r="AZ902" t="s">
        <v>74</v>
      </c>
      <c r="BA902" t="s">
        <v>74</v>
      </c>
      <c r="BB902" t="s">
        <v>74</v>
      </c>
      <c r="BC902" t="s">
        <v>74</v>
      </c>
      <c r="BD902">
        <v>427</v>
      </c>
      <c r="BE902" t="s">
        <v>17534</v>
      </c>
      <c r="BF902" t="str">
        <f>HYPERLINK("http://dx.doi.org/10.3390/atmos13030427","http://dx.doi.org/10.3390/atmos13030427")</f>
        <v>http://dx.doi.org/10.3390/atmos13030427</v>
      </c>
      <c r="BG902" t="s">
        <v>74</v>
      </c>
      <c r="BH902" t="s">
        <v>74</v>
      </c>
      <c r="BI902">
        <v>21</v>
      </c>
      <c r="BJ902" t="s">
        <v>1797</v>
      </c>
      <c r="BK902" t="s">
        <v>101</v>
      </c>
      <c r="BL902" t="s">
        <v>957</v>
      </c>
      <c r="BM902" t="s">
        <v>17535</v>
      </c>
      <c r="BN902" t="s">
        <v>74</v>
      </c>
      <c r="BO902" t="s">
        <v>438</v>
      </c>
      <c r="BP902" t="s">
        <v>74</v>
      </c>
      <c r="BQ902" t="s">
        <v>74</v>
      </c>
      <c r="BR902" t="s">
        <v>103</v>
      </c>
      <c r="BS902" t="s">
        <v>17536</v>
      </c>
      <c r="BT902" t="str">
        <f>HYPERLINK("https%3A%2F%2Fwww.webofscience.com%2Fwos%2Fwoscc%2Ffull-record%2FWOS:000775865200001","View Full Record in Web of Science")</f>
        <v>View Full Record in Web of Science</v>
      </c>
    </row>
    <row r="903" spans="1:72" x14ac:dyDescent="0.15">
      <c r="A903" t="s">
        <v>72</v>
      </c>
      <c r="B903" t="s">
        <v>17537</v>
      </c>
      <c r="C903" t="s">
        <v>74</v>
      </c>
      <c r="D903" t="s">
        <v>74</v>
      </c>
      <c r="E903" t="s">
        <v>74</v>
      </c>
      <c r="F903" t="s">
        <v>17538</v>
      </c>
      <c r="G903" t="s">
        <v>74</v>
      </c>
      <c r="H903" t="s">
        <v>74</v>
      </c>
      <c r="I903" t="s">
        <v>17539</v>
      </c>
      <c r="J903" t="s">
        <v>7212</v>
      </c>
      <c r="K903" t="s">
        <v>74</v>
      </c>
      <c r="L903" t="s">
        <v>74</v>
      </c>
      <c r="M903" t="s">
        <v>78</v>
      </c>
      <c r="N903" t="s">
        <v>79</v>
      </c>
      <c r="O903" t="s">
        <v>74</v>
      </c>
      <c r="P903" t="s">
        <v>74</v>
      </c>
      <c r="Q903" t="s">
        <v>74</v>
      </c>
      <c r="R903" t="s">
        <v>74</v>
      </c>
      <c r="S903" t="s">
        <v>74</v>
      </c>
      <c r="T903" t="s">
        <v>17540</v>
      </c>
      <c r="U903" t="s">
        <v>17541</v>
      </c>
      <c r="V903" t="s">
        <v>17542</v>
      </c>
      <c r="W903" t="s">
        <v>17543</v>
      </c>
      <c r="X903" t="s">
        <v>17544</v>
      </c>
      <c r="Y903" t="s">
        <v>17545</v>
      </c>
      <c r="Z903" t="s">
        <v>17546</v>
      </c>
      <c r="AA903" t="s">
        <v>17547</v>
      </c>
      <c r="AB903" t="s">
        <v>17548</v>
      </c>
      <c r="AC903" t="s">
        <v>17549</v>
      </c>
      <c r="AD903" t="s">
        <v>17550</v>
      </c>
      <c r="AE903" t="s">
        <v>17551</v>
      </c>
      <c r="AF903" t="s">
        <v>74</v>
      </c>
      <c r="AG903">
        <v>64</v>
      </c>
      <c r="AH903">
        <v>5</v>
      </c>
      <c r="AI903">
        <v>5</v>
      </c>
      <c r="AJ903">
        <v>4</v>
      </c>
      <c r="AK903">
        <v>20</v>
      </c>
      <c r="AL903" t="s">
        <v>91</v>
      </c>
      <c r="AM903" t="s">
        <v>92</v>
      </c>
      <c r="AN903" t="s">
        <v>93</v>
      </c>
      <c r="AO903" t="s">
        <v>7223</v>
      </c>
      <c r="AP903" t="s">
        <v>74</v>
      </c>
      <c r="AQ903" t="s">
        <v>74</v>
      </c>
      <c r="AR903" t="s">
        <v>7224</v>
      </c>
      <c r="AS903" t="s">
        <v>7225</v>
      </c>
      <c r="AT903" t="s">
        <v>6497</v>
      </c>
      <c r="AU903">
        <v>2022</v>
      </c>
      <c r="AV903">
        <v>12</v>
      </c>
      <c r="AW903">
        <v>3</v>
      </c>
      <c r="AX903" t="s">
        <v>74</v>
      </c>
      <c r="AY903" t="s">
        <v>74</v>
      </c>
      <c r="AZ903" t="s">
        <v>74</v>
      </c>
      <c r="BA903" t="s">
        <v>74</v>
      </c>
      <c r="BB903" t="s">
        <v>74</v>
      </c>
      <c r="BC903" t="s">
        <v>74</v>
      </c>
      <c r="BD903" t="s">
        <v>17552</v>
      </c>
      <c r="BE903" t="s">
        <v>17553</v>
      </c>
      <c r="BF903" t="str">
        <f>HYPERLINK("http://dx.doi.org/10.1002/ece3.8736","http://dx.doi.org/10.1002/ece3.8736")</f>
        <v>http://dx.doi.org/10.1002/ece3.8736</v>
      </c>
      <c r="BG903" t="s">
        <v>74</v>
      </c>
      <c r="BH903" t="s">
        <v>74</v>
      </c>
      <c r="BI903">
        <v>13</v>
      </c>
      <c r="BJ903" t="s">
        <v>5150</v>
      </c>
      <c r="BK903" t="s">
        <v>101</v>
      </c>
      <c r="BL903" t="s">
        <v>5151</v>
      </c>
      <c r="BM903" t="s">
        <v>17554</v>
      </c>
      <c r="BN903">
        <v>35356574</v>
      </c>
      <c r="BO903" t="s">
        <v>590</v>
      </c>
      <c r="BP903" t="s">
        <v>74</v>
      </c>
      <c r="BQ903" t="s">
        <v>74</v>
      </c>
      <c r="BR903" t="s">
        <v>103</v>
      </c>
      <c r="BS903" t="s">
        <v>17555</v>
      </c>
      <c r="BT903" t="str">
        <f>HYPERLINK("https%3A%2F%2Fwww.webofscience.com%2Fwos%2Fwoscc%2Ffull-record%2FWOS:000774845900001","View Full Record in Web of Science")</f>
        <v>View Full Record in Web of Science</v>
      </c>
    </row>
    <row r="904" spans="1:72" x14ac:dyDescent="0.15">
      <c r="A904" t="s">
        <v>72</v>
      </c>
      <c r="B904" t="s">
        <v>17556</v>
      </c>
      <c r="C904" t="s">
        <v>74</v>
      </c>
      <c r="D904" t="s">
        <v>74</v>
      </c>
      <c r="E904" t="s">
        <v>74</v>
      </c>
      <c r="F904" t="s">
        <v>17557</v>
      </c>
      <c r="G904" t="s">
        <v>74</v>
      </c>
      <c r="H904" t="s">
        <v>74</v>
      </c>
      <c r="I904" t="s">
        <v>17558</v>
      </c>
      <c r="J904" t="s">
        <v>17559</v>
      </c>
      <c r="K904" t="s">
        <v>74</v>
      </c>
      <c r="L904" t="s">
        <v>74</v>
      </c>
      <c r="M904" t="s">
        <v>78</v>
      </c>
      <c r="N904" t="s">
        <v>79</v>
      </c>
      <c r="O904" t="s">
        <v>74</v>
      </c>
      <c r="P904" t="s">
        <v>74</v>
      </c>
      <c r="Q904" t="s">
        <v>74</v>
      </c>
      <c r="R904" t="s">
        <v>74</v>
      </c>
      <c r="S904" t="s">
        <v>74</v>
      </c>
      <c r="T904" t="s">
        <v>17560</v>
      </c>
      <c r="U904" t="s">
        <v>17561</v>
      </c>
      <c r="V904" t="s">
        <v>17562</v>
      </c>
      <c r="W904" t="s">
        <v>17563</v>
      </c>
      <c r="X904" t="s">
        <v>17564</v>
      </c>
      <c r="Y904" t="s">
        <v>17565</v>
      </c>
      <c r="Z904" t="s">
        <v>17566</v>
      </c>
      <c r="AA904" t="s">
        <v>17567</v>
      </c>
      <c r="AB904" t="s">
        <v>17568</v>
      </c>
      <c r="AC904" t="s">
        <v>17569</v>
      </c>
      <c r="AD904" t="s">
        <v>17570</v>
      </c>
      <c r="AE904" t="s">
        <v>17571</v>
      </c>
      <c r="AF904" t="s">
        <v>74</v>
      </c>
      <c r="AG904">
        <v>41</v>
      </c>
      <c r="AH904">
        <v>3</v>
      </c>
      <c r="AI904">
        <v>3</v>
      </c>
      <c r="AJ904">
        <v>1</v>
      </c>
      <c r="AK904">
        <v>2</v>
      </c>
      <c r="AL904" t="s">
        <v>1766</v>
      </c>
      <c r="AM904" t="s">
        <v>1767</v>
      </c>
      <c r="AN904" t="s">
        <v>1768</v>
      </c>
      <c r="AO904" t="s">
        <v>74</v>
      </c>
      <c r="AP904" t="s">
        <v>17572</v>
      </c>
      <c r="AQ904" t="s">
        <v>74</v>
      </c>
      <c r="AR904" t="s">
        <v>17559</v>
      </c>
      <c r="AS904" t="s">
        <v>17573</v>
      </c>
      <c r="AT904" t="s">
        <v>6497</v>
      </c>
      <c r="AU904">
        <v>2022</v>
      </c>
      <c r="AV904">
        <v>10</v>
      </c>
      <c r="AW904">
        <v>1</v>
      </c>
      <c r="AX904" t="s">
        <v>74</v>
      </c>
      <c r="AY904" t="s">
        <v>74</v>
      </c>
      <c r="AZ904" t="s">
        <v>74</v>
      </c>
      <c r="BA904" t="s">
        <v>74</v>
      </c>
      <c r="BB904" t="s">
        <v>74</v>
      </c>
      <c r="BC904" t="s">
        <v>74</v>
      </c>
      <c r="BD904">
        <v>9</v>
      </c>
      <c r="BE904" t="s">
        <v>17574</v>
      </c>
      <c r="BF904" t="str">
        <f>HYPERLINK("http://dx.doi.org/10.3390/econometrics10010009","http://dx.doi.org/10.3390/econometrics10010009")</f>
        <v>http://dx.doi.org/10.3390/econometrics10010009</v>
      </c>
      <c r="BG904" t="s">
        <v>74</v>
      </c>
      <c r="BH904" t="s">
        <v>74</v>
      </c>
      <c r="BI904">
        <v>29</v>
      </c>
      <c r="BJ904" t="s">
        <v>17575</v>
      </c>
      <c r="BK904" t="s">
        <v>839</v>
      </c>
      <c r="BL904" t="s">
        <v>17576</v>
      </c>
      <c r="BM904" t="s">
        <v>17577</v>
      </c>
      <c r="BN904" t="s">
        <v>74</v>
      </c>
      <c r="BO904" t="s">
        <v>3373</v>
      </c>
      <c r="BP904" t="s">
        <v>74</v>
      </c>
      <c r="BQ904" t="s">
        <v>74</v>
      </c>
      <c r="BR904" t="s">
        <v>103</v>
      </c>
      <c r="BS904" t="s">
        <v>17578</v>
      </c>
      <c r="BT904" t="str">
        <f>HYPERLINK("https%3A%2F%2Fwww.webofscience.com%2Fwos%2Fwoscc%2Ffull-record%2FWOS:000775481700001","View Full Record in Web of Science")</f>
        <v>View Full Record in Web of Science</v>
      </c>
    </row>
    <row r="905" spans="1:72" x14ac:dyDescent="0.15">
      <c r="A905" t="s">
        <v>72</v>
      </c>
      <c r="B905" t="s">
        <v>17579</v>
      </c>
      <c r="C905" t="s">
        <v>74</v>
      </c>
      <c r="D905" t="s">
        <v>74</v>
      </c>
      <c r="E905" t="s">
        <v>74</v>
      </c>
      <c r="F905" t="s">
        <v>17580</v>
      </c>
      <c r="G905" t="s">
        <v>74</v>
      </c>
      <c r="H905" t="s">
        <v>74</v>
      </c>
      <c r="I905" t="s">
        <v>17581</v>
      </c>
      <c r="J905" t="s">
        <v>14291</v>
      </c>
      <c r="K905" t="s">
        <v>74</v>
      </c>
      <c r="L905" t="s">
        <v>74</v>
      </c>
      <c r="M905" t="s">
        <v>78</v>
      </c>
      <c r="N905" t="s">
        <v>79</v>
      </c>
      <c r="O905" t="s">
        <v>74</v>
      </c>
      <c r="P905" t="s">
        <v>74</v>
      </c>
      <c r="Q905" t="s">
        <v>74</v>
      </c>
      <c r="R905" t="s">
        <v>74</v>
      </c>
      <c r="S905" t="s">
        <v>74</v>
      </c>
      <c r="T905" t="s">
        <v>17582</v>
      </c>
      <c r="U905" t="s">
        <v>17583</v>
      </c>
      <c r="V905" t="s">
        <v>17584</v>
      </c>
      <c r="W905" t="s">
        <v>17585</v>
      </c>
      <c r="X905" t="s">
        <v>17586</v>
      </c>
      <c r="Y905" t="s">
        <v>17587</v>
      </c>
      <c r="Z905" t="s">
        <v>17588</v>
      </c>
      <c r="AA905" t="s">
        <v>17589</v>
      </c>
      <c r="AB905" t="s">
        <v>17590</v>
      </c>
      <c r="AC905" t="s">
        <v>17591</v>
      </c>
      <c r="AD905" t="s">
        <v>17592</v>
      </c>
      <c r="AE905" t="s">
        <v>17593</v>
      </c>
      <c r="AF905" t="s">
        <v>74</v>
      </c>
      <c r="AG905">
        <v>24</v>
      </c>
      <c r="AH905">
        <v>7</v>
      </c>
      <c r="AI905">
        <v>7</v>
      </c>
      <c r="AJ905">
        <v>1</v>
      </c>
      <c r="AK905">
        <v>10</v>
      </c>
      <c r="AL905" t="s">
        <v>633</v>
      </c>
      <c r="AM905" t="s">
        <v>200</v>
      </c>
      <c r="AN905" t="s">
        <v>634</v>
      </c>
      <c r="AO905" t="s">
        <v>14301</v>
      </c>
      <c r="AP905" t="s">
        <v>14302</v>
      </c>
      <c r="AQ905" t="s">
        <v>74</v>
      </c>
      <c r="AR905" t="s">
        <v>14303</v>
      </c>
      <c r="AS905" t="s">
        <v>14304</v>
      </c>
      <c r="AT905" t="s">
        <v>6497</v>
      </c>
      <c r="AU905">
        <v>2022</v>
      </c>
      <c r="AV905">
        <v>228</v>
      </c>
      <c r="AW905">
        <v>3</v>
      </c>
      <c r="AX905" t="s">
        <v>74</v>
      </c>
      <c r="AY905" t="s">
        <v>74</v>
      </c>
      <c r="AZ905" t="s">
        <v>74</v>
      </c>
      <c r="BA905" t="s">
        <v>74</v>
      </c>
      <c r="BB905">
        <v>2056</v>
      </c>
      <c r="BC905">
        <v>2060</v>
      </c>
      <c r="BD905" t="s">
        <v>74</v>
      </c>
      <c r="BE905" t="s">
        <v>17594</v>
      </c>
      <c r="BF905" t="str">
        <f>HYPERLINK("http://dx.doi.org/10.1093/gji/ggab464","http://dx.doi.org/10.1093/gji/ggab464")</f>
        <v>http://dx.doi.org/10.1093/gji/ggab464</v>
      </c>
      <c r="BG905" t="s">
        <v>74</v>
      </c>
      <c r="BH905" t="s">
        <v>74</v>
      </c>
      <c r="BI905">
        <v>5</v>
      </c>
      <c r="BJ905" t="s">
        <v>2144</v>
      </c>
      <c r="BK905" t="s">
        <v>101</v>
      </c>
      <c r="BL905" t="s">
        <v>2144</v>
      </c>
      <c r="BM905" t="s">
        <v>17595</v>
      </c>
      <c r="BN905" t="s">
        <v>74</v>
      </c>
      <c r="BO905" t="s">
        <v>4448</v>
      </c>
      <c r="BP905" t="s">
        <v>74</v>
      </c>
      <c r="BQ905" t="s">
        <v>74</v>
      </c>
      <c r="BR905" t="s">
        <v>103</v>
      </c>
      <c r="BS905" t="s">
        <v>17596</v>
      </c>
      <c r="BT905" t="str">
        <f>HYPERLINK("https%3A%2F%2Fwww.webofscience.com%2Fwos%2Fwoscc%2Ffull-record%2FWOS:000776226200017","View Full Record in Web of Science")</f>
        <v>View Full Record in Web of Science</v>
      </c>
    </row>
    <row r="906" spans="1:72" x14ac:dyDescent="0.15">
      <c r="A906" t="s">
        <v>72</v>
      </c>
      <c r="B906" t="s">
        <v>17597</v>
      </c>
      <c r="C906" t="s">
        <v>74</v>
      </c>
      <c r="D906" t="s">
        <v>74</v>
      </c>
      <c r="E906" t="s">
        <v>74</v>
      </c>
      <c r="F906" t="s">
        <v>17598</v>
      </c>
      <c r="G906" t="s">
        <v>74</v>
      </c>
      <c r="H906" t="s">
        <v>74</v>
      </c>
      <c r="I906" t="s">
        <v>17599</v>
      </c>
      <c r="J906" t="s">
        <v>2056</v>
      </c>
      <c r="K906" t="s">
        <v>74</v>
      </c>
      <c r="L906" t="s">
        <v>74</v>
      </c>
      <c r="M906" t="s">
        <v>78</v>
      </c>
      <c r="N906" t="s">
        <v>79</v>
      </c>
      <c r="O906" t="s">
        <v>74</v>
      </c>
      <c r="P906" t="s">
        <v>74</v>
      </c>
      <c r="Q906" t="s">
        <v>74</v>
      </c>
      <c r="R906" t="s">
        <v>74</v>
      </c>
      <c r="S906" t="s">
        <v>74</v>
      </c>
      <c r="T906" t="s">
        <v>17600</v>
      </c>
      <c r="U906" t="s">
        <v>17601</v>
      </c>
      <c r="V906" t="s">
        <v>17602</v>
      </c>
      <c r="W906" t="s">
        <v>17603</v>
      </c>
      <c r="X906" t="s">
        <v>17604</v>
      </c>
      <c r="Y906" t="s">
        <v>17605</v>
      </c>
      <c r="Z906" t="s">
        <v>17606</v>
      </c>
      <c r="AA906" t="s">
        <v>17607</v>
      </c>
      <c r="AB906" t="s">
        <v>17608</v>
      </c>
      <c r="AC906" t="s">
        <v>17609</v>
      </c>
      <c r="AD906" t="s">
        <v>17610</v>
      </c>
      <c r="AE906" t="s">
        <v>17611</v>
      </c>
      <c r="AF906" t="s">
        <v>74</v>
      </c>
      <c r="AG906">
        <v>53</v>
      </c>
      <c r="AH906">
        <v>2</v>
      </c>
      <c r="AI906">
        <v>2</v>
      </c>
      <c r="AJ906">
        <v>2</v>
      </c>
      <c r="AK906">
        <v>10</v>
      </c>
      <c r="AL906" t="s">
        <v>1766</v>
      </c>
      <c r="AM906" t="s">
        <v>1767</v>
      </c>
      <c r="AN906" t="s">
        <v>1768</v>
      </c>
      <c r="AO906" t="s">
        <v>74</v>
      </c>
      <c r="AP906" t="s">
        <v>2069</v>
      </c>
      <c r="AQ906" t="s">
        <v>74</v>
      </c>
      <c r="AR906" t="s">
        <v>2070</v>
      </c>
      <c r="AS906" t="s">
        <v>2071</v>
      </c>
      <c r="AT906" t="s">
        <v>6497</v>
      </c>
      <c r="AU906">
        <v>2022</v>
      </c>
      <c r="AV906">
        <v>10</v>
      </c>
      <c r="AW906">
        <v>3</v>
      </c>
      <c r="AX906" t="s">
        <v>74</v>
      </c>
      <c r="AY906" t="s">
        <v>74</v>
      </c>
      <c r="AZ906" t="s">
        <v>74</v>
      </c>
      <c r="BA906" t="s">
        <v>74</v>
      </c>
      <c r="BB906" t="s">
        <v>74</v>
      </c>
      <c r="BC906" t="s">
        <v>74</v>
      </c>
      <c r="BD906">
        <v>412</v>
      </c>
      <c r="BE906" t="s">
        <v>17612</v>
      </c>
      <c r="BF906" t="str">
        <f>HYPERLINK("http://dx.doi.org/10.3390/jmse10030412","http://dx.doi.org/10.3390/jmse10030412")</f>
        <v>http://dx.doi.org/10.3390/jmse10030412</v>
      </c>
      <c r="BG906" t="s">
        <v>74</v>
      </c>
      <c r="BH906" t="s">
        <v>74</v>
      </c>
      <c r="BI906">
        <v>20</v>
      </c>
      <c r="BJ906" t="s">
        <v>2073</v>
      </c>
      <c r="BK906" t="s">
        <v>101</v>
      </c>
      <c r="BL906" t="s">
        <v>2074</v>
      </c>
      <c r="BM906" t="s">
        <v>17613</v>
      </c>
      <c r="BN906" t="s">
        <v>74</v>
      </c>
      <c r="BO906" t="s">
        <v>438</v>
      </c>
      <c r="BP906" t="s">
        <v>74</v>
      </c>
      <c r="BQ906" t="s">
        <v>74</v>
      </c>
      <c r="BR906" t="s">
        <v>103</v>
      </c>
      <c r="BS906" t="s">
        <v>17614</v>
      </c>
      <c r="BT906" t="str">
        <f>HYPERLINK("https%3A%2F%2Fwww.webofscience.com%2Fwos%2Fwoscc%2Ffull-record%2FWOS:000774849500001","View Full Record in Web of Science")</f>
        <v>View Full Record in Web of Science</v>
      </c>
    </row>
    <row r="907" spans="1:72" x14ac:dyDescent="0.15">
      <c r="A907" t="s">
        <v>72</v>
      </c>
      <c r="B907" t="s">
        <v>17615</v>
      </c>
      <c r="C907" t="s">
        <v>74</v>
      </c>
      <c r="D907" t="s">
        <v>74</v>
      </c>
      <c r="E907" t="s">
        <v>74</v>
      </c>
      <c r="F907" t="s">
        <v>17616</v>
      </c>
      <c r="G907" t="s">
        <v>74</v>
      </c>
      <c r="H907" t="s">
        <v>74</v>
      </c>
      <c r="I907" t="s">
        <v>17617</v>
      </c>
      <c r="J907" t="s">
        <v>2056</v>
      </c>
      <c r="K907" t="s">
        <v>74</v>
      </c>
      <c r="L907" t="s">
        <v>74</v>
      </c>
      <c r="M907" t="s">
        <v>78</v>
      </c>
      <c r="N907" t="s">
        <v>79</v>
      </c>
      <c r="O907" t="s">
        <v>74</v>
      </c>
      <c r="P907" t="s">
        <v>74</v>
      </c>
      <c r="Q907" t="s">
        <v>74</v>
      </c>
      <c r="R907" t="s">
        <v>74</v>
      </c>
      <c r="S907" t="s">
        <v>74</v>
      </c>
      <c r="T907" t="s">
        <v>17618</v>
      </c>
      <c r="U907" t="s">
        <v>17619</v>
      </c>
      <c r="V907" t="s">
        <v>17620</v>
      </c>
      <c r="W907" t="s">
        <v>17621</v>
      </c>
      <c r="X907" t="s">
        <v>17622</v>
      </c>
      <c r="Y907" t="s">
        <v>17623</v>
      </c>
      <c r="Z907" t="s">
        <v>17624</v>
      </c>
      <c r="AA907" t="s">
        <v>17625</v>
      </c>
      <c r="AB907" t="s">
        <v>17626</v>
      </c>
      <c r="AC907" t="s">
        <v>17627</v>
      </c>
      <c r="AD907" t="s">
        <v>17628</v>
      </c>
      <c r="AE907" t="s">
        <v>17629</v>
      </c>
      <c r="AF907" t="s">
        <v>74</v>
      </c>
      <c r="AG907">
        <v>62</v>
      </c>
      <c r="AH907">
        <v>3</v>
      </c>
      <c r="AI907">
        <v>4</v>
      </c>
      <c r="AJ907">
        <v>1</v>
      </c>
      <c r="AK907">
        <v>3</v>
      </c>
      <c r="AL907" t="s">
        <v>1766</v>
      </c>
      <c r="AM907" t="s">
        <v>1767</v>
      </c>
      <c r="AN907" t="s">
        <v>1768</v>
      </c>
      <c r="AO907" t="s">
        <v>74</v>
      </c>
      <c r="AP907" t="s">
        <v>2069</v>
      </c>
      <c r="AQ907" t="s">
        <v>74</v>
      </c>
      <c r="AR907" t="s">
        <v>2070</v>
      </c>
      <c r="AS907" t="s">
        <v>2071</v>
      </c>
      <c r="AT907" t="s">
        <v>6497</v>
      </c>
      <c r="AU907">
        <v>2022</v>
      </c>
      <c r="AV907">
        <v>10</v>
      </c>
      <c r="AW907">
        <v>3</v>
      </c>
      <c r="AX907" t="s">
        <v>74</v>
      </c>
      <c r="AY907" t="s">
        <v>74</v>
      </c>
      <c r="AZ907" t="s">
        <v>74</v>
      </c>
      <c r="BA907" t="s">
        <v>74</v>
      </c>
      <c r="BB907" t="s">
        <v>74</v>
      </c>
      <c r="BC907" t="s">
        <v>74</v>
      </c>
      <c r="BD907">
        <v>401</v>
      </c>
      <c r="BE907" t="s">
        <v>17630</v>
      </c>
      <c r="BF907" t="str">
        <f>HYPERLINK("http://dx.doi.org/10.3390/jmse10030401","http://dx.doi.org/10.3390/jmse10030401")</f>
        <v>http://dx.doi.org/10.3390/jmse10030401</v>
      </c>
      <c r="BG907" t="s">
        <v>74</v>
      </c>
      <c r="BH907" t="s">
        <v>74</v>
      </c>
      <c r="BI907">
        <v>24</v>
      </c>
      <c r="BJ907" t="s">
        <v>2073</v>
      </c>
      <c r="BK907" t="s">
        <v>101</v>
      </c>
      <c r="BL907" t="s">
        <v>2074</v>
      </c>
      <c r="BM907" t="s">
        <v>17631</v>
      </c>
      <c r="BN907" t="s">
        <v>74</v>
      </c>
      <c r="BO907" t="s">
        <v>438</v>
      </c>
      <c r="BP907" t="s">
        <v>74</v>
      </c>
      <c r="BQ907" t="s">
        <v>74</v>
      </c>
      <c r="BR907" t="s">
        <v>103</v>
      </c>
      <c r="BS907" t="s">
        <v>17632</v>
      </c>
      <c r="BT907" t="str">
        <f>HYPERLINK("https%3A%2F%2Fwww.webofscience.com%2Fwos%2Fwoscc%2Ffull-record%2FWOS:000774794300001","View Full Record in Web of Science")</f>
        <v>View Full Record in Web of Science</v>
      </c>
    </row>
    <row r="908" spans="1:72" x14ac:dyDescent="0.15">
      <c r="A908" t="s">
        <v>72</v>
      </c>
      <c r="B908" t="s">
        <v>17633</v>
      </c>
      <c r="C908" t="s">
        <v>74</v>
      </c>
      <c r="D908" t="s">
        <v>74</v>
      </c>
      <c r="E908" t="s">
        <v>74</v>
      </c>
      <c r="F908" t="s">
        <v>17634</v>
      </c>
      <c r="G908" t="s">
        <v>74</v>
      </c>
      <c r="H908" t="s">
        <v>74</v>
      </c>
      <c r="I908" t="s">
        <v>17635</v>
      </c>
      <c r="J908" t="s">
        <v>17636</v>
      </c>
      <c r="K908" t="s">
        <v>74</v>
      </c>
      <c r="L908" t="s">
        <v>74</v>
      </c>
      <c r="M908" t="s">
        <v>17637</v>
      </c>
      <c r="N908" t="s">
        <v>79</v>
      </c>
      <c r="O908" t="s">
        <v>74</v>
      </c>
      <c r="P908" t="s">
        <v>74</v>
      </c>
      <c r="Q908" t="s">
        <v>74</v>
      </c>
      <c r="R908" t="s">
        <v>74</v>
      </c>
      <c r="S908" t="s">
        <v>74</v>
      </c>
      <c r="T908" t="s">
        <v>17638</v>
      </c>
      <c r="U908" t="s">
        <v>74</v>
      </c>
      <c r="V908" t="s">
        <v>17639</v>
      </c>
      <c r="W908" t="s">
        <v>17640</v>
      </c>
      <c r="X908" t="s">
        <v>17641</v>
      </c>
      <c r="Y908" t="s">
        <v>17642</v>
      </c>
      <c r="Z908" t="s">
        <v>17643</v>
      </c>
      <c r="AA908" t="s">
        <v>17644</v>
      </c>
      <c r="AB908" t="s">
        <v>17645</v>
      </c>
      <c r="AC908" t="s">
        <v>74</v>
      </c>
      <c r="AD908" t="s">
        <v>74</v>
      </c>
      <c r="AE908" t="s">
        <v>74</v>
      </c>
      <c r="AF908" t="s">
        <v>74</v>
      </c>
      <c r="AG908">
        <v>28</v>
      </c>
      <c r="AH908">
        <v>0</v>
      </c>
      <c r="AI908">
        <v>0</v>
      </c>
      <c r="AJ908">
        <v>0</v>
      </c>
      <c r="AK908">
        <v>1</v>
      </c>
      <c r="AL908" t="s">
        <v>17646</v>
      </c>
      <c r="AM908" t="s">
        <v>1617</v>
      </c>
      <c r="AN908" t="s">
        <v>17647</v>
      </c>
      <c r="AO908" t="s">
        <v>17648</v>
      </c>
      <c r="AP908" t="s">
        <v>17649</v>
      </c>
      <c r="AQ908" t="s">
        <v>74</v>
      </c>
      <c r="AR908" t="s">
        <v>17650</v>
      </c>
      <c r="AS908" t="s">
        <v>17651</v>
      </c>
      <c r="AT908" t="s">
        <v>6497</v>
      </c>
      <c r="AU908">
        <v>2022</v>
      </c>
      <c r="AV908">
        <v>58</v>
      </c>
      <c r="AW908">
        <v>1</v>
      </c>
      <c r="AX908" t="s">
        <v>74</v>
      </c>
      <c r="AY908" t="s">
        <v>74</v>
      </c>
      <c r="AZ908" t="s">
        <v>74</v>
      </c>
      <c r="BA908" t="s">
        <v>74</v>
      </c>
      <c r="BB908">
        <v>67</v>
      </c>
      <c r="BC908">
        <v>81</v>
      </c>
      <c r="BD908" t="s">
        <v>74</v>
      </c>
      <c r="BE908" t="s">
        <v>17652</v>
      </c>
      <c r="BF908" t="str">
        <f>HYPERLINK("http://dx.doi.org/10.14770/jgsk.2022.58.1.67","http://dx.doi.org/10.14770/jgsk.2022.58.1.67")</f>
        <v>http://dx.doi.org/10.14770/jgsk.2022.58.1.67</v>
      </c>
      <c r="BG908" t="s">
        <v>74</v>
      </c>
      <c r="BH908" t="s">
        <v>74</v>
      </c>
      <c r="BI908">
        <v>15</v>
      </c>
      <c r="BJ908" t="s">
        <v>265</v>
      </c>
      <c r="BK908" t="s">
        <v>839</v>
      </c>
      <c r="BL908" t="s">
        <v>100</v>
      </c>
      <c r="BM908" t="s">
        <v>17653</v>
      </c>
      <c r="BN908" t="s">
        <v>74</v>
      </c>
      <c r="BO908" t="s">
        <v>74</v>
      </c>
      <c r="BP908" t="s">
        <v>74</v>
      </c>
      <c r="BQ908" t="s">
        <v>74</v>
      </c>
      <c r="BR908" t="s">
        <v>103</v>
      </c>
      <c r="BS908" t="s">
        <v>17654</v>
      </c>
      <c r="BT908" t="str">
        <f>HYPERLINK("https%3A%2F%2Fwww.webofscience.com%2Fwos%2Fwoscc%2Ffull-record%2FWOS:000775990500001","View Full Record in Web of Science")</f>
        <v>View Full Record in Web of Science</v>
      </c>
    </row>
    <row r="909" spans="1:72" x14ac:dyDescent="0.15">
      <c r="A909" t="s">
        <v>72</v>
      </c>
      <c r="B909" t="s">
        <v>17655</v>
      </c>
      <c r="C909" t="s">
        <v>74</v>
      </c>
      <c r="D909" t="s">
        <v>74</v>
      </c>
      <c r="E909" t="s">
        <v>74</v>
      </c>
      <c r="F909" t="s">
        <v>17656</v>
      </c>
      <c r="G909" t="s">
        <v>74</v>
      </c>
      <c r="H909" t="s">
        <v>74</v>
      </c>
      <c r="I909" t="s">
        <v>17657</v>
      </c>
      <c r="J909" t="s">
        <v>1923</v>
      </c>
      <c r="K909" t="s">
        <v>74</v>
      </c>
      <c r="L909" t="s">
        <v>74</v>
      </c>
      <c r="M909" t="s">
        <v>78</v>
      </c>
      <c r="N909" t="s">
        <v>79</v>
      </c>
      <c r="O909" t="s">
        <v>74</v>
      </c>
      <c r="P909" t="s">
        <v>74</v>
      </c>
      <c r="Q909" t="s">
        <v>74</v>
      </c>
      <c r="R909" t="s">
        <v>74</v>
      </c>
      <c r="S909" t="s">
        <v>74</v>
      </c>
      <c r="T909" t="s">
        <v>17658</v>
      </c>
      <c r="U909" t="s">
        <v>17659</v>
      </c>
      <c r="V909" t="s">
        <v>17660</v>
      </c>
      <c r="W909" t="s">
        <v>17661</v>
      </c>
      <c r="X909" t="s">
        <v>17662</v>
      </c>
      <c r="Y909" t="s">
        <v>17663</v>
      </c>
      <c r="Z909" t="s">
        <v>17664</v>
      </c>
      <c r="AA909" t="s">
        <v>17665</v>
      </c>
      <c r="AB909" t="s">
        <v>17666</v>
      </c>
      <c r="AC909" t="s">
        <v>17667</v>
      </c>
      <c r="AD909" t="s">
        <v>17668</v>
      </c>
      <c r="AE909" t="s">
        <v>17669</v>
      </c>
      <c r="AF909" t="s">
        <v>74</v>
      </c>
      <c r="AG909">
        <v>58</v>
      </c>
      <c r="AH909">
        <v>3</v>
      </c>
      <c r="AI909">
        <v>3</v>
      </c>
      <c r="AJ909">
        <v>6</v>
      </c>
      <c r="AK909">
        <v>26</v>
      </c>
      <c r="AL909" t="s">
        <v>1766</v>
      </c>
      <c r="AM909" t="s">
        <v>1767</v>
      </c>
      <c r="AN909" t="s">
        <v>1768</v>
      </c>
      <c r="AO909" t="s">
        <v>74</v>
      </c>
      <c r="AP909" t="s">
        <v>1935</v>
      </c>
      <c r="AQ909" t="s">
        <v>74</v>
      </c>
      <c r="AR909" t="s">
        <v>1936</v>
      </c>
      <c r="AS909" t="s">
        <v>1937</v>
      </c>
      <c r="AT909" t="s">
        <v>6497</v>
      </c>
      <c r="AU909">
        <v>2022</v>
      </c>
      <c r="AV909">
        <v>14</v>
      </c>
      <c r="AW909">
        <v>6</v>
      </c>
      <c r="AX909" t="s">
        <v>74</v>
      </c>
      <c r="AY909" t="s">
        <v>74</v>
      </c>
      <c r="AZ909" t="s">
        <v>74</v>
      </c>
      <c r="BA909" t="s">
        <v>74</v>
      </c>
      <c r="BB909" t="s">
        <v>74</v>
      </c>
      <c r="BC909" t="s">
        <v>74</v>
      </c>
      <c r="BD909">
        <v>1496</v>
      </c>
      <c r="BE909" t="s">
        <v>17670</v>
      </c>
      <c r="BF909" t="str">
        <f>HYPERLINK("http://dx.doi.org/10.3390/rs14061496","http://dx.doi.org/10.3390/rs14061496")</f>
        <v>http://dx.doi.org/10.3390/rs14061496</v>
      </c>
      <c r="BG909" t="s">
        <v>74</v>
      </c>
      <c r="BH909" t="s">
        <v>74</v>
      </c>
      <c r="BI909">
        <v>13</v>
      </c>
      <c r="BJ909" t="s">
        <v>1939</v>
      </c>
      <c r="BK909" t="s">
        <v>101</v>
      </c>
      <c r="BL909" t="s">
        <v>1940</v>
      </c>
      <c r="BM909" t="s">
        <v>17671</v>
      </c>
      <c r="BN909" t="s">
        <v>74</v>
      </c>
      <c r="BO909" t="s">
        <v>2560</v>
      </c>
      <c r="BP909" t="s">
        <v>74</v>
      </c>
      <c r="BQ909" t="s">
        <v>74</v>
      </c>
      <c r="BR909" t="s">
        <v>103</v>
      </c>
      <c r="BS909" t="s">
        <v>17672</v>
      </c>
      <c r="BT909" t="str">
        <f>HYPERLINK("https%3A%2F%2Fwww.webofscience.com%2Fwos%2Fwoscc%2Ffull-record%2FWOS:000774373600001","View Full Record in Web of Science")</f>
        <v>View Full Record in Web of Science</v>
      </c>
    </row>
    <row r="910" spans="1:72" x14ac:dyDescent="0.15">
      <c r="A910" t="s">
        <v>72</v>
      </c>
      <c r="B910" t="s">
        <v>17673</v>
      </c>
      <c r="C910" t="s">
        <v>74</v>
      </c>
      <c r="D910" t="s">
        <v>74</v>
      </c>
      <c r="E910" t="s">
        <v>74</v>
      </c>
      <c r="F910" t="s">
        <v>17674</v>
      </c>
      <c r="G910" t="s">
        <v>74</v>
      </c>
      <c r="H910" t="s">
        <v>74</v>
      </c>
      <c r="I910" t="s">
        <v>17675</v>
      </c>
      <c r="J910" t="s">
        <v>1923</v>
      </c>
      <c r="K910" t="s">
        <v>74</v>
      </c>
      <c r="L910" t="s">
        <v>74</v>
      </c>
      <c r="M910" t="s">
        <v>78</v>
      </c>
      <c r="N910" t="s">
        <v>79</v>
      </c>
      <c r="O910" t="s">
        <v>74</v>
      </c>
      <c r="P910" t="s">
        <v>74</v>
      </c>
      <c r="Q910" t="s">
        <v>74</v>
      </c>
      <c r="R910" t="s">
        <v>74</v>
      </c>
      <c r="S910" t="s">
        <v>74</v>
      </c>
      <c r="T910" t="s">
        <v>17676</v>
      </c>
      <c r="U910" t="s">
        <v>17677</v>
      </c>
      <c r="V910" t="s">
        <v>17678</v>
      </c>
      <c r="W910" t="s">
        <v>17679</v>
      </c>
      <c r="X910" t="s">
        <v>7176</v>
      </c>
      <c r="Y910" t="s">
        <v>17680</v>
      </c>
      <c r="Z910" t="s">
        <v>17681</v>
      </c>
      <c r="AA910" t="s">
        <v>74</v>
      </c>
      <c r="AB910" t="s">
        <v>7179</v>
      </c>
      <c r="AC910" t="s">
        <v>17682</v>
      </c>
      <c r="AD910" t="s">
        <v>17683</v>
      </c>
      <c r="AE910" t="s">
        <v>17684</v>
      </c>
      <c r="AF910" t="s">
        <v>74</v>
      </c>
      <c r="AG910">
        <v>80</v>
      </c>
      <c r="AH910">
        <v>3</v>
      </c>
      <c r="AI910">
        <v>3</v>
      </c>
      <c r="AJ910">
        <v>2</v>
      </c>
      <c r="AK910">
        <v>9</v>
      </c>
      <c r="AL910" t="s">
        <v>1766</v>
      </c>
      <c r="AM910" t="s">
        <v>1767</v>
      </c>
      <c r="AN910" t="s">
        <v>1768</v>
      </c>
      <c r="AO910" t="s">
        <v>74</v>
      </c>
      <c r="AP910" t="s">
        <v>1935</v>
      </c>
      <c r="AQ910" t="s">
        <v>74</v>
      </c>
      <c r="AR910" t="s">
        <v>1936</v>
      </c>
      <c r="AS910" t="s">
        <v>1937</v>
      </c>
      <c r="AT910" t="s">
        <v>6497</v>
      </c>
      <c r="AU910">
        <v>2022</v>
      </c>
      <c r="AV910">
        <v>14</v>
      </c>
      <c r="AW910">
        <v>6</v>
      </c>
      <c r="AX910" t="s">
        <v>74</v>
      </c>
      <c r="AY910" t="s">
        <v>74</v>
      </c>
      <c r="AZ910" t="s">
        <v>74</v>
      </c>
      <c r="BA910" t="s">
        <v>74</v>
      </c>
      <c r="BB910" t="s">
        <v>74</v>
      </c>
      <c r="BC910" t="s">
        <v>74</v>
      </c>
      <c r="BD910">
        <v>1318</v>
      </c>
      <c r="BE910" t="s">
        <v>17685</v>
      </c>
      <c r="BF910" t="str">
        <f>HYPERLINK("http://dx.doi.org/10.3390/rs14061318","http://dx.doi.org/10.3390/rs14061318")</f>
        <v>http://dx.doi.org/10.3390/rs14061318</v>
      </c>
      <c r="BG910" t="s">
        <v>74</v>
      </c>
      <c r="BH910" t="s">
        <v>74</v>
      </c>
      <c r="BI910">
        <v>28</v>
      </c>
      <c r="BJ910" t="s">
        <v>1939</v>
      </c>
      <c r="BK910" t="s">
        <v>101</v>
      </c>
      <c r="BL910" t="s">
        <v>1940</v>
      </c>
      <c r="BM910" t="s">
        <v>17686</v>
      </c>
      <c r="BN910" t="s">
        <v>74</v>
      </c>
      <c r="BO910" t="s">
        <v>438</v>
      </c>
      <c r="BP910" t="s">
        <v>74</v>
      </c>
      <c r="BQ910" t="s">
        <v>74</v>
      </c>
      <c r="BR910" t="s">
        <v>103</v>
      </c>
      <c r="BS910" t="s">
        <v>17687</v>
      </c>
      <c r="BT910" t="str">
        <f>HYPERLINK("https%3A%2F%2Fwww.webofscience.com%2Fwos%2Fwoscc%2Ffull-record%2FWOS:000776413300001","View Full Record in Web of Science")</f>
        <v>View Full Record in Web of Science</v>
      </c>
    </row>
    <row r="911" spans="1:72" x14ac:dyDescent="0.15">
      <c r="A911" t="s">
        <v>72</v>
      </c>
      <c r="B911" t="s">
        <v>17688</v>
      </c>
      <c r="C911" t="s">
        <v>74</v>
      </c>
      <c r="D911" t="s">
        <v>74</v>
      </c>
      <c r="E911" t="s">
        <v>74</v>
      </c>
      <c r="F911" t="s">
        <v>17689</v>
      </c>
      <c r="G911" t="s">
        <v>74</v>
      </c>
      <c r="H911" t="s">
        <v>74</v>
      </c>
      <c r="I911" t="s">
        <v>17690</v>
      </c>
      <c r="J911" t="s">
        <v>1780</v>
      </c>
      <c r="K911" t="s">
        <v>74</v>
      </c>
      <c r="L911" t="s">
        <v>74</v>
      </c>
      <c r="M911" t="s">
        <v>78</v>
      </c>
      <c r="N911" t="s">
        <v>79</v>
      </c>
      <c r="O911" t="s">
        <v>74</v>
      </c>
      <c r="P911" t="s">
        <v>74</v>
      </c>
      <c r="Q911" t="s">
        <v>74</v>
      </c>
      <c r="R911" t="s">
        <v>74</v>
      </c>
      <c r="S911" t="s">
        <v>74</v>
      </c>
      <c r="T911" t="s">
        <v>17691</v>
      </c>
      <c r="U911" t="s">
        <v>17692</v>
      </c>
      <c r="V911" t="s">
        <v>17693</v>
      </c>
      <c r="W911" t="s">
        <v>17694</v>
      </c>
      <c r="X911" t="s">
        <v>17695</v>
      </c>
      <c r="Y911" t="s">
        <v>17696</v>
      </c>
      <c r="Z911" t="s">
        <v>17697</v>
      </c>
      <c r="AA911" t="s">
        <v>17698</v>
      </c>
      <c r="AB911" t="s">
        <v>17699</v>
      </c>
      <c r="AC911" t="s">
        <v>17700</v>
      </c>
      <c r="AD911" t="s">
        <v>17701</v>
      </c>
      <c r="AE911" t="s">
        <v>17702</v>
      </c>
      <c r="AF911" t="s">
        <v>74</v>
      </c>
      <c r="AG911">
        <v>43</v>
      </c>
      <c r="AH911">
        <v>1</v>
      </c>
      <c r="AI911">
        <v>1</v>
      </c>
      <c r="AJ911">
        <v>0</v>
      </c>
      <c r="AK911">
        <v>6</v>
      </c>
      <c r="AL911" t="s">
        <v>1766</v>
      </c>
      <c r="AM911" t="s">
        <v>1767</v>
      </c>
      <c r="AN911" t="s">
        <v>1768</v>
      </c>
      <c r="AO911" t="s">
        <v>74</v>
      </c>
      <c r="AP911" t="s">
        <v>1793</v>
      </c>
      <c r="AQ911" t="s">
        <v>74</v>
      </c>
      <c r="AR911" t="s">
        <v>1794</v>
      </c>
      <c r="AS911" t="s">
        <v>1795</v>
      </c>
      <c r="AT911" t="s">
        <v>6497</v>
      </c>
      <c r="AU911">
        <v>2022</v>
      </c>
      <c r="AV911">
        <v>13</v>
      </c>
      <c r="AW911">
        <v>3</v>
      </c>
      <c r="AX911" t="s">
        <v>74</v>
      </c>
      <c r="AY911" t="s">
        <v>74</v>
      </c>
      <c r="AZ911" t="s">
        <v>74</v>
      </c>
      <c r="BA911" t="s">
        <v>74</v>
      </c>
      <c r="BB911" t="s">
        <v>74</v>
      </c>
      <c r="BC911" t="s">
        <v>74</v>
      </c>
      <c r="BD911">
        <v>402</v>
      </c>
      <c r="BE911" t="s">
        <v>17703</v>
      </c>
      <c r="BF911" t="str">
        <f>HYPERLINK("http://dx.doi.org/10.3390/atmos13030402","http://dx.doi.org/10.3390/atmos13030402")</f>
        <v>http://dx.doi.org/10.3390/atmos13030402</v>
      </c>
      <c r="BG911" t="s">
        <v>74</v>
      </c>
      <c r="BH911" t="s">
        <v>74</v>
      </c>
      <c r="BI911">
        <v>15</v>
      </c>
      <c r="BJ911" t="s">
        <v>1797</v>
      </c>
      <c r="BK911" t="s">
        <v>101</v>
      </c>
      <c r="BL911" t="s">
        <v>957</v>
      </c>
      <c r="BM911" t="s">
        <v>17704</v>
      </c>
      <c r="BN911" t="s">
        <v>74</v>
      </c>
      <c r="BO911" t="s">
        <v>438</v>
      </c>
      <c r="BP911" t="s">
        <v>74</v>
      </c>
      <c r="BQ911" t="s">
        <v>74</v>
      </c>
      <c r="BR911" t="s">
        <v>103</v>
      </c>
      <c r="BS911" t="s">
        <v>17705</v>
      </c>
      <c r="BT911" t="str">
        <f>HYPERLINK("https%3A%2F%2Fwww.webofscience.com%2Fwos%2Fwoscc%2Ffull-record%2FWOS:000776177200001","View Full Record in Web of Science")</f>
        <v>View Full Record in Web of Science</v>
      </c>
    </row>
    <row r="912" spans="1:72" x14ac:dyDescent="0.15">
      <c r="A912" t="s">
        <v>72</v>
      </c>
      <c r="B912" t="s">
        <v>17706</v>
      </c>
      <c r="C912" t="s">
        <v>74</v>
      </c>
      <c r="D912" t="s">
        <v>74</v>
      </c>
      <c r="E912" t="s">
        <v>74</v>
      </c>
      <c r="F912" t="s">
        <v>17707</v>
      </c>
      <c r="G912" t="s">
        <v>74</v>
      </c>
      <c r="H912" t="s">
        <v>74</v>
      </c>
      <c r="I912" t="s">
        <v>17708</v>
      </c>
      <c r="J912" t="s">
        <v>2359</v>
      </c>
      <c r="K912" t="s">
        <v>74</v>
      </c>
      <c r="L912" t="s">
        <v>74</v>
      </c>
      <c r="M912" t="s">
        <v>78</v>
      </c>
      <c r="N912" t="s">
        <v>79</v>
      </c>
      <c r="O912" t="s">
        <v>74</v>
      </c>
      <c r="P912" t="s">
        <v>74</v>
      </c>
      <c r="Q912" t="s">
        <v>74</v>
      </c>
      <c r="R912" t="s">
        <v>74</v>
      </c>
      <c r="S912" t="s">
        <v>74</v>
      </c>
      <c r="T912" t="s">
        <v>17709</v>
      </c>
      <c r="U912" t="s">
        <v>17710</v>
      </c>
      <c r="V912" t="s">
        <v>17711</v>
      </c>
      <c r="W912" t="s">
        <v>17712</v>
      </c>
      <c r="X912" t="s">
        <v>17713</v>
      </c>
      <c r="Y912" t="s">
        <v>17714</v>
      </c>
      <c r="Z912" t="s">
        <v>6013</v>
      </c>
      <c r="AA912" t="s">
        <v>17715</v>
      </c>
      <c r="AB912" t="s">
        <v>17716</v>
      </c>
      <c r="AC912" t="s">
        <v>17717</v>
      </c>
      <c r="AD912" t="s">
        <v>17718</v>
      </c>
      <c r="AE912" t="s">
        <v>17719</v>
      </c>
      <c r="AF912" t="s">
        <v>74</v>
      </c>
      <c r="AG912">
        <v>101</v>
      </c>
      <c r="AH912">
        <v>8</v>
      </c>
      <c r="AI912">
        <v>8</v>
      </c>
      <c r="AJ912">
        <v>0</v>
      </c>
      <c r="AK912">
        <v>4</v>
      </c>
      <c r="AL912" t="s">
        <v>2042</v>
      </c>
      <c r="AM912" t="s">
        <v>2043</v>
      </c>
      <c r="AN912" t="s">
        <v>2044</v>
      </c>
      <c r="AO912" t="s">
        <v>74</v>
      </c>
      <c r="AP912" t="s">
        <v>2371</v>
      </c>
      <c r="AQ912" t="s">
        <v>74</v>
      </c>
      <c r="AR912" t="s">
        <v>2372</v>
      </c>
      <c r="AS912" t="s">
        <v>2373</v>
      </c>
      <c r="AT912" t="s">
        <v>6497</v>
      </c>
      <c r="AU912">
        <v>2022</v>
      </c>
      <c r="AV912">
        <v>14</v>
      </c>
      <c r="AW912">
        <v>3</v>
      </c>
      <c r="AX912" t="s">
        <v>74</v>
      </c>
      <c r="AY912" t="s">
        <v>74</v>
      </c>
      <c r="AZ912" t="s">
        <v>74</v>
      </c>
      <c r="BA912" t="s">
        <v>74</v>
      </c>
      <c r="BB912" t="s">
        <v>74</v>
      </c>
      <c r="BC912" t="s">
        <v>74</v>
      </c>
      <c r="BD912" t="s">
        <v>17720</v>
      </c>
      <c r="BE912" t="s">
        <v>17721</v>
      </c>
      <c r="BF912" t="str">
        <f>HYPERLINK("http://dx.doi.org/10.1029/2021MS002914","http://dx.doi.org/10.1029/2021MS002914")</f>
        <v>http://dx.doi.org/10.1029/2021MS002914</v>
      </c>
      <c r="BG912" t="s">
        <v>74</v>
      </c>
      <c r="BH912" t="s">
        <v>74</v>
      </c>
      <c r="BI912">
        <v>22</v>
      </c>
      <c r="BJ912" t="s">
        <v>510</v>
      </c>
      <c r="BK912" t="s">
        <v>101</v>
      </c>
      <c r="BL912" t="s">
        <v>510</v>
      </c>
      <c r="BM912" t="s">
        <v>17722</v>
      </c>
      <c r="BN912" t="s">
        <v>74</v>
      </c>
      <c r="BO912" t="s">
        <v>438</v>
      </c>
      <c r="BP912" t="s">
        <v>74</v>
      </c>
      <c r="BQ912" t="s">
        <v>74</v>
      </c>
      <c r="BR912" t="s">
        <v>103</v>
      </c>
      <c r="BS912" t="s">
        <v>17723</v>
      </c>
      <c r="BT912" t="str">
        <f>HYPERLINK("https%3A%2F%2Fwww.webofscience.com%2Fwos%2Fwoscc%2Ffull-record%2FWOS:000775587200001","View Full Record in Web of Science")</f>
        <v>View Full Record in Web of Science</v>
      </c>
    </row>
    <row r="913" spans="1:72" x14ac:dyDescent="0.15">
      <c r="A913" t="s">
        <v>72</v>
      </c>
      <c r="B913" t="s">
        <v>17724</v>
      </c>
      <c r="C913" t="s">
        <v>74</v>
      </c>
      <c r="D913" t="s">
        <v>74</v>
      </c>
      <c r="E913" t="s">
        <v>74</v>
      </c>
      <c r="F913" t="s">
        <v>17725</v>
      </c>
      <c r="G913" t="s">
        <v>74</v>
      </c>
      <c r="H913" t="s">
        <v>74</v>
      </c>
      <c r="I913" t="s">
        <v>17726</v>
      </c>
      <c r="J913" t="s">
        <v>12742</v>
      </c>
      <c r="K913" t="s">
        <v>74</v>
      </c>
      <c r="L913" t="s">
        <v>74</v>
      </c>
      <c r="M913" t="s">
        <v>78</v>
      </c>
      <c r="N913" t="s">
        <v>79</v>
      </c>
      <c r="O913" t="s">
        <v>74</v>
      </c>
      <c r="P913" t="s">
        <v>74</v>
      </c>
      <c r="Q913" t="s">
        <v>74</v>
      </c>
      <c r="R913" t="s">
        <v>74</v>
      </c>
      <c r="S913" t="s">
        <v>74</v>
      </c>
      <c r="T913" t="s">
        <v>74</v>
      </c>
      <c r="U913" t="s">
        <v>17727</v>
      </c>
      <c r="V913" t="s">
        <v>17728</v>
      </c>
      <c r="W913" t="s">
        <v>17729</v>
      </c>
      <c r="X913" t="s">
        <v>17730</v>
      </c>
      <c r="Y913" t="s">
        <v>17731</v>
      </c>
      <c r="Z913" t="s">
        <v>17732</v>
      </c>
      <c r="AA913" t="s">
        <v>74</v>
      </c>
      <c r="AB913" t="s">
        <v>17733</v>
      </c>
      <c r="AC913" t="s">
        <v>17734</v>
      </c>
      <c r="AD913" t="s">
        <v>17735</v>
      </c>
      <c r="AE913" t="s">
        <v>17736</v>
      </c>
      <c r="AF913" t="s">
        <v>74</v>
      </c>
      <c r="AG913">
        <v>174</v>
      </c>
      <c r="AH913">
        <v>4</v>
      </c>
      <c r="AI913">
        <v>4</v>
      </c>
      <c r="AJ913">
        <v>3</v>
      </c>
      <c r="AK913">
        <v>14</v>
      </c>
      <c r="AL913" t="s">
        <v>2042</v>
      </c>
      <c r="AM913" t="s">
        <v>2043</v>
      </c>
      <c r="AN913" t="s">
        <v>2044</v>
      </c>
      <c r="AO913" t="s">
        <v>12755</v>
      </c>
      <c r="AP913" t="s">
        <v>12756</v>
      </c>
      <c r="AQ913" t="s">
        <v>74</v>
      </c>
      <c r="AR913" t="s">
        <v>12757</v>
      </c>
      <c r="AS913" t="s">
        <v>12758</v>
      </c>
      <c r="AT913" t="s">
        <v>6497</v>
      </c>
      <c r="AU913">
        <v>2022</v>
      </c>
      <c r="AV913">
        <v>127</v>
      </c>
      <c r="AW913">
        <v>3</v>
      </c>
      <c r="AX913" t="s">
        <v>74</v>
      </c>
      <c r="AY913" t="s">
        <v>74</v>
      </c>
      <c r="AZ913" t="s">
        <v>74</v>
      </c>
      <c r="BA913" t="s">
        <v>74</v>
      </c>
      <c r="BB913" t="s">
        <v>74</v>
      </c>
      <c r="BC913" t="s">
        <v>74</v>
      </c>
      <c r="BD913" t="s">
        <v>17737</v>
      </c>
      <c r="BE913" t="s">
        <v>17738</v>
      </c>
      <c r="BF913" t="str">
        <f>HYPERLINK("http://dx.doi.org/10.1029/2021JB023329","http://dx.doi.org/10.1029/2021JB023329")</f>
        <v>http://dx.doi.org/10.1029/2021JB023329</v>
      </c>
      <c r="BG913" t="s">
        <v>74</v>
      </c>
      <c r="BH913" t="s">
        <v>74</v>
      </c>
      <c r="BI913">
        <v>31</v>
      </c>
      <c r="BJ913" t="s">
        <v>2144</v>
      </c>
      <c r="BK913" t="s">
        <v>101</v>
      </c>
      <c r="BL913" t="s">
        <v>2144</v>
      </c>
      <c r="BM913" t="s">
        <v>17739</v>
      </c>
      <c r="BN913" t="s">
        <v>74</v>
      </c>
      <c r="BO913" t="s">
        <v>267</v>
      </c>
      <c r="BP913" t="s">
        <v>74</v>
      </c>
      <c r="BQ913" t="s">
        <v>74</v>
      </c>
      <c r="BR913" t="s">
        <v>103</v>
      </c>
      <c r="BS913" t="s">
        <v>17740</v>
      </c>
      <c r="BT913" t="str">
        <f>HYPERLINK("https%3A%2F%2Fwww.webofscience.com%2Fwos%2Fwoscc%2Ffull-record%2FWOS:000775581100001","View Full Record in Web of Science")</f>
        <v>View Full Record in Web of Science</v>
      </c>
    </row>
    <row r="914" spans="1:72" x14ac:dyDescent="0.15">
      <c r="A914" t="s">
        <v>72</v>
      </c>
      <c r="B914" t="s">
        <v>17741</v>
      </c>
      <c r="C914" t="s">
        <v>74</v>
      </c>
      <c r="D914" t="s">
        <v>74</v>
      </c>
      <c r="E914" t="s">
        <v>74</v>
      </c>
      <c r="F914" t="s">
        <v>17742</v>
      </c>
      <c r="G914" t="s">
        <v>74</v>
      </c>
      <c r="H914" t="s">
        <v>74</v>
      </c>
      <c r="I914" t="s">
        <v>17743</v>
      </c>
      <c r="J914" t="s">
        <v>12276</v>
      </c>
      <c r="K914" t="s">
        <v>74</v>
      </c>
      <c r="L914" t="s">
        <v>74</v>
      </c>
      <c r="M914" t="s">
        <v>78</v>
      </c>
      <c r="N914" t="s">
        <v>79</v>
      </c>
      <c r="O914" t="s">
        <v>74</v>
      </c>
      <c r="P914" t="s">
        <v>74</v>
      </c>
      <c r="Q914" t="s">
        <v>74</v>
      </c>
      <c r="R914" t="s">
        <v>74</v>
      </c>
      <c r="S914" t="s">
        <v>74</v>
      </c>
      <c r="T914" t="s">
        <v>17744</v>
      </c>
      <c r="U914" t="s">
        <v>17745</v>
      </c>
      <c r="V914" t="s">
        <v>17746</v>
      </c>
      <c r="W914" t="s">
        <v>17747</v>
      </c>
      <c r="X914" t="s">
        <v>17748</v>
      </c>
      <c r="Y914" t="s">
        <v>17749</v>
      </c>
      <c r="Z914" t="s">
        <v>17750</v>
      </c>
      <c r="AA914" t="s">
        <v>74</v>
      </c>
      <c r="AB914" t="s">
        <v>17751</v>
      </c>
      <c r="AC914" t="s">
        <v>74</v>
      </c>
      <c r="AD914" t="s">
        <v>74</v>
      </c>
      <c r="AE914" t="s">
        <v>74</v>
      </c>
      <c r="AF914" t="s">
        <v>74</v>
      </c>
      <c r="AG914">
        <v>265</v>
      </c>
      <c r="AH914">
        <v>1</v>
      </c>
      <c r="AI914">
        <v>1</v>
      </c>
      <c r="AJ914">
        <v>2</v>
      </c>
      <c r="AK914">
        <v>15</v>
      </c>
      <c r="AL914" t="s">
        <v>1766</v>
      </c>
      <c r="AM914" t="s">
        <v>1767</v>
      </c>
      <c r="AN914" t="s">
        <v>1768</v>
      </c>
      <c r="AO914" t="s">
        <v>74</v>
      </c>
      <c r="AP914" t="s">
        <v>12288</v>
      </c>
      <c r="AQ914" t="s">
        <v>74</v>
      </c>
      <c r="AR914" t="s">
        <v>12276</v>
      </c>
      <c r="AS914" t="s">
        <v>12289</v>
      </c>
      <c r="AT914" t="s">
        <v>6497</v>
      </c>
      <c r="AU914">
        <v>2022</v>
      </c>
      <c r="AV914">
        <v>12</v>
      </c>
      <c r="AW914">
        <v>3</v>
      </c>
      <c r="AX914" t="s">
        <v>74</v>
      </c>
      <c r="AY914" t="s">
        <v>74</v>
      </c>
      <c r="AZ914" t="s">
        <v>74</v>
      </c>
      <c r="BA914" t="s">
        <v>74</v>
      </c>
      <c r="BB914" t="s">
        <v>74</v>
      </c>
      <c r="BC914" t="s">
        <v>74</v>
      </c>
      <c r="BD914">
        <v>312</v>
      </c>
      <c r="BE914" t="s">
        <v>17752</v>
      </c>
      <c r="BF914" t="str">
        <f>HYPERLINK("http://dx.doi.org/10.3390/cryst12030312","http://dx.doi.org/10.3390/cryst12030312")</f>
        <v>http://dx.doi.org/10.3390/cryst12030312</v>
      </c>
      <c r="BG914" t="s">
        <v>74</v>
      </c>
      <c r="BH914" t="s">
        <v>74</v>
      </c>
      <c r="BI914">
        <v>31</v>
      </c>
      <c r="BJ914" t="s">
        <v>12291</v>
      </c>
      <c r="BK914" t="s">
        <v>101</v>
      </c>
      <c r="BL914" t="s">
        <v>12292</v>
      </c>
      <c r="BM914" t="s">
        <v>17753</v>
      </c>
      <c r="BN914" t="s">
        <v>74</v>
      </c>
      <c r="BO914" t="s">
        <v>438</v>
      </c>
      <c r="BP914" t="s">
        <v>74</v>
      </c>
      <c r="BQ914" t="s">
        <v>74</v>
      </c>
      <c r="BR914" t="s">
        <v>103</v>
      </c>
      <c r="BS914" t="s">
        <v>17754</v>
      </c>
      <c r="BT914" t="str">
        <f>HYPERLINK("https%3A%2F%2Fwww.webofscience.com%2Fwos%2Fwoscc%2Ffull-record%2FWOS:000775971600001","View Full Record in Web of Science")</f>
        <v>View Full Record in Web of Science</v>
      </c>
    </row>
    <row r="915" spans="1:72" x14ac:dyDescent="0.15">
      <c r="A915" t="s">
        <v>72</v>
      </c>
      <c r="B915" t="s">
        <v>17755</v>
      </c>
      <c r="C915" t="s">
        <v>74</v>
      </c>
      <c r="D915" t="s">
        <v>74</v>
      </c>
      <c r="E915" t="s">
        <v>74</v>
      </c>
      <c r="F915" t="s">
        <v>17756</v>
      </c>
      <c r="G915" t="s">
        <v>74</v>
      </c>
      <c r="H915" t="s">
        <v>74</v>
      </c>
      <c r="I915" t="s">
        <v>17757</v>
      </c>
      <c r="J915" t="s">
        <v>17758</v>
      </c>
      <c r="K915" t="s">
        <v>74</v>
      </c>
      <c r="L915" t="s">
        <v>74</v>
      </c>
      <c r="M915" t="s">
        <v>78</v>
      </c>
      <c r="N915" t="s">
        <v>79</v>
      </c>
      <c r="O915" t="s">
        <v>74</v>
      </c>
      <c r="P915" t="s">
        <v>74</v>
      </c>
      <c r="Q915" t="s">
        <v>74</v>
      </c>
      <c r="R915" t="s">
        <v>74</v>
      </c>
      <c r="S915" t="s">
        <v>74</v>
      </c>
      <c r="T915" t="s">
        <v>17759</v>
      </c>
      <c r="U915" t="s">
        <v>17760</v>
      </c>
      <c r="V915" t="s">
        <v>17761</v>
      </c>
      <c r="W915" t="s">
        <v>17762</v>
      </c>
      <c r="X915" t="s">
        <v>17763</v>
      </c>
      <c r="Y915" t="s">
        <v>17764</v>
      </c>
      <c r="Z915" t="s">
        <v>17765</v>
      </c>
      <c r="AA915" t="s">
        <v>17766</v>
      </c>
      <c r="AB915" t="s">
        <v>17767</v>
      </c>
      <c r="AC915" t="s">
        <v>74</v>
      </c>
      <c r="AD915" t="s">
        <v>74</v>
      </c>
      <c r="AE915" t="s">
        <v>74</v>
      </c>
      <c r="AF915" t="s">
        <v>74</v>
      </c>
      <c r="AG915">
        <v>33</v>
      </c>
      <c r="AH915">
        <v>2</v>
      </c>
      <c r="AI915">
        <v>2</v>
      </c>
      <c r="AJ915">
        <v>0</v>
      </c>
      <c r="AK915">
        <v>1</v>
      </c>
      <c r="AL915" t="s">
        <v>17768</v>
      </c>
      <c r="AM915" t="s">
        <v>17769</v>
      </c>
      <c r="AN915" t="s">
        <v>17770</v>
      </c>
      <c r="AO915" t="s">
        <v>17771</v>
      </c>
      <c r="AP915" t="s">
        <v>17772</v>
      </c>
      <c r="AQ915" t="s">
        <v>74</v>
      </c>
      <c r="AR915" t="s">
        <v>17773</v>
      </c>
      <c r="AS915" t="s">
        <v>17774</v>
      </c>
      <c r="AT915" t="s">
        <v>6497</v>
      </c>
      <c r="AU915">
        <v>2022</v>
      </c>
      <c r="AV915">
        <v>30</v>
      </c>
      <c r="AW915">
        <v>1</v>
      </c>
      <c r="AX915" t="s">
        <v>74</v>
      </c>
      <c r="AY915" t="s">
        <v>74</v>
      </c>
      <c r="AZ915" t="s">
        <v>74</v>
      </c>
      <c r="BA915" t="s">
        <v>74</v>
      </c>
      <c r="BB915" t="s">
        <v>74</v>
      </c>
      <c r="BC915" t="s">
        <v>74</v>
      </c>
      <c r="BD915">
        <v>2150023</v>
      </c>
      <c r="BE915" t="s">
        <v>17775</v>
      </c>
      <c r="BF915" t="str">
        <f>HYPERLINK("http://dx.doi.org/10.1142/S2591728521500237","http://dx.doi.org/10.1142/S2591728521500237")</f>
        <v>http://dx.doi.org/10.1142/S2591728521500237</v>
      </c>
      <c r="BG915" t="s">
        <v>74</v>
      </c>
      <c r="BH915" t="s">
        <v>74</v>
      </c>
      <c r="BI915">
        <v>19</v>
      </c>
      <c r="BJ915" t="s">
        <v>17776</v>
      </c>
      <c r="BK915" t="s">
        <v>101</v>
      </c>
      <c r="BL915" t="s">
        <v>17777</v>
      </c>
      <c r="BM915" t="s">
        <v>17778</v>
      </c>
      <c r="BN915" t="s">
        <v>74</v>
      </c>
      <c r="BO915" t="s">
        <v>267</v>
      </c>
      <c r="BP915" t="s">
        <v>74</v>
      </c>
      <c r="BQ915" t="s">
        <v>74</v>
      </c>
      <c r="BR915" t="s">
        <v>103</v>
      </c>
      <c r="BS915" t="s">
        <v>17779</v>
      </c>
      <c r="BT915" t="str">
        <f>HYPERLINK("https%3A%2F%2Fwww.webofscience.com%2Fwos%2Fwoscc%2Ffull-record%2FWOS:000773915000003","View Full Record in Web of Science")</f>
        <v>View Full Record in Web of Science</v>
      </c>
    </row>
    <row r="916" spans="1:72" x14ac:dyDescent="0.15">
      <c r="A916" t="s">
        <v>72</v>
      </c>
      <c r="B916" t="s">
        <v>17780</v>
      </c>
      <c r="C916" t="s">
        <v>74</v>
      </c>
      <c r="D916" t="s">
        <v>74</v>
      </c>
      <c r="E916" t="s">
        <v>74</v>
      </c>
      <c r="F916" t="s">
        <v>17781</v>
      </c>
      <c r="G916" t="s">
        <v>74</v>
      </c>
      <c r="H916" t="s">
        <v>74</v>
      </c>
      <c r="I916" t="s">
        <v>17782</v>
      </c>
      <c r="J916" t="s">
        <v>1884</v>
      </c>
      <c r="K916" t="s">
        <v>74</v>
      </c>
      <c r="L916" t="s">
        <v>74</v>
      </c>
      <c r="M916" t="s">
        <v>78</v>
      </c>
      <c r="N916" t="s">
        <v>79</v>
      </c>
      <c r="O916" t="s">
        <v>74</v>
      </c>
      <c r="P916" t="s">
        <v>74</v>
      </c>
      <c r="Q916" t="s">
        <v>74</v>
      </c>
      <c r="R916" t="s">
        <v>74</v>
      </c>
      <c r="S916" t="s">
        <v>74</v>
      </c>
      <c r="T916" t="s">
        <v>17783</v>
      </c>
      <c r="U916" t="s">
        <v>17784</v>
      </c>
      <c r="V916" t="s">
        <v>17785</v>
      </c>
      <c r="W916" t="s">
        <v>17786</v>
      </c>
      <c r="X916" t="s">
        <v>17787</v>
      </c>
      <c r="Y916" t="s">
        <v>17788</v>
      </c>
      <c r="Z916" t="s">
        <v>17789</v>
      </c>
      <c r="AA916" t="s">
        <v>17790</v>
      </c>
      <c r="AB916" t="s">
        <v>17791</v>
      </c>
      <c r="AC916" t="s">
        <v>17792</v>
      </c>
      <c r="AD916" t="s">
        <v>17793</v>
      </c>
      <c r="AE916" t="s">
        <v>17794</v>
      </c>
      <c r="AF916" t="s">
        <v>74</v>
      </c>
      <c r="AG916">
        <v>84</v>
      </c>
      <c r="AH916">
        <v>2</v>
      </c>
      <c r="AI916">
        <v>2</v>
      </c>
      <c r="AJ916">
        <v>0</v>
      </c>
      <c r="AK916">
        <v>7</v>
      </c>
      <c r="AL916" t="s">
        <v>1766</v>
      </c>
      <c r="AM916" t="s">
        <v>1767</v>
      </c>
      <c r="AN916" t="s">
        <v>1768</v>
      </c>
      <c r="AO916" t="s">
        <v>74</v>
      </c>
      <c r="AP916" t="s">
        <v>1897</v>
      </c>
      <c r="AQ916" t="s">
        <v>74</v>
      </c>
      <c r="AR916" t="s">
        <v>1884</v>
      </c>
      <c r="AS916" t="s">
        <v>1898</v>
      </c>
      <c r="AT916" t="s">
        <v>6497</v>
      </c>
      <c r="AU916">
        <v>2022</v>
      </c>
      <c r="AV916">
        <v>10</v>
      </c>
      <c r="AW916">
        <v>3</v>
      </c>
      <c r="AX916" t="s">
        <v>74</v>
      </c>
      <c r="AY916" t="s">
        <v>74</v>
      </c>
      <c r="AZ916" t="s">
        <v>74</v>
      </c>
      <c r="BA916" t="s">
        <v>74</v>
      </c>
      <c r="BB916" t="s">
        <v>74</v>
      </c>
      <c r="BC916" t="s">
        <v>74</v>
      </c>
      <c r="BD916">
        <v>623</v>
      </c>
      <c r="BE916" t="s">
        <v>17795</v>
      </c>
      <c r="BF916" t="str">
        <f>HYPERLINK("http://dx.doi.org/10.3390/microorganisms10030623","http://dx.doi.org/10.3390/microorganisms10030623")</f>
        <v>http://dx.doi.org/10.3390/microorganisms10030623</v>
      </c>
      <c r="BG916" t="s">
        <v>74</v>
      </c>
      <c r="BH916" t="s">
        <v>74</v>
      </c>
      <c r="BI916">
        <v>18</v>
      </c>
      <c r="BJ916" t="s">
        <v>293</v>
      </c>
      <c r="BK916" t="s">
        <v>101</v>
      </c>
      <c r="BL916" t="s">
        <v>293</v>
      </c>
      <c r="BM916" t="s">
        <v>17796</v>
      </c>
      <c r="BN916">
        <v>35336197</v>
      </c>
      <c r="BO916" t="s">
        <v>295</v>
      </c>
      <c r="BP916" t="s">
        <v>74</v>
      </c>
      <c r="BQ916" t="s">
        <v>74</v>
      </c>
      <c r="BR916" t="s">
        <v>103</v>
      </c>
      <c r="BS916" t="s">
        <v>17797</v>
      </c>
      <c r="BT916" t="str">
        <f>HYPERLINK("https%3A%2F%2Fwww.webofscience.com%2Fwos%2Fwoscc%2Ffull-record%2FWOS:000774091500001","View Full Record in Web of Science")</f>
        <v>View Full Record in Web of Science</v>
      </c>
    </row>
    <row r="917" spans="1:72" x14ac:dyDescent="0.15">
      <c r="A917" t="s">
        <v>72</v>
      </c>
      <c r="B917" t="s">
        <v>17798</v>
      </c>
      <c r="C917" t="s">
        <v>74</v>
      </c>
      <c r="D917" t="s">
        <v>74</v>
      </c>
      <c r="E917" t="s">
        <v>74</v>
      </c>
      <c r="F917" t="s">
        <v>17799</v>
      </c>
      <c r="G917" t="s">
        <v>74</v>
      </c>
      <c r="H917" t="s">
        <v>74</v>
      </c>
      <c r="I917" t="s">
        <v>17800</v>
      </c>
      <c r="J917" t="s">
        <v>1884</v>
      </c>
      <c r="K917" t="s">
        <v>74</v>
      </c>
      <c r="L917" t="s">
        <v>74</v>
      </c>
      <c r="M917" t="s">
        <v>78</v>
      </c>
      <c r="N917" t="s">
        <v>79</v>
      </c>
      <c r="O917" t="s">
        <v>74</v>
      </c>
      <c r="P917" t="s">
        <v>74</v>
      </c>
      <c r="Q917" t="s">
        <v>74</v>
      </c>
      <c r="R917" t="s">
        <v>74</v>
      </c>
      <c r="S917" t="s">
        <v>74</v>
      </c>
      <c r="T917" t="s">
        <v>17801</v>
      </c>
      <c r="U917" t="s">
        <v>17802</v>
      </c>
      <c r="V917" t="s">
        <v>17803</v>
      </c>
      <c r="W917" t="s">
        <v>17804</v>
      </c>
      <c r="X917" t="s">
        <v>17805</v>
      </c>
      <c r="Y917" t="s">
        <v>17806</v>
      </c>
      <c r="Z917" t="s">
        <v>17807</v>
      </c>
      <c r="AA917" t="s">
        <v>17808</v>
      </c>
      <c r="AB917" t="s">
        <v>17809</v>
      </c>
      <c r="AC917" t="s">
        <v>17810</v>
      </c>
      <c r="AD917" t="s">
        <v>17811</v>
      </c>
      <c r="AE917" t="s">
        <v>17812</v>
      </c>
      <c r="AF917" t="s">
        <v>74</v>
      </c>
      <c r="AG917">
        <v>71</v>
      </c>
      <c r="AH917">
        <v>0</v>
      </c>
      <c r="AI917">
        <v>1</v>
      </c>
      <c r="AJ917">
        <v>1</v>
      </c>
      <c r="AK917">
        <v>10</v>
      </c>
      <c r="AL917" t="s">
        <v>1766</v>
      </c>
      <c r="AM917" t="s">
        <v>1767</v>
      </c>
      <c r="AN917" t="s">
        <v>1768</v>
      </c>
      <c r="AO917" t="s">
        <v>74</v>
      </c>
      <c r="AP917" t="s">
        <v>1897</v>
      </c>
      <c r="AQ917" t="s">
        <v>74</v>
      </c>
      <c r="AR917" t="s">
        <v>1884</v>
      </c>
      <c r="AS917" t="s">
        <v>1898</v>
      </c>
      <c r="AT917" t="s">
        <v>6497</v>
      </c>
      <c r="AU917">
        <v>2022</v>
      </c>
      <c r="AV917">
        <v>10</v>
      </c>
      <c r="AW917">
        <v>3</v>
      </c>
      <c r="AX917" t="s">
        <v>74</v>
      </c>
      <c r="AY917" t="s">
        <v>74</v>
      </c>
      <c r="AZ917" t="s">
        <v>74</v>
      </c>
      <c r="BA917" t="s">
        <v>74</v>
      </c>
      <c r="BB917" t="s">
        <v>74</v>
      </c>
      <c r="BC917" t="s">
        <v>74</v>
      </c>
      <c r="BD917">
        <v>497</v>
      </c>
      <c r="BE917" t="s">
        <v>17813</v>
      </c>
      <c r="BF917" t="str">
        <f>HYPERLINK("http://dx.doi.org/10.3390/microorganisms10030497","http://dx.doi.org/10.3390/microorganisms10030497")</f>
        <v>http://dx.doi.org/10.3390/microorganisms10030497</v>
      </c>
      <c r="BG917" t="s">
        <v>74</v>
      </c>
      <c r="BH917" t="s">
        <v>74</v>
      </c>
      <c r="BI917">
        <v>23</v>
      </c>
      <c r="BJ917" t="s">
        <v>293</v>
      </c>
      <c r="BK917" t="s">
        <v>101</v>
      </c>
      <c r="BL917" t="s">
        <v>293</v>
      </c>
      <c r="BM917" t="s">
        <v>17814</v>
      </c>
      <c r="BN917">
        <v>35336073</v>
      </c>
      <c r="BO917" t="s">
        <v>1533</v>
      </c>
      <c r="BP917" t="s">
        <v>74</v>
      </c>
      <c r="BQ917" t="s">
        <v>74</v>
      </c>
      <c r="BR917" t="s">
        <v>103</v>
      </c>
      <c r="BS917" t="s">
        <v>17815</v>
      </c>
      <c r="BT917" t="str">
        <f>HYPERLINK("https%3A%2F%2Fwww.webofscience.com%2Fwos%2Fwoscc%2Ffull-record%2FWOS:000774135500001","View Full Record in Web of Science")</f>
        <v>View Full Record in Web of Science</v>
      </c>
    </row>
    <row r="918" spans="1:72" x14ac:dyDescent="0.15">
      <c r="A918" t="s">
        <v>72</v>
      </c>
      <c r="B918" t="s">
        <v>17816</v>
      </c>
      <c r="C918" t="s">
        <v>74</v>
      </c>
      <c r="D918" t="s">
        <v>74</v>
      </c>
      <c r="E918" t="s">
        <v>74</v>
      </c>
      <c r="F918" t="s">
        <v>17817</v>
      </c>
      <c r="G918" t="s">
        <v>74</v>
      </c>
      <c r="H918" t="s">
        <v>74</v>
      </c>
      <c r="I918" t="s">
        <v>17818</v>
      </c>
      <c r="J918" t="s">
        <v>1923</v>
      </c>
      <c r="K918" t="s">
        <v>74</v>
      </c>
      <c r="L918" t="s">
        <v>74</v>
      </c>
      <c r="M918" t="s">
        <v>78</v>
      </c>
      <c r="N918" t="s">
        <v>79</v>
      </c>
      <c r="O918" t="s">
        <v>74</v>
      </c>
      <c r="P918" t="s">
        <v>74</v>
      </c>
      <c r="Q918" t="s">
        <v>74</v>
      </c>
      <c r="R918" t="s">
        <v>74</v>
      </c>
      <c r="S918" t="s">
        <v>74</v>
      </c>
      <c r="T918" t="s">
        <v>17819</v>
      </c>
      <c r="U918" t="s">
        <v>17820</v>
      </c>
      <c r="V918" t="s">
        <v>17821</v>
      </c>
      <c r="W918" t="s">
        <v>17822</v>
      </c>
      <c r="X918" t="s">
        <v>17823</v>
      </c>
      <c r="Y918" t="s">
        <v>17824</v>
      </c>
      <c r="Z918" t="s">
        <v>17825</v>
      </c>
      <c r="AA918" t="s">
        <v>74</v>
      </c>
      <c r="AB918" t="s">
        <v>17826</v>
      </c>
      <c r="AC918" t="s">
        <v>17827</v>
      </c>
      <c r="AD918" t="s">
        <v>17828</v>
      </c>
      <c r="AE918" t="s">
        <v>17829</v>
      </c>
      <c r="AF918" t="s">
        <v>74</v>
      </c>
      <c r="AG918">
        <v>61</v>
      </c>
      <c r="AH918">
        <v>1</v>
      </c>
      <c r="AI918">
        <v>1</v>
      </c>
      <c r="AJ918">
        <v>2</v>
      </c>
      <c r="AK918">
        <v>20</v>
      </c>
      <c r="AL918" t="s">
        <v>1766</v>
      </c>
      <c r="AM918" t="s">
        <v>1767</v>
      </c>
      <c r="AN918" t="s">
        <v>1768</v>
      </c>
      <c r="AO918" t="s">
        <v>74</v>
      </c>
      <c r="AP918" t="s">
        <v>1935</v>
      </c>
      <c r="AQ918" t="s">
        <v>74</v>
      </c>
      <c r="AR918" t="s">
        <v>1936</v>
      </c>
      <c r="AS918" t="s">
        <v>1937</v>
      </c>
      <c r="AT918" t="s">
        <v>6497</v>
      </c>
      <c r="AU918">
        <v>2022</v>
      </c>
      <c r="AV918">
        <v>14</v>
      </c>
      <c r="AW918">
        <v>5</v>
      </c>
      <c r="AX918" t="s">
        <v>74</v>
      </c>
      <c r="AY918" t="s">
        <v>74</v>
      </c>
      <c r="AZ918" t="s">
        <v>74</v>
      </c>
      <c r="BA918" t="s">
        <v>74</v>
      </c>
      <c r="BB918" t="s">
        <v>74</v>
      </c>
      <c r="BC918" t="s">
        <v>74</v>
      </c>
      <c r="BD918">
        <v>1070</v>
      </c>
      <c r="BE918" t="s">
        <v>17830</v>
      </c>
      <c r="BF918" t="str">
        <f>HYPERLINK("http://dx.doi.org/10.3390/rs14051070","http://dx.doi.org/10.3390/rs14051070")</f>
        <v>http://dx.doi.org/10.3390/rs14051070</v>
      </c>
      <c r="BG918" t="s">
        <v>74</v>
      </c>
      <c r="BH918" t="s">
        <v>74</v>
      </c>
      <c r="BI918">
        <v>17</v>
      </c>
      <c r="BJ918" t="s">
        <v>1939</v>
      </c>
      <c r="BK918" t="s">
        <v>101</v>
      </c>
      <c r="BL918" t="s">
        <v>1940</v>
      </c>
      <c r="BM918" t="s">
        <v>17831</v>
      </c>
      <c r="BN918" t="s">
        <v>74</v>
      </c>
      <c r="BO918" t="s">
        <v>438</v>
      </c>
      <c r="BP918" t="s">
        <v>74</v>
      </c>
      <c r="BQ918" t="s">
        <v>74</v>
      </c>
      <c r="BR918" t="s">
        <v>103</v>
      </c>
      <c r="BS918" t="s">
        <v>17832</v>
      </c>
      <c r="BT918" t="str">
        <f>HYPERLINK("https%3A%2F%2Fwww.webofscience.com%2Fwos%2Fwoscc%2Ffull-record%2FWOS:000773899700001","View Full Record in Web of Science")</f>
        <v>View Full Record in Web of Science</v>
      </c>
    </row>
    <row r="919" spans="1:72" x14ac:dyDescent="0.15">
      <c r="A919" t="s">
        <v>72</v>
      </c>
      <c r="B919" t="s">
        <v>17833</v>
      </c>
      <c r="C919" t="s">
        <v>74</v>
      </c>
      <c r="D919" t="s">
        <v>74</v>
      </c>
      <c r="E919" t="s">
        <v>74</v>
      </c>
      <c r="F919" t="s">
        <v>17834</v>
      </c>
      <c r="G919" t="s">
        <v>74</v>
      </c>
      <c r="H919" t="s">
        <v>74</v>
      </c>
      <c r="I919" t="s">
        <v>17835</v>
      </c>
      <c r="J919" t="s">
        <v>17836</v>
      </c>
      <c r="K919" t="s">
        <v>74</v>
      </c>
      <c r="L919" t="s">
        <v>74</v>
      </c>
      <c r="M919" t="s">
        <v>78</v>
      </c>
      <c r="N919" t="s">
        <v>79</v>
      </c>
      <c r="O919" t="s">
        <v>74</v>
      </c>
      <c r="P919" t="s">
        <v>74</v>
      </c>
      <c r="Q919" t="s">
        <v>74</v>
      </c>
      <c r="R919" t="s">
        <v>74</v>
      </c>
      <c r="S919" t="s">
        <v>74</v>
      </c>
      <c r="T919" t="s">
        <v>17837</v>
      </c>
      <c r="U919" t="s">
        <v>17838</v>
      </c>
      <c r="V919" t="s">
        <v>17839</v>
      </c>
      <c r="W919" t="s">
        <v>17840</v>
      </c>
      <c r="X919" t="s">
        <v>760</v>
      </c>
      <c r="Y919" t="s">
        <v>17841</v>
      </c>
      <c r="Z919" t="s">
        <v>17842</v>
      </c>
      <c r="AA919" t="s">
        <v>17843</v>
      </c>
      <c r="AB919" t="s">
        <v>17844</v>
      </c>
      <c r="AC919" t="s">
        <v>17845</v>
      </c>
      <c r="AD919" t="s">
        <v>17846</v>
      </c>
      <c r="AE919" t="s">
        <v>17847</v>
      </c>
      <c r="AF919" t="s">
        <v>74</v>
      </c>
      <c r="AG919">
        <v>25</v>
      </c>
      <c r="AH919">
        <v>5</v>
      </c>
      <c r="AI919">
        <v>5</v>
      </c>
      <c r="AJ919">
        <v>4</v>
      </c>
      <c r="AK919">
        <v>30</v>
      </c>
      <c r="AL919" t="s">
        <v>1766</v>
      </c>
      <c r="AM919" t="s">
        <v>1767</v>
      </c>
      <c r="AN919" t="s">
        <v>1768</v>
      </c>
      <c r="AO919" t="s">
        <v>74</v>
      </c>
      <c r="AP919" t="s">
        <v>17848</v>
      </c>
      <c r="AQ919" t="s">
        <v>74</v>
      </c>
      <c r="AR919" t="s">
        <v>17849</v>
      </c>
      <c r="AS919" t="s">
        <v>17850</v>
      </c>
      <c r="AT919" t="s">
        <v>6497</v>
      </c>
      <c r="AU919">
        <v>2022</v>
      </c>
      <c r="AV919">
        <v>8</v>
      </c>
      <c r="AW919">
        <v>3</v>
      </c>
      <c r="AX919" t="s">
        <v>74</v>
      </c>
      <c r="AY919" t="s">
        <v>74</v>
      </c>
      <c r="AZ919" t="s">
        <v>74</v>
      </c>
      <c r="BA919" t="s">
        <v>74</v>
      </c>
      <c r="BB919" t="s">
        <v>74</v>
      </c>
      <c r="BC919" t="s">
        <v>74</v>
      </c>
      <c r="BD919">
        <v>139</v>
      </c>
      <c r="BE919" t="s">
        <v>17851</v>
      </c>
      <c r="BF919" t="str">
        <f>HYPERLINK("http://dx.doi.org/10.3390/gels8030139","http://dx.doi.org/10.3390/gels8030139")</f>
        <v>http://dx.doi.org/10.3390/gels8030139</v>
      </c>
      <c r="BG919" t="s">
        <v>74</v>
      </c>
      <c r="BH919" t="s">
        <v>74</v>
      </c>
      <c r="BI919">
        <v>15</v>
      </c>
      <c r="BJ919" t="s">
        <v>17852</v>
      </c>
      <c r="BK919" t="s">
        <v>101</v>
      </c>
      <c r="BL919" t="s">
        <v>17852</v>
      </c>
      <c r="BM919" t="s">
        <v>17853</v>
      </c>
      <c r="BN919">
        <v>35323252</v>
      </c>
      <c r="BO919" t="s">
        <v>1533</v>
      </c>
      <c r="BP919" t="s">
        <v>74</v>
      </c>
      <c r="BQ919" t="s">
        <v>74</v>
      </c>
      <c r="BR919" t="s">
        <v>103</v>
      </c>
      <c r="BS919" t="s">
        <v>17854</v>
      </c>
      <c r="BT919" t="str">
        <f>HYPERLINK("https%3A%2F%2Fwww.webofscience.com%2Fwos%2Fwoscc%2Ffull-record%2FWOS:000775283800001","View Full Record in Web of Science")</f>
        <v>View Full Record in Web of Science</v>
      </c>
    </row>
    <row r="920" spans="1:72" x14ac:dyDescent="0.15">
      <c r="A920" t="s">
        <v>72</v>
      </c>
      <c r="B920" t="s">
        <v>17855</v>
      </c>
      <c r="C920" t="s">
        <v>74</v>
      </c>
      <c r="D920" t="s">
        <v>74</v>
      </c>
      <c r="E920" t="s">
        <v>74</v>
      </c>
      <c r="F920" t="s">
        <v>17856</v>
      </c>
      <c r="G920" t="s">
        <v>74</v>
      </c>
      <c r="H920" t="s">
        <v>74</v>
      </c>
      <c r="I920" t="s">
        <v>17857</v>
      </c>
      <c r="J920" t="s">
        <v>7212</v>
      </c>
      <c r="K920" t="s">
        <v>74</v>
      </c>
      <c r="L920" t="s">
        <v>74</v>
      </c>
      <c r="M920" t="s">
        <v>78</v>
      </c>
      <c r="N920" t="s">
        <v>79</v>
      </c>
      <c r="O920" t="s">
        <v>74</v>
      </c>
      <c r="P920" t="s">
        <v>74</v>
      </c>
      <c r="Q920" t="s">
        <v>74</v>
      </c>
      <c r="R920" t="s">
        <v>74</v>
      </c>
      <c r="S920" t="s">
        <v>74</v>
      </c>
      <c r="T920" t="s">
        <v>17858</v>
      </c>
      <c r="U920" t="s">
        <v>17859</v>
      </c>
      <c r="V920" t="s">
        <v>17860</v>
      </c>
      <c r="W920" t="s">
        <v>17861</v>
      </c>
      <c r="X920" t="s">
        <v>17862</v>
      </c>
      <c r="Y920" t="s">
        <v>17863</v>
      </c>
      <c r="Z920" t="s">
        <v>17864</v>
      </c>
      <c r="AA920" t="s">
        <v>17865</v>
      </c>
      <c r="AB920" t="s">
        <v>17866</v>
      </c>
      <c r="AC920" t="s">
        <v>17867</v>
      </c>
      <c r="AD920" t="s">
        <v>17868</v>
      </c>
      <c r="AE920" t="s">
        <v>17869</v>
      </c>
      <c r="AF920" t="s">
        <v>74</v>
      </c>
      <c r="AG920">
        <v>86</v>
      </c>
      <c r="AH920">
        <v>0</v>
      </c>
      <c r="AI920">
        <v>1</v>
      </c>
      <c r="AJ920">
        <v>2</v>
      </c>
      <c r="AK920">
        <v>10</v>
      </c>
      <c r="AL920" t="s">
        <v>91</v>
      </c>
      <c r="AM920" t="s">
        <v>92</v>
      </c>
      <c r="AN920" t="s">
        <v>93</v>
      </c>
      <c r="AO920" t="s">
        <v>7223</v>
      </c>
      <c r="AP920" t="s">
        <v>74</v>
      </c>
      <c r="AQ920" t="s">
        <v>74</v>
      </c>
      <c r="AR920" t="s">
        <v>7224</v>
      </c>
      <c r="AS920" t="s">
        <v>7225</v>
      </c>
      <c r="AT920" t="s">
        <v>6497</v>
      </c>
      <c r="AU920">
        <v>2022</v>
      </c>
      <c r="AV920">
        <v>12</v>
      </c>
      <c r="AW920">
        <v>3</v>
      </c>
      <c r="AX920" t="s">
        <v>74</v>
      </c>
      <c r="AY920" t="s">
        <v>74</v>
      </c>
      <c r="AZ920" t="s">
        <v>74</v>
      </c>
      <c r="BA920" t="s">
        <v>74</v>
      </c>
      <c r="BB920" t="s">
        <v>74</v>
      </c>
      <c r="BC920" t="s">
        <v>74</v>
      </c>
      <c r="BD920" t="s">
        <v>17870</v>
      </c>
      <c r="BE920" t="s">
        <v>17871</v>
      </c>
      <c r="BF920" t="str">
        <f>HYPERLINK("http://dx.doi.org/10.1002/ece3.8757","http://dx.doi.org/10.1002/ece3.8757")</f>
        <v>http://dx.doi.org/10.1002/ece3.8757</v>
      </c>
      <c r="BG920" t="s">
        <v>74</v>
      </c>
      <c r="BH920" t="s">
        <v>74</v>
      </c>
      <c r="BI920">
        <v>13</v>
      </c>
      <c r="BJ920" t="s">
        <v>5150</v>
      </c>
      <c r="BK920" t="s">
        <v>101</v>
      </c>
      <c r="BL920" t="s">
        <v>5151</v>
      </c>
      <c r="BM920" t="s">
        <v>17872</v>
      </c>
      <c r="BN920">
        <v>35356576</v>
      </c>
      <c r="BO920" t="s">
        <v>3983</v>
      </c>
      <c r="BP920" t="s">
        <v>74</v>
      </c>
      <c r="BQ920" t="s">
        <v>74</v>
      </c>
      <c r="BR920" t="s">
        <v>103</v>
      </c>
      <c r="BS920" t="s">
        <v>17873</v>
      </c>
      <c r="BT920" t="str">
        <f>HYPERLINK("https%3A%2F%2Fwww.webofscience.com%2Fwos%2Fwoscc%2Ffull-record%2FWOS:000773208200001","View Full Record in Web of Science")</f>
        <v>View Full Record in Web of Science</v>
      </c>
    </row>
    <row r="921" spans="1:72" x14ac:dyDescent="0.15">
      <c r="A921" t="s">
        <v>72</v>
      </c>
      <c r="B921" t="s">
        <v>17874</v>
      </c>
      <c r="C921" t="s">
        <v>74</v>
      </c>
      <c r="D921" t="s">
        <v>74</v>
      </c>
      <c r="E921" t="s">
        <v>74</v>
      </c>
      <c r="F921" t="s">
        <v>17875</v>
      </c>
      <c r="G921" t="s">
        <v>74</v>
      </c>
      <c r="H921" t="s">
        <v>74</v>
      </c>
      <c r="I921" t="s">
        <v>17876</v>
      </c>
      <c r="J921" t="s">
        <v>1923</v>
      </c>
      <c r="K921" t="s">
        <v>74</v>
      </c>
      <c r="L921" t="s">
        <v>74</v>
      </c>
      <c r="M921" t="s">
        <v>78</v>
      </c>
      <c r="N921" t="s">
        <v>79</v>
      </c>
      <c r="O921" t="s">
        <v>74</v>
      </c>
      <c r="P921" t="s">
        <v>74</v>
      </c>
      <c r="Q921" t="s">
        <v>74</v>
      </c>
      <c r="R921" t="s">
        <v>74</v>
      </c>
      <c r="S921" t="s">
        <v>74</v>
      </c>
      <c r="T921" t="s">
        <v>17877</v>
      </c>
      <c r="U921" t="s">
        <v>17878</v>
      </c>
      <c r="V921" t="s">
        <v>17879</v>
      </c>
      <c r="W921" t="s">
        <v>17880</v>
      </c>
      <c r="X921" t="s">
        <v>17881</v>
      </c>
      <c r="Y921" t="s">
        <v>17882</v>
      </c>
      <c r="Z921" t="s">
        <v>17883</v>
      </c>
      <c r="AA921" t="s">
        <v>17884</v>
      </c>
      <c r="AB921" t="s">
        <v>17885</v>
      </c>
      <c r="AC921" t="s">
        <v>17886</v>
      </c>
      <c r="AD921" t="s">
        <v>17887</v>
      </c>
      <c r="AE921" t="s">
        <v>17888</v>
      </c>
      <c r="AF921" t="s">
        <v>74</v>
      </c>
      <c r="AG921">
        <v>67</v>
      </c>
      <c r="AH921">
        <v>10</v>
      </c>
      <c r="AI921">
        <v>10</v>
      </c>
      <c r="AJ921">
        <v>9</v>
      </c>
      <c r="AK921">
        <v>52</v>
      </c>
      <c r="AL921" t="s">
        <v>1766</v>
      </c>
      <c r="AM921" t="s">
        <v>1767</v>
      </c>
      <c r="AN921" t="s">
        <v>1768</v>
      </c>
      <c r="AO921" t="s">
        <v>74</v>
      </c>
      <c r="AP921" t="s">
        <v>1935</v>
      </c>
      <c r="AQ921" t="s">
        <v>74</v>
      </c>
      <c r="AR921" t="s">
        <v>1936</v>
      </c>
      <c r="AS921" t="s">
        <v>1937</v>
      </c>
      <c r="AT921" t="s">
        <v>6497</v>
      </c>
      <c r="AU921">
        <v>2022</v>
      </c>
      <c r="AV921">
        <v>14</v>
      </c>
      <c r="AW921">
        <v>6</v>
      </c>
      <c r="AX921" t="s">
        <v>74</v>
      </c>
      <c r="AY921" t="s">
        <v>74</v>
      </c>
      <c r="AZ921" t="s">
        <v>74</v>
      </c>
      <c r="BA921" t="s">
        <v>74</v>
      </c>
      <c r="BB921" t="s">
        <v>74</v>
      </c>
      <c r="BC921" t="s">
        <v>74</v>
      </c>
      <c r="BD921">
        <v>1369</v>
      </c>
      <c r="BE921" t="s">
        <v>17889</v>
      </c>
      <c r="BF921" t="str">
        <f>HYPERLINK("http://dx.doi.org/10.3390/rs14061369","http://dx.doi.org/10.3390/rs14061369")</f>
        <v>http://dx.doi.org/10.3390/rs14061369</v>
      </c>
      <c r="BG921" t="s">
        <v>74</v>
      </c>
      <c r="BH921" t="s">
        <v>74</v>
      </c>
      <c r="BI921">
        <v>26</v>
      </c>
      <c r="BJ921" t="s">
        <v>1939</v>
      </c>
      <c r="BK921" t="s">
        <v>101</v>
      </c>
      <c r="BL921" t="s">
        <v>1940</v>
      </c>
      <c r="BM921" t="s">
        <v>17890</v>
      </c>
      <c r="BN921" t="s">
        <v>74</v>
      </c>
      <c r="BO921" t="s">
        <v>438</v>
      </c>
      <c r="BP921" t="s">
        <v>74</v>
      </c>
      <c r="BQ921" t="s">
        <v>74</v>
      </c>
      <c r="BR921" t="s">
        <v>103</v>
      </c>
      <c r="BS921" t="s">
        <v>17891</v>
      </c>
      <c r="BT921" t="str">
        <f>HYPERLINK("https%3A%2F%2Fwww.webofscience.com%2Fwos%2Fwoscc%2Ffull-record%2FWOS:000774505800001","View Full Record in Web of Science")</f>
        <v>View Full Record in Web of Science</v>
      </c>
    </row>
    <row r="922" spans="1:72" x14ac:dyDescent="0.15">
      <c r="A922" t="s">
        <v>72</v>
      </c>
      <c r="B922" t="s">
        <v>17892</v>
      </c>
      <c r="C922" t="s">
        <v>74</v>
      </c>
      <c r="D922" t="s">
        <v>74</v>
      </c>
      <c r="E922" t="s">
        <v>74</v>
      </c>
      <c r="F922" t="s">
        <v>17893</v>
      </c>
      <c r="G922" t="s">
        <v>74</v>
      </c>
      <c r="H922" t="s">
        <v>74</v>
      </c>
      <c r="I922" t="s">
        <v>17894</v>
      </c>
      <c r="J922" t="s">
        <v>17895</v>
      </c>
      <c r="K922" t="s">
        <v>74</v>
      </c>
      <c r="L922" t="s">
        <v>74</v>
      </c>
      <c r="M922" t="s">
        <v>78</v>
      </c>
      <c r="N922" t="s">
        <v>79</v>
      </c>
      <c r="O922" t="s">
        <v>74</v>
      </c>
      <c r="P922" t="s">
        <v>74</v>
      </c>
      <c r="Q922" t="s">
        <v>74</v>
      </c>
      <c r="R922" t="s">
        <v>74</v>
      </c>
      <c r="S922" t="s">
        <v>74</v>
      </c>
      <c r="T922" t="s">
        <v>17896</v>
      </c>
      <c r="U922" t="s">
        <v>17897</v>
      </c>
      <c r="V922" t="s">
        <v>17898</v>
      </c>
      <c r="W922" t="s">
        <v>17899</v>
      </c>
      <c r="X922" t="s">
        <v>17900</v>
      </c>
      <c r="Y922" t="s">
        <v>17901</v>
      </c>
      <c r="Z922" t="s">
        <v>17902</v>
      </c>
      <c r="AA922" t="s">
        <v>17903</v>
      </c>
      <c r="AB922" t="s">
        <v>17904</v>
      </c>
      <c r="AC922" t="s">
        <v>17905</v>
      </c>
      <c r="AD922" t="s">
        <v>17906</v>
      </c>
      <c r="AE922" t="s">
        <v>17907</v>
      </c>
      <c r="AF922" t="s">
        <v>74</v>
      </c>
      <c r="AG922">
        <v>44</v>
      </c>
      <c r="AH922">
        <v>3</v>
      </c>
      <c r="AI922">
        <v>3</v>
      </c>
      <c r="AJ922">
        <v>8</v>
      </c>
      <c r="AK922">
        <v>28</v>
      </c>
      <c r="AL922" t="s">
        <v>17908</v>
      </c>
      <c r="AM922" t="s">
        <v>17909</v>
      </c>
      <c r="AN922" t="s">
        <v>17910</v>
      </c>
      <c r="AO922" t="s">
        <v>17911</v>
      </c>
      <c r="AP922" t="s">
        <v>17912</v>
      </c>
      <c r="AQ922" t="s">
        <v>74</v>
      </c>
      <c r="AR922" t="s">
        <v>17913</v>
      </c>
      <c r="AS922" t="s">
        <v>17914</v>
      </c>
      <c r="AT922" t="s">
        <v>17915</v>
      </c>
      <c r="AU922">
        <v>2022</v>
      </c>
      <c r="AV922">
        <v>58</v>
      </c>
      <c r="AW922">
        <v>2</v>
      </c>
      <c r="AX922" t="s">
        <v>74</v>
      </c>
      <c r="AY922" t="s">
        <v>74</v>
      </c>
      <c r="AZ922" t="s">
        <v>74</v>
      </c>
      <c r="BA922" t="s">
        <v>74</v>
      </c>
      <c r="BB922">
        <v>2400</v>
      </c>
      <c r="BC922">
        <v>2410</v>
      </c>
      <c r="BD922" t="s">
        <v>74</v>
      </c>
      <c r="BE922" t="s">
        <v>17916</v>
      </c>
      <c r="BF922" t="str">
        <f>HYPERLINK("http://dx.doi.org/10.1109/TIA.2021.3136808","http://dx.doi.org/10.1109/TIA.2021.3136808")</f>
        <v>http://dx.doi.org/10.1109/TIA.2021.3136808</v>
      </c>
      <c r="BG922" t="s">
        <v>74</v>
      </c>
      <c r="BH922" t="s">
        <v>74</v>
      </c>
      <c r="BI922">
        <v>11</v>
      </c>
      <c r="BJ922" t="s">
        <v>17917</v>
      </c>
      <c r="BK922" t="s">
        <v>101</v>
      </c>
      <c r="BL922" t="s">
        <v>1289</v>
      </c>
      <c r="BM922" t="s">
        <v>17918</v>
      </c>
      <c r="BN922" t="s">
        <v>74</v>
      </c>
      <c r="BO922" t="s">
        <v>883</v>
      </c>
      <c r="BP922" t="s">
        <v>74</v>
      </c>
      <c r="BQ922" t="s">
        <v>74</v>
      </c>
      <c r="BR922" t="s">
        <v>103</v>
      </c>
      <c r="BS922" t="s">
        <v>17919</v>
      </c>
      <c r="BT922" t="str">
        <f>HYPERLINK("https%3A%2F%2Fwww.webofscience.com%2Fwos%2Fwoscc%2Ffull-record%2FWOS:000771930400100","View Full Record in Web of Science")</f>
        <v>View Full Record in Web of Science</v>
      </c>
    </row>
    <row r="923" spans="1:72" x14ac:dyDescent="0.15">
      <c r="A923" t="s">
        <v>72</v>
      </c>
      <c r="B923" t="s">
        <v>17920</v>
      </c>
      <c r="C923" t="s">
        <v>74</v>
      </c>
      <c r="D923" t="s">
        <v>74</v>
      </c>
      <c r="E923" t="s">
        <v>74</v>
      </c>
      <c r="F923" t="s">
        <v>17921</v>
      </c>
      <c r="G923" t="s">
        <v>74</v>
      </c>
      <c r="H923" t="s">
        <v>74</v>
      </c>
      <c r="I923" t="s">
        <v>17922</v>
      </c>
      <c r="J923" t="s">
        <v>17923</v>
      </c>
      <c r="K923" t="s">
        <v>74</v>
      </c>
      <c r="L923" t="s">
        <v>74</v>
      </c>
      <c r="M923" t="s">
        <v>78</v>
      </c>
      <c r="N923" t="s">
        <v>79</v>
      </c>
      <c r="O923" t="s">
        <v>74</v>
      </c>
      <c r="P923" t="s">
        <v>74</v>
      </c>
      <c r="Q923" t="s">
        <v>74</v>
      </c>
      <c r="R923" t="s">
        <v>74</v>
      </c>
      <c r="S923" t="s">
        <v>74</v>
      </c>
      <c r="T923" t="s">
        <v>17924</v>
      </c>
      <c r="U923" t="s">
        <v>17925</v>
      </c>
      <c r="V923" t="s">
        <v>17926</v>
      </c>
      <c r="W923" t="s">
        <v>17927</v>
      </c>
      <c r="X923" t="s">
        <v>17928</v>
      </c>
      <c r="Y923" t="s">
        <v>17929</v>
      </c>
      <c r="Z923" t="s">
        <v>17930</v>
      </c>
      <c r="AA923" t="s">
        <v>17931</v>
      </c>
      <c r="AB923" t="s">
        <v>17932</v>
      </c>
      <c r="AC923" t="s">
        <v>74</v>
      </c>
      <c r="AD923" t="s">
        <v>74</v>
      </c>
      <c r="AE923" t="s">
        <v>74</v>
      </c>
      <c r="AF923" t="s">
        <v>74</v>
      </c>
      <c r="AG923">
        <v>89</v>
      </c>
      <c r="AH923">
        <v>5</v>
      </c>
      <c r="AI923">
        <v>6</v>
      </c>
      <c r="AJ923">
        <v>2</v>
      </c>
      <c r="AK923">
        <v>17</v>
      </c>
      <c r="AL923" t="s">
        <v>17768</v>
      </c>
      <c r="AM923" t="s">
        <v>17769</v>
      </c>
      <c r="AN923" t="s">
        <v>17770</v>
      </c>
      <c r="AO923" t="s">
        <v>17933</v>
      </c>
      <c r="AP923" t="s">
        <v>17934</v>
      </c>
      <c r="AQ923" t="s">
        <v>74</v>
      </c>
      <c r="AR923" t="s">
        <v>17935</v>
      </c>
      <c r="AS923" t="s">
        <v>17936</v>
      </c>
      <c r="AT923" t="s">
        <v>6497</v>
      </c>
      <c r="AU923">
        <v>2022</v>
      </c>
      <c r="AV923">
        <v>21</v>
      </c>
      <c r="AW923">
        <v>2</v>
      </c>
      <c r="AX923" t="s">
        <v>74</v>
      </c>
      <c r="AY923" t="s">
        <v>74</v>
      </c>
      <c r="AZ923" t="s">
        <v>74</v>
      </c>
      <c r="BA923" t="s">
        <v>74</v>
      </c>
      <c r="BB923">
        <v>821</v>
      </c>
      <c r="BC923">
        <v>850</v>
      </c>
      <c r="BD923" t="s">
        <v>74</v>
      </c>
      <c r="BE923" t="s">
        <v>17937</v>
      </c>
      <c r="BF923" t="str">
        <f>HYPERLINK("http://dx.doi.org/10.1142/S021962202250002X","http://dx.doi.org/10.1142/S021962202250002X")</f>
        <v>http://dx.doi.org/10.1142/S021962202250002X</v>
      </c>
      <c r="BG923" t="s">
        <v>74</v>
      </c>
      <c r="BH923" t="s">
        <v>74</v>
      </c>
      <c r="BI923">
        <v>30</v>
      </c>
      <c r="BJ923" t="s">
        <v>17938</v>
      </c>
      <c r="BK923" t="s">
        <v>101</v>
      </c>
      <c r="BL923" t="s">
        <v>17939</v>
      </c>
      <c r="BM923" t="s">
        <v>17940</v>
      </c>
      <c r="BN923" t="s">
        <v>74</v>
      </c>
      <c r="BO923" t="s">
        <v>74</v>
      </c>
      <c r="BP923" t="s">
        <v>74</v>
      </c>
      <c r="BQ923" t="s">
        <v>74</v>
      </c>
      <c r="BR923" t="s">
        <v>103</v>
      </c>
      <c r="BS923" t="s">
        <v>17941</v>
      </c>
      <c r="BT923" t="str">
        <f>HYPERLINK("https%3A%2F%2Fwww.webofscience.com%2Fwos%2Fwoscc%2Ffull-record%2FWOS:000771946800013","View Full Record in Web of Science")</f>
        <v>View Full Record in Web of Science</v>
      </c>
    </row>
    <row r="924" spans="1:72" x14ac:dyDescent="0.15">
      <c r="A924" t="s">
        <v>72</v>
      </c>
      <c r="B924" t="s">
        <v>17942</v>
      </c>
      <c r="C924" t="s">
        <v>74</v>
      </c>
      <c r="D924" t="s">
        <v>74</v>
      </c>
      <c r="E924" t="s">
        <v>74</v>
      </c>
      <c r="F924" t="s">
        <v>17943</v>
      </c>
      <c r="G924" t="s">
        <v>74</v>
      </c>
      <c r="H924" t="s">
        <v>74</v>
      </c>
      <c r="I924" t="s">
        <v>17944</v>
      </c>
      <c r="J924" t="s">
        <v>17945</v>
      </c>
      <c r="K924" t="s">
        <v>74</v>
      </c>
      <c r="L924" t="s">
        <v>74</v>
      </c>
      <c r="M924" t="s">
        <v>78</v>
      </c>
      <c r="N924" t="s">
        <v>79</v>
      </c>
      <c r="O924" t="s">
        <v>74</v>
      </c>
      <c r="P924" t="s">
        <v>74</v>
      </c>
      <c r="Q924" t="s">
        <v>74</v>
      </c>
      <c r="R924" t="s">
        <v>74</v>
      </c>
      <c r="S924" t="s">
        <v>74</v>
      </c>
      <c r="T924" t="s">
        <v>17946</v>
      </c>
      <c r="U924" t="s">
        <v>17947</v>
      </c>
      <c r="V924" t="s">
        <v>17948</v>
      </c>
      <c r="W924" t="s">
        <v>17949</v>
      </c>
      <c r="X924" t="s">
        <v>17950</v>
      </c>
      <c r="Y924" t="s">
        <v>17951</v>
      </c>
      <c r="Z924" t="s">
        <v>17952</v>
      </c>
      <c r="AA924" t="s">
        <v>17953</v>
      </c>
      <c r="AB924" t="s">
        <v>17954</v>
      </c>
      <c r="AC924" t="s">
        <v>17955</v>
      </c>
      <c r="AD924" t="s">
        <v>17956</v>
      </c>
      <c r="AE924" t="s">
        <v>17957</v>
      </c>
      <c r="AF924" t="s">
        <v>74</v>
      </c>
      <c r="AG924">
        <v>82</v>
      </c>
      <c r="AH924">
        <v>3</v>
      </c>
      <c r="AI924">
        <v>3</v>
      </c>
      <c r="AJ924">
        <v>2</v>
      </c>
      <c r="AK924">
        <v>11</v>
      </c>
      <c r="AL924" t="s">
        <v>1766</v>
      </c>
      <c r="AM924" t="s">
        <v>1767</v>
      </c>
      <c r="AN924" t="s">
        <v>1768</v>
      </c>
      <c r="AO924" t="s">
        <v>74</v>
      </c>
      <c r="AP924" t="s">
        <v>17958</v>
      </c>
      <c r="AQ924" t="s">
        <v>74</v>
      </c>
      <c r="AR924" t="s">
        <v>17959</v>
      </c>
      <c r="AS924" t="s">
        <v>17960</v>
      </c>
      <c r="AT924" t="s">
        <v>6497</v>
      </c>
      <c r="AU924">
        <v>2022</v>
      </c>
      <c r="AV924">
        <v>19</v>
      </c>
      <c r="AW924">
        <v>5</v>
      </c>
      <c r="AX924" t="s">
        <v>74</v>
      </c>
      <c r="AY924" t="s">
        <v>74</v>
      </c>
      <c r="AZ924" t="s">
        <v>74</v>
      </c>
      <c r="BA924" t="s">
        <v>74</v>
      </c>
      <c r="BB924" t="s">
        <v>74</v>
      </c>
      <c r="BC924" t="s">
        <v>74</v>
      </c>
      <c r="BD924">
        <v>3084</v>
      </c>
      <c r="BE924" t="s">
        <v>17961</v>
      </c>
      <c r="BF924" t="str">
        <f>HYPERLINK("http://dx.doi.org/10.3390/ijerph19053084","http://dx.doi.org/10.3390/ijerph19053084")</f>
        <v>http://dx.doi.org/10.3390/ijerph19053084</v>
      </c>
      <c r="BG924" t="s">
        <v>74</v>
      </c>
      <c r="BH924" t="s">
        <v>74</v>
      </c>
      <c r="BI924">
        <v>30</v>
      </c>
      <c r="BJ924" t="s">
        <v>4177</v>
      </c>
      <c r="BK924" t="s">
        <v>956</v>
      </c>
      <c r="BL924" t="s">
        <v>4178</v>
      </c>
      <c r="BM924" t="s">
        <v>17962</v>
      </c>
      <c r="BN924">
        <v>35270776</v>
      </c>
      <c r="BO924" t="s">
        <v>1533</v>
      </c>
      <c r="BP924" t="s">
        <v>74</v>
      </c>
      <c r="BQ924" t="s">
        <v>74</v>
      </c>
      <c r="BR924" t="s">
        <v>103</v>
      </c>
      <c r="BS924" t="s">
        <v>17963</v>
      </c>
      <c r="BT924" t="str">
        <f>HYPERLINK("https%3A%2F%2Fwww.webofscience.com%2Fwos%2Fwoscc%2Ffull-record%2FWOS:000770908200001","View Full Record in Web of Science")</f>
        <v>View Full Record in Web of Science</v>
      </c>
    </row>
    <row r="925" spans="1:72" x14ac:dyDescent="0.15">
      <c r="A925" t="s">
        <v>72</v>
      </c>
      <c r="B925" t="s">
        <v>17964</v>
      </c>
      <c r="C925" t="s">
        <v>74</v>
      </c>
      <c r="D925" t="s">
        <v>74</v>
      </c>
      <c r="E925" t="s">
        <v>74</v>
      </c>
      <c r="F925" t="s">
        <v>17965</v>
      </c>
      <c r="G925" t="s">
        <v>74</v>
      </c>
      <c r="H925" t="s">
        <v>74</v>
      </c>
      <c r="I925" t="s">
        <v>17966</v>
      </c>
      <c r="J925" t="s">
        <v>17967</v>
      </c>
      <c r="K925" t="s">
        <v>74</v>
      </c>
      <c r="L925" t="s">
        <v>74</v>
      </c>
      <c r="M925" t="s">
        <v>78</v>
      </c>
      <c r="N925" t="s">
        <v>161</v>
      </c>
      <c r="O925" t="s">
        <v>74</v>
      </c>
      <c r="P925" t="s">
        <v>74</v>
      </c>
      <c r="Q925" t="s">
        <v>74</v>
      </c>
      <c r="R925" t="s">
        <v>74</v>
      </c>
      <c r="S925" t="s">
        <v>74</v>
      </c>
      <c r="T925" t="s">
        <v>17968</v>
      </c>
      <c r="U925" t="s">
        <v>17969</v>
      </c>
      <c r="V925" t="s">
        <v>17970</v>
      </c>
      <c r="W925" t="s">
        <v>17971</v>
      </c>
      <c r="X925" t="s">
        <v>17972</v>
      </c>
      <c r="Y925" t="s">
        <v>17973</v>
      </c>
      <c r="Z925" t="s">
        <v>17974</v>
      </c>
      <c r="AA925" t="s">
        <v>17975</v>
      </c>
      <c r="AB925" t="s">
        <v>17976</v>
      </c>
      <c r="AC925" t="s">
        <v>3452</v>
      </c>
      <c r="AD925" t="s">
        <v>3452</v>
      </c>
      <c r="AE925" t="s">
        <v>9658</v>
      </c>
      <c r="AF925" t="s">
        <v>74</v>
      </c>
      <c r="AG925">
        <v>103</v>
      </c>
      <c r="AH925">
        <v>7</v>
      </c>
      <c r="AI925">
        <v>10</v>
      </c>
      <c r="AJ925">
        <v>11</v>
      </c>
      <c r="AK925">
        <v>67</v>
      </c>
      <c r="AL925" t="s">
        <v>530</v>
      </c>
      <c r="AM925" t="s">
        <v>1121</v>
      </c>
      <c r="AN925" t="s">
        <v>1122</v>
      </c>
      <c r="AO925" t="s">
        <v>17977</v>
      </c>
      <c r="AP925" t="s">
        <v>17978</v>
      </c>
      <c r="AQ925" t="s">
        <v>74</v>
      </c>
      <c r="AR925" t="s">
        <v>17967</v>
      </c>
      <c r="AS925" t="s">
        <v>17979</v>
      </c>
      <c r="AT925" t="s">
        <v>6497</v>
      </c>
      <c r="AU925">
        <v>2022</v>
      </c>
      <c r="AV925">
        <v>42</v>
      </c>
      <c r="AW925">
        <v>3</v>
      </c>
      <c r="AX925" t="s">
        <v>74</v>
      </c>
      <c r="AY925" t="s">
        <v>74</v>
      </c>
      <c r="AZ925" t="s">
        <v>74</v>
      </c>
      <c r="BA925" t="s">
        <v>74</v>
      </c>
      <c r="BB925" t="s">
        <v>74</v>
      </c>
      <c r="BC925" t="s">
        <v>74</v>
      </c>
      <c r="BD925">
        <v>23</v>
      </c>
      <c r="BE925" t="s">
        <v>17980</v>
      </c>
      <c r="BF925" t="str">
        <f>HYPERLINK("http://dx.doi.org/10.1007/s13157-022-01539-5","http://dx.doi.org/10.1007/s13157-022-01539-5")</f>
        <v>http://dx.doi.org/10.1007/s13157-022-01539-5</v>
      </c>
      <c r="BG925" t="s">
        <v>74</v>
      </c>
      <c r="BH925" t="s">
        <v>74</v>
      </c>
      <c r="BI925">
        <v>15</v>
      </c>
      <c r="BJ925" t="s">
        <v>2665</v>
      </c>
      <c r="BK925" t="s">
        <v>101</v>
      </c>
      <c r="BL925" t="s">
        <v>840</v>
      </c>
      <c r="BM925" t="s">
        <v>17981</v>
      </c>
      <c r="BN925" t="s">
        <v>74</v>
      </c>
      <c r="BO925" t="s">
        <v>1033</v>
      </c>
      <c r="BP925" t="s">
        <v>74</v>
      </c>
      <c r="BQ925" t="s">
        <v>74</v>
      </c>
      <c r="BR925" t="s">
        <v>103</v>
      </c>
      <c r="BS925" t="s">
        <v>17982</v>
      </c>
      <c r="BT925" t="str">
        <f>HYPERLINK("https%3A%2F%2Fwww.webofscience.com%2Fwos%2Fwoscc%2Ffull-record%2FWOS:000768834200001","View Full Record in Web of Science")</f>
        <v>View Full Record in Web of Science</v>
      </c>
    </row>
    <row r="926" spans="1:72" x14ac:dyDescent="0.15">
      <c r="A926" t="s">
        <v>72</v>
      </c>
      <c r="B926" t="s">
        <v>17983</v>
      </c>
      <c r="C926" t="s">
        <v>74</v>
      </c>
      <c r="D926" t="s">
        <v>74</v>
      </c>
      <c r="E926" t="s">
        <v>74</v>
      </c>
      <c r="F926" t="s">
        <v>17984</v>
      </c>
      <c r="G926" t="s">
        <v>74</v>
      </c>
      <c r="H926" t="s">
        <v>17985</v>
      </c>
      <c r="I926" t="s">
        <v>17986</v>
      </c>
      <c r="J926" t="s">
        <v>2565</v>
      </c>
      <c r="K926" t="s">
        <v>74</v>
      </c>
      <c r="L926" t="s">
        <v>74</v>
      </c>
      <c r="M926" t="s">
        <v>78</v>
      </c>
      <c r="N926" t="s">
        <v>79</v>
      </c>
      <c r="O926" t="s">
        <v>74</v>
      </c>
      <c r="P926" t="s">
        <v>74</v>
      </c>
      <c r="Q926" t="s">
        <v>74</v>
      </c>
      <c r="R926" t="s">
        <v>74</v>
      </c>
      <c r="S926" t="s">
        <v>74</v>
      </c>
      <c r="T926" t="s">
        <v>74</v>
      </c>
      <c r="U926" t="s">
        <v>17987</v>
      </c>
      <c r="V926" t="s">
        <v>17988</v>
      </c>
      <c r="W926" t="s">
        <v>17989</v>
      </c>
      <c r="X926" t="s">
        <v>17990</v>
      </c>
      <c r="Y926" t="s">
        <v>17991</v>
      </c>
      <c r="Z926" t="s">
        <v>17992</v>
      </c>
      <c r="AA926" t="s">
        <v>17993</v>
      </c>
      <c r="AB926" t="s">
        <v>17994</v>
      </c>
      <c r="AC926" t="s">
        <v>17995</v>
      </c>
      <c r="AD926" t="s">
        <v>17996</v>
      </c>
      <c r="AE926" t="s">
        <v>17997</v>
      </c>
      <c r="AF926" t="s">
        <v>74</v>
      </c>
      <c r="AG926">
        <v>88</v>
      </c>
      <c r="AH926">
        <v>27</v>
      </c>
      <c r="AI926">
        <v>28</v>
      </c>
      <c r="AJ926">
        <v>1</v>
      </c>
      <c r="AK926">
        <v>3</v>
      </c>
      <c r="AL926" t="s">
        <v>2572</v>
      </c>
      <c r="AM926" t="s">
        <v>2573</v>
      </c>
      <c r="AN926" t="s">
        <v>2574</v>
      </c>
      <c r="AO926" t="s">
        <v>2575</v>
      </c>
      <c r="AP926" t="s">
        <v>2576</v>
      </c>
      <c r="AQ926" t="s">
        <v>74</v>
      </c>
      <c r="AR926" t="s">
        <v>2577</v>
      </c>
      <c r="AS926" t="s">
        <v>2578</v>
      </c>
      <c r="AT926" t="s">
        <v>17188</v>
      </c>
      <c r="AU926">
        <v>2022</v>
      </c>
      <c r="AV926">
        <v>927</v>
      </c>
      <c r="AW926">
        <v>2</v>
      </c>
      <c r="AX926" t="s">
        <v>74</v>
      </c>
      <c r="AY926" t="s">
        <v>74</v>
      </c>
      <c r="AZ926" t="s">
        <v>74</v>
      </c>
      <c r="BA926" t="s">
        <v>74</v>
      </c>
      <c r="BB926" t="s">
        <v>74</v>
      </c>
      <c r="BC926" t="s">
        <v>74</v>
      </c>
      <c r="BD926">
        <v>174</v>
      </c>
      <c r="BE926" t="s">
        <v>17998</v>
      </c>
      <c r="BF926" t="str">
        <f>HYPERLINK("http://dx.doi.org/10.3847/1538-4357/ac20df","http://dx.doi.org/10.3847/1538-4357/ac20df")</f>
        <v>http://dx.doi.org/10.3847/1538-4357/ac20df</v>
      </c>
      <c r="BG926" t="s">
        <v>74</v>
      </c>
      <c r="BH926" t="s">
        <v>74</v>
      </c>
      <c r="BI926">
        <v>26</v>
      </c>
      <c r="BJ926" t="s">
        <v>2275</v>
      </c>
      <c r="BK926" t="s">
        <v>101</v>
      </c>
      <c r="BL926" t="s">
        <v>2275</v>
      </c>
      <c r="BM926" t="s">
        <v>17999</v>
      </c>
      <c r="BN926" t="s">
        <v>74</v>
      </c>
      <c r="BO926" t="s">
        <v>18000</v>
      </c>
      <c r="BP926" t="s">
        <v>74</v>
      </c>
      <c r="BQ926" t="s">
        <v>74</v>
      </c>
      <c r="BR926" t="s">
        <v>103</v>
      </c>
      <c r="BS926" t="s">
        <v>18001</v>
      </c>
      <c r="BT926" t="str">
        <f>HYPERLINK("https%3A%2F%2Fwww.webofscience.com%2Fwos%2Fwoscc%2Ffull-record%2FWOS:000768515600001","View Full Record in Web of Science")</f>
        <v>View Full Record in Web of Science</v>
      </c>
    </row>
    <row r="927" spans="1:72" x14ac:dyDescent="0.15">
      <c r="A927" t="s">
        <v>72</v>
      </c>
      <c r="B927" t="s">
        <v>18002</v>
      </c>
      <c r="C927" t="s">
        <v>74</v>
      </c>
      <c r="D927" t="s">
        <v>74</v>
      </c>
      <c r="E927" t="s">
        <v>74</v>
      </c>
      <c r="F927" t="s">
        <v>18003</v>
      </c>
      <c r="G927" t="s">
        <v>74</v>
      </c>
      <c r="H927" t="s">
        <v>74</v>
      </c>
      <c r="I927" t="s">
        <v>18004</v>
      </c>
      <c r="J927" t="s">
        <v>2822</v>
      </c>
      <c r="K927" t="s">
        <v>74</v>
      </c>
      <c r="L927" t="s">
        <v>74</v>
      </c>
      <c r="M927" t="s">
        <v>78</v>
      </c>
      <c r="N927" t="s">
        <v>79</v>
      </c>
      <c r="O927" t="s">
        <v>74</v>
      </c>
      <c r="P927" t="s">
        <v>74</v>
      </c>
      <c r="Q927" t="s">
        <v>74</v>
      </c>
      <c r="R927" t="s">
        <v>74</v>
      </c>
      <c r="S927" t="s">
        <v>74</v>
      </c>
      <c r="T927" t="s">
        <v>74</v>
      </c>
      <c r="U927" t="s">
        <v>18005</v>
      </c>
      <c r="V927" t="s">
        <v>18006</v>
      </c>
      <c r="W927" t="s">
        <v>18007</v>
      </c>
      <c r="X927" t="s">
        <v>18008</v>
      </c>
      <c r="Y927" t="s">
        <v>18009</v>
      </c>
      <c r="Z927" t="s">
        <v>18010</v>
      </c>
      <c r="AA927" t="s">
        <v>18011</v>
      </c>
      <c r="AB927" t="s">
        <v>18012</v>
      </c>
      <c r="AC927" t="s">
        <v>18013</v>
      </c>
      <c r="AD927" t="s">
        <v>18014</v>
      </c>
      <c r="AE927" t="s">
        <v>18015</v>
      </c>
      <c r="AF927" t="s">
        <v>74</v>
      </c>
      <c r="AG927">
        <v>42</v>
      </c>
      <c r="AH927">
        <v>1</v>
      </c>
      <c r="AI927">
        <v>1</v>
      </c>
      <c r="AJ927">
        <v>0</v>
      </c>
      <c r="AK927">
        <v>4</v>
      </c>
      <c r="AL927" t="s">
        <v>117</v>
      </c>
      <c r="AM927" t="s">
        <v>118</v>
      </c>
      <c r="AN927" t="s">
        <v>119</v>
      </c>
      <c r="AO927" t="s">
        <v>2833</v>
      </c>
      <c r="AP927" t="s">
        <v>2834</v>
      </c>
      <c r="AQ927" t="s">
        <v>74</v>
      </c>
      <c r="AR927" t="s">
        <v>2835</v>
      </c>
      <c r="AS927" t="s">
        <v>2836</v>
      </c>
      <c r="AT927" t="s">
        <v>17188</v>
      </c>
      <c r="AU927">
        <v>2022</v>
      </c>
      <c r="AV927">
        <v>40</v>
      </c>
      <c r="AW927">
        <v>1</v>
      </c>
      <c r="AX927" t="s">
        <v>74</v>
      </c>
      <c r="AY927" t="s">
        <v>74</v>
      </c>
      <c r="AZ927" t="s">
        <v>74</v>
      </c>
      <c r="BA927" t="s">
        <v>74</v>
      </c>
      <c r="BB927">
        <v>151</v>
      </c>
      <c r="BC927">
        <v>165</v>
      </c>
      <c r="BD927" t="s">
        <v>74</v>
      </c>
      <c r="BE927" t="s">
        <v>18016</v>
      </c>
      <c r="BF927" t="str">
        <f>HYPERLINK("http://dx.doi.org/10.5194/angeo-40-151-2022","http://dx.doi.org/10.5194/angeo-40-151-2022")</f>
        <v>http://dx.doi.org/10.5194/angeo-40-151-2022</v>
      </c>
      <c r="BG927" t="s">
        <v>74</v>
      </c>
      <c r="BH927" t="s">
        <v>74</v>
      </c>
      <c r="BI927">
        <v>15</v>
      </c>
      <c r="BJ927" t="s">
        <v>2838</v>
      </c>
      <c r="BK927" t="s">
        <v>101</v>
      </c>
      <c r="BL927" t="s">
        <v>2839</v>
      </c>
      <c r="BM927" t="s">
        <v>18017</v>
      </c>
      <c r="BN927" t="s">
        <v>74</v>
      </c>
      <c r="BO927" t="s">
        <v>2560</v>
      </c>
      <c r="BP927" t="s">
        <v>74</v>
      </c>
      <c r="BQ927" t="s">
        <v>74</v>
      </c>
      <c r="BR927" t="s">
        <v>103</v>
      </c>
      <c r="BS927" t="s">
        <v>18018</v>
      </c>
      <c r="BT927" t="str">
        <f>HYPERLINK("https%3A%2F%2Fwww.webofscience.com%2Fwos%2Fwoscc%2Ffull-record%2FWOS:000765646000001","View Full Record in Web of Science")</f>
        <v>View Full Record in Web of Science</v>
      </c>
    </row>
    <row r="928" spans="1:72" x14ac:dyDescent="0.15">
      <c r="A928" t="s">
        <v>72</v>
      </c>
      <c r="B928" t="s">
        <v>18019</v>
      </c>
      <c r="C928" t="s">
        <v>74</v>
      </c>
      <c r="D928" t="s">
        <v>74</v>
      </c>
      <c r="E928" t="s">
        <v>74</v>
      </c>
      <c r="F928" t="s">
        <v>18020</v>
      </c>
      <c r="G928" t="s">
        <v>74</v>
      </c>
      <c r="H928" t="s">
        <v>74</v>
      </c>
      <c r="I928" t="s">
        <v>18021</v>
      </c>
      <c r="J928" t="s">
        <v>1923</v>
      </c>
      <c r="K928" t="s">
        <v>74</v>
      </c>
      <c r="L928" t="s">
        <v>74</v>
      </c>
      <c r="M928" t="s">
        <v>78</v>
      </c>
      <c r="N928" t="s">
        <v>79</v>
      </c>
      <c r="O928" t="s">
        <v>74</v>
      </c>
      <c r="P928" t="s">
        <v>74</v>
      </c>
      <c r="Q928" t="s">
        <v>74</v>
      </c>
      <c r="R928" t="s">
        <v>74</v>
      </c>
      <c r="S928" t="s">
        <v>74</v>
      </c>
      <c r="T928" t="s">
        <v>18022</v>
      </c>
      <c r="U928" t="s">
        <v>18023</v>
      </c>
      <c r="V928" t="s">
        <v>18024</v>
      </c>
      <c r="W928" t="s">
        <v>18025</v>
      </c>
      <c r="X928" t="s">
        <v>18026</v>
      </c>
      <c r="Y928" t="s">
        <v>18027</v>
      </c>
      <c r="Z928" t="s">
        <v>18028</v>
      </c>
      <c r="AA928" t="s">
        <v>74</v>
      </c>
      <c r="AB928" t="s">
        <v>18029</v>
      </c>
      <c r="AC928" t="s">
        <v>74</v>
      </c>
      <c r="AD928" t="s">
        <v>74</v>
      </c>
      <c r="AE928" t="s">
        <v>74</v>
      </c>
      <c r="AF928" t="s">
        <v>74</v>
      </c>
      <c r="AG928">
        <v>44</v>
      </c>
      <c r="AH928">
        <v>3</v>
      </c>
      <c r="AI928">
        <v>4</v>
      </c>
      <c r="AJ928">
        <v>7</v>
      </c>
      <c r="AK928">
        <v>38</v>
      </c>
      <c r="AL928" t="s">
        <v>1766</v>
      </c>
      <c r="AM928" t="s">
        <v>1767</v>
      </c>
      <c r="AN928" t="s">
        <v>1768</v>
      </c>
      <c r="AO928" t="s">
        <v>74</v>
      </c>
      <c r="AP928" t="s">
        <v>1935</v>
      </c>
      <c r="AQ928" t="s">
        <v>74</v>
      </c>
      <c r="AR928" t="s">
        <v>1936</v>
      </c>
      <c r="AS928" t="s">
        <v>1937</v>
      </c>
      <c r="AT928" t="s">
        <v>6497</v>
      </c>
      <c r="AU928">
        <v>2022</v>
      </c>
      <c r="AV928">
        <v>14</v>
      </c>
      <c r="AW928">
        <v>5</v>
      </c>
      <c r="AX928" t="s">
        <v>74</v>
      </c>
      <c r="AY928" t="s">
        <v>74</v>
      </c>
      <c r="AZ928" t="s">
        <v>74</v>
      </c>
      <c r="BA928" t="s">
        <v>74</v>
      </c>
      <c r="BB928" t="s">
        <v>74</v>
      </c>
      <c r="BC928" t="s">
        <v>74</v>
      </c>
      <c r="BD928">
        <v>1069</v>
      </c>
      <c r="BE928" t="s">
        <v>18030</v>
      </c>
      <c r="BF928" t="str">
        <f>HYPERLINK("http://dx.doi.org/10.3390/rs14051069","http://dx.doi.org/10.3390/rs14051069")</f>
        <v>http://dx.doi.org/10.3390/rs14051069</v>
      </c>
      <c r="BG928" t="s">
        <v>74</v>
      </c>
      <c r="BH928" t="s">
        <v>74</v>
      </c>
      <c r="BI928">
        <v>21</v>
      </c>
      <c r="BJ928" t="s">
        <v>1939</v>
      </c>
      <c r="BK928" t="s">
        <v>101</v>
      </c>
      <c r="BL928" t="s">
        <v>1940</v>
      </c>
      <c r="BM928" t="s">
        <v>18031</v>
      </c>
      <c r="BN928" t="s">
        <v>74</v>
      </c>
      <c r="BO928" t="s">
        <v>438</v>
      </c>
      <c r="BP928" t="s">
        <v>74</v>
      </c>
      <c r="BQ928" t="s">
        <v>74</v>
      </c>
      <c r="BR928" t="s">
        <v>103</v>
      </c>
      <c r="BS928" t="s">
        <v>18032</v>
      </c>
      <c r="BT928" t="str">
        <f>HYPERLINK("https%3A%2F%2Fwww.webofscience.com%2Fwos%2Fwoscc%2Ffull-record%2FWOS:000768790100001","View Full Record in Web of Science")</f>
        <v>View Full Record in Web of Science</v>
      </c>
    </row>
    <row r="929" spans="1:72" x14ac:dyDescent="0.15">
      <c r="A929" t="s">
        <v>72</v>
      </c>
      <c r="B929" t="s">
        <v>18033</v>
      </c>
      <c r="C929" t="s">
        <v>74</v>
      </c>
      <c r="D929" t="s">
        <v>74</v>
      </c>
      <c r="E929" t="s">
        <v>74</v>
      </c>
      <c r="F929" t="s">
        <v>18034</v>
      </c>
      <c r="G929" t="s">
        <v>74</v>
      </c>
      <c r="H929" t="s">
        <v>74</v>
      </c>
      <c r="I929" t="s">
        <v>18035</v>
      </c>
      <c r="J929" t="s">
        <v>18036</v>
      </c>
      <c r="K929" t="s">
        <v>74</v>
      </c>
      <c r="L929" t="s">
        <v>74</v>
      </c>
      <c r="M929" t="s">
        <v>78</v>
      </c>
      <c r="N929" t="s">
        <v>79</v>
      </c>
      <c r="O929" t="s">
        <v>74</v>
      </c>
      <c r="P929" t="s">
        <v>74</v>
      </c>
      <c r="Q929" t="s">
        <v>74</v>
      </c>
      <c r="R929" t="s">
        <v>74</v>
      </c>
      <c r="S929" t="s">
        <v>74</v>
      </c>
      <c r="T929" t="s">
        <v>18037</v>
      </c>
      <c r="U929" t="s">
        <v>18038</v>
      </c>
      <c r="V929" t="s">
        <v>18039</v>
      </c>
      <c r="W929" t="s">
        <v>18040</v>
      </c>
      <c r="X929" t="s">
        <v>18041</v>
      </c>
      <c r="Y929" t="s">
        <v>18042</v>
      </c>
      <c r="Z929" t="s">
        <v>18043</v>
      </c>
      <c r="AA929" t="s">
        <v>18044</v>
      </c>
      <c r="AB929" t="s">
        <v>18045</v>
      </c>
      <c r="AC929" t="s">
        <v>74</v>
      </c>
      <c r="AD929" t="s">
        <v>74</v>
      </c>
      <c r="AE929" t="s">
        <v>74</v>
      </c>
      <c r="AF929" t="s">
        <v>74</v>
      </c>
      <c r="AG929">
        <v>64</v>
      </c>
      <c r="AH929">
        <v>0</v>
      </c>
      <c r="AI929">
        <v>0</v>
      </c>
      <c r="AJ929">
        <v>1</v>
      </c>
      <c r="AK929">
        <v>4</v>
      </c>
      <c r="AL929" t="s">
        <v>1766</v>
      </c>
      <c r="AM929" t="s">
        <v>1767</v>
      </c>
      <c r="AN929" t="s">
        <v>1768</v>
      </c>
      <c r="AO929" t="s">
        <v>18046</v>
      </c>
      <c r="AP929" t="s">
        <v>74</v>
      </c>
      <c r="AQ929" t="s">
        <v>74</v>
      </c>
      <c r="AR929" t="s">
        <v>18047</v>
      </c>
      <c r="AS929" t="s">
        <v>18048</v>
      </c>
      <c r="AT929" t="s">
        <v>6497</v>
      </c>
      <c r="AU929">
        <v>2022</v>
      </c>
      <c r="AV929">
        <v>12</v>
      </c>
      <c r="AW929">
        <v>5</v>
      </c>
      <c r="AX929" t="s">
        <v>74</v>
      </c>
      <c r="AY929" t="s">
        <v>74</v>
      </c>
      <c r="AZ929" t="s">
        <v>74</v>
      </c>
      <c r="BA929" t="s">
        <v>74</v>
      </c>
      <c r="BB929" t="s">
        <v>74</v>
      </c>
      <c r="BC929" t="s">
        <v>74</v>
      </c>
      <c r="BD929">
        <v>663</v>
      </c>
      <c r="BE929" t="s">
        <v>18049</v>
      </c>
      <c r="BF929" t="str">
        <f>HYPERLINK("http://dx.doi.org/10.3390/ani12050663","http://dx.doi.org/10.3390/ani12050663")</f>
        <v>http://dx.doi.org/10.3390/ani12050663</v>
      </c>
      <c r="BG929" t="s">
        <v>74</v>
      </c>
      <c r="BH929" t="s">
        <v>74</v>
      </c>
      <c r="BI929">
        <v>18</v>
      </c>
      <c r="BJ929" t="s">
        <v>18050</v>
      </c>
      <c r="BK929" t="s">
        <v>101</v>
      </c>
      <c r="BL929" t="s">
        <v>18051</v>
      </c>
      <c r="BM929" t="s">
        <v>18052</v>
      </c>
      <c r="BN929">
        <v>35268231</v>
      </c>
      <c r="BO929" t="s">
        <v>1533</v>
      </c>
      <c r="BP929" t="s">
        <v>74</v>
      </c>
      <c r="BQ929" t="s">
        <v>74</v>
      </c>
      <c r="BR929" t="s">
        <v>103</v>
      </c>
      <c r="BS929" t="s">
        <v>18053</v>
      </c>
      <c r="BT929" t="str">
        <f>HYPERLINK("https%3A%2F%2Fwww.webofscience.com%2Fwos%2Fwoscc%2Ffull-record%2FWOS:000767999500001","View Full Record in Web of Science")</f>
        <v>View Full Record in Web of Science</v>
      </c>
    </row>
    <row r="930" spans="1:72" x14ac:dyDescent="0.15">
      <c r="A930" t="s">
        <v>72</v>
      </c>
      <c r="B930" t="s">
        <v>18054</v>
      </c>
      <c r="C930" t="s">
        <v>74</v>
      </c>
      <c r="D930" t="s">
        <v>74</v>
      </c>
      <c r="E930" t="s">
        <v>74</v>
      </c>
      <c r="F930" t="s">
        <v>18055</v>
      </c>
      <c r="G930" t="s">
        <v>74</v>
      </c>
      <c r="H930" t="s">
        <v>74</v>
      </c>
      <c r="I930" t="s">
        <v>18056</v>
      </c>
      <c r="J930" t="s">
        <v>1923</v>
      </c>
      <c r="K930" t="s">
        <v>74</v>
      </c>
      <c r="L930" t="s">
        <v>74</v>
      </c>
      <c r="M930" t="s">
        <v>78</v>
      </c>
      <c r="N930" t="s">
        <v>79</v>
      </c>
      <c r="O930" t="s">
        <v>74</v>
      </c>
      <c r="P930" t="s">
        <v>74</v>
      </c>
      <c r="Q930" t="s">
        <v>74</v>
      </c>
      <c r="R930" t="s">
        <v>74</v>
      </c>
      <c r="S930" t="s">
        <v>74</v>
      </c>
      <c r="T930" t="s">
        <v>18057</v>
      </c>
      <c r="U930" t="s">
        <v>18058</v>
      </c>
      <c r="V930" t="s">
        <v>18059</v>
      </c>
      <c r="W930" t="s">
        <v>18060</v>
      </c>
      <c r="X930" t="s">
        <v>18061</v>
      </c>
      <c r="Y930" t="s">
        <v>18062</v>
      </c>
      <c r="Z930" t="s">
        <v>18063</v>
      </c>
      <c r="AA930" t="s">
        <v>18064</v>
      </c>
      <c r="AB930" t="s">
        <v>18065</v>
      </c>
      <c r="AC930" t="s">
        <v>74</v>
      </c>
      <c r="AD930" t="s">
        <v>74</v>
      </c>
      <c r="AE930" t="s">
        <v>74</v>
      </c>
      <c r="AF930" t="s">
        <v>74</v>
      </c>
      <c r="AG930">
        <v>74</v>
      </c>
      <c r="AH930">
        <v>10</v>
      </c>
      <c r="AI930">
        <v>10</v>
      </c>
      <c r="AJ930">
        <v>4</v>
      </c>
      <c r="AK930">
        <v>11</v>
      </c>
      <c r="AL930" t="s">
        <v>1766</v>
      </c>
      <c r="AM930" t="s">
        <v>1767</v>
      </c>
      <c r="AN930" t="s">
        <v>1768</v>
      </c>
      <c r="AO930" t="s">
        <v>74</v>
      </c>
      <c r="AP930" t="s">
        <v>1935</v>
      </c>
      <c r="AQ930" t="s">
        <v>74</v>
      </c>
      <c r="AR930" t="s">
        <v>1936</v>
      </c>
      <c r="AS930" t="s">
        <v>1937</v>
      </c>
      <c r="AT930" t="s">
        <v>6497</v>
      </c>
      <c r="AU930">
        <v>2022</v>
      </c>
      <c r="AV930">
        <v>14</v>
      </c>
      <c r="AW930">
        <v>5</v>
      </c>
      <c r="AX930" t="s">
        <v>74</v>
      </c>
      <c r="AY930" t="s">
        <v>74</v>
      </c>
      <c r="AZ930" t="s">
        <v>74</v>
      </c>
      <c r="BA930" t="s">
        <v>74</v>
      </c>
      <c r="BB930" t="s">
        <v>74</v>
      </c>
      <c r="BC930" t="s">
        <v>74</v>
      </c>
      <c r="BD930">
        <v>1052</v>
      </c>
      <c r="BE930" t="s">
        <v>18066</v>
      </c>
      <c r="BF930" t="str">
        <f>HYPERLINK("http://dx.doi.org/10.3390/rs14051052","http://dx.doi.org/10.3390/rs14051052")</f>
        <v>http://dx.doi.org/10.3390/rs14051052</v>
      </c>
      <c r="BG930" t="s">
        <v>74</v>
      </c>
      <c r="BH930" t="s">
        <v>74</v>
      </c>
      <c r="BI930">
        <v>24</v>
      </c>
      <c r="BJ930" t="s">
        <v>1939</v>
      </c>
      <c r="BK930" t="s">
        <v>101</v>
      </c>
      <c r="BL930" t="s">
        <v>1940</v>
      </c>
      <c r="BM930" t="s">
        <v>18067</v>
      </c>
      <c r="BN930" t="s">
        <v>74</v>
      </c>
      <c r="BO930" t="s">
        <v>438</v>
      </c>
      <c r="BP930" t="s">
        <v>74</v>
      </c>
      <c r="BQ930" t="s">
        <v>74</v>
      </c>
      <c r="BR930" t="s">
        <v>103</v>
      </c>
      <c r="BS930" t="s">
        <v>18068</v>
      </c>
      <c r="BT930" t="str">
        <f>HYPERLINK("https%3A%2F%2Fwww.webofscience.com%2Fwos%2Fwoscc%2Ffull-record%2FWOS:000768736100001","View Full Record in Web of Science")</f>
        <v>View Full Record in Web of Science</v>
      </c>
    </row>
    <row r="931" spans="1:72" x14ac:dyDescent="0.15">
      <c r="A931" t="s">
        <v>72</v>
      </c>
      <c r="B931" t="s">
        <v>18069</v>
      </c>
      <c r="C931" t="s">
        <v>74</v>
      </c>
      <c r="D931" t="s">
        <v>74</v>
      </c>
      <c r="E931" t="s">
        <v>74</v>
      </c>
      <c r="F931" t="s">
        <v>18070</v>
      </c>
      <c r="G931" t="s">
        <v>74</v>
      </c>
      <c r="H931" t="s">
        <v>74</v>
      </c>
      <c r="I931" t="s">
        <v>18071</v>
      </c>
      <c r="J931" t="s">
        <v>7018</v>
      </c>
      <c r="K931" t="s">
        <v>74</v>
      </c>
      <c r="L931" t="s">
        <v>74</v>
      </c>
      <c r="M931" t="s">
        <v>78</v>
      </c>
      <c r="N931" t="s">
        <v>79</v>
      </c>
      <c r="O931" t="s">
        <v>74</v>
      </c>
      <c r="P931" t="s">
        <v>74</v>
      </c>
      <c r="Q931" t="s">
        <v>74</v>
      </c>
      <c r="R931" t="s">
        <v>74</v>
      </c>
      <c r="S931" t="s">
        <v>74</v>
      </c>
      <c r="T931" t="s">
        <v>18072</v>
      </c>
      <c r="U931" t="s">
        <v>18073</v>
      </c>
      <c r="V931" t="s">
        <v>18074</v>
      </c>
      <c r="W931" t="s">
        <v>18075</v>
      </c>
      <c r="X931" t="s">
        <v>18076</v>
      </c>
      <c r="Y931" t="s">
        <v>18077</v>
      </c>
      <c r="Z931" t="s">
        <v>18078</v>
      </c>
      <c r="AA931" t="s">
        <v>18079</v>
      </c>
      <c r="AB931" t="s">
        <v>18080</v>
      </c>
      <c r="AC931" t="s">
        <v>74</v>
      </c>
      <c r="AD931" t="s">
        <v>74</v>
      </c>
      <c r="AE931" t="s">
        <v>74</v>
      </c>
      <c r="AF931" t="s">
        <v>74</v>
      </c>
      <c r="AG931">
        <v>101</v>
      </c>
      <c r="AH931">
        <v>1</v>
      </c>
      <c r="AI931">
        <v>1</v>
      </c>
      <c r="AJ931">
        <v>3</v>
      </c>
      <c r="AK931">
        <v>12</v>
      </c>
      <c r="AL931" t="s">
        <v>1766</v>
      </c>
      <c r="AM931" t="s">
        <v>1767</v>
      </c>
      <c r="AN931" t="s">
        <v>1768</v>
      </c>
      <c r="AO931" t="s">
        <v>74</v>
      </c>
      <c r="AP931" t="s">
        <v>7028</v>
      </c>
      <c r="AQ931" t="s">
        <v>74</v>
      </c>
      <c r="AR931" t="s">
        <v>7029</v>
      </c>
      <c r="AS931" t="s">
        <v>7030</v>
      </c>
      <c r="AT931" t="s">
        <v>6497</v>
      </c>
      <c r="AU931">
        <v>2022</v>
      </c>
      <c r="AV931">
        <v>14</v>
      </c>
      <c r="AW931">
        <v>5</v>
      </c>
      <c r="AX931" t="s">
        <v>74</v>
      </c>
      <c r="AY931" t="s">
        <v>74</v>
      </c>
      <c r="AZ931" t="s">
        <v>74</v>
      </c>
      <c r="BA931" t="s">
        <v>74</v>
      </c>
      <c r="BB931" t="s">
        <v>74</v>
      </c>
      <c r="BC931" t="s">
        <v>74</v>
      </c>
      <c r="BD931">
        <v>2927</v>
      </c>
      <c r="BE931" t="s">
        <v>18081</v>
      </c>
      <c r="BF931" t="str">
        <f>HYPERLINK("http://dx.doi.org/10.3390/su14052927","http://dx.doi.org/10.3390/su14052927")</f>
        <v>http://dx.doi.org/10.3390/su14052927</v>
      </c>
      <c r="BG931" t="s">
        <v>74</v>
      </c>
      <c r="BH931" t="s">
        <v>74</v>
      </c>
      <c r="BI931">
        <v>17</v>
      </c>
      <c r="BJ931" t="s">
        <v>7032</v>
      </c>
      <c r="BK931" t="s">
        <v>956</v>
      </c>
      <c r="BL931" t="s">
        <v>7033</v>
      </c>
      <c r="BM931" t="s">
        <v>18082</v>
      </c>
      <c r="BN931" t="s">
        <v>74</v>
      </c>
      <c r="BO931" t="s">
        <v>438</v>
      </c>
      <c r="BP931" t="s">
        <v>74</v>
      </c>
      <c r="BQ931" t="s">
        <v>74</v>
      </c>
      <c r="BR931" t="s">
        <v>103</v>
      </c>
      <c r="BS931" t="s">
        <v>18083</v>
      </c>
      <c r="BT931" t="str">
        <f>HYPERLINK("https%3A%2F%2Fwww.webofscience.com%2Fwos%2Fwoscc%2Ffull-record%2FWOS:000768633500001","View Full Record in Web of Science")</f>
        <v>View Full Record in Web of Science</v>
      </c>
    </row>
    <row r="932" spans="1:72" x14ac:dyDescent="0.15">
      <c r="A932" t="s">
        <v>72</v>
      </c>
      <c r="B932" t="s">
        <v>18084</v>
      </c>
      <c r="C932" t="s">
        <v>74</v>
      </c>
      <c r="D932" t="s">
        <v>74</v>
      </c>
      <c r="E932" t="s">
        <v>74</v>
      </c>
      <c r="F932" t="s">
        <v>18085</v>
      </c>
      <c r="G932" t="s">
        <v>74</v>
      </c>
      <c r="H932" t="s">
        <v>18086</v>
      </c>
      <c r="I932" t="s">
        <v>18087</v>
      </c>
      <c r="J932" t="s">
        <v>2565</v>
      </c>
      <c r="K932" t="s">
        <v>74</v>
      </c>
      <c r="L932" t="s">
        <v>74</v>
      </c>
      <c r="M932" t="s">
        <v>78</v>
      </c>
      <c r="N932" t="s">
        <v>79</v>
      </c>
      <c r="O932" t="s">
        <v>74</v>
      </c>
      <c r="P932" t="s">
        <v>74</v>
      </c>
      <c r="Q932" t="s">
        <v>74</v>
      </c>
      <c r="R932" t="s">
        <v>74</v>
      </c>
      <c r="S932" t="s">
        <v>74</v>
      </c>
      <c r="T932" t="s">
        <v>74</v>
      </c>
      <c r="U932" t="s">
        <v>18088</v>
      </c>
      <c r="V932" t="s">
        <v>18089</v>
      </c>
      <c r="W932" t="s">
        <v>18090</v>
      </c>
      <c r="X932" t="s">
        <v>18091</v>
      </c>
      <c r="Y932" t="s">
        <v>18092</v>
      </c>
      <c r="Z932" t="s">
        <v>18093</v>
      </c>
      <c r="AA932" t="s">
        <v>18094</v>
      </c>
      <c r="AB932" t="s">
        <v>18095</v>
      </c>
      <c r="AC932" t="s">
        <v>18096</v>
      </c>
      <c r="AD932" t="s">
        <v>18097</v>
      </c>
      <c r="AE932" t="s">
        <v>18098</v>
      </c>
      <c r="AF932" t="s">
        <v>74</v>
      </c>
      <c r="AG932">
        <v>65</v>
      </c>
      <c r="AH932">
        <v>15</v>
      </c>
      <c r="AI932">
        <v>16</v>
      </c>
      <c r="AJ932">
        <v>1</v>
      </c>
      <c r="AK932">
        <v>2</v>
      </c>
      <c r="AL932" t="s">
        <v>2572</v>
      </c>
      <c r="AM932" t="s">
        <v>2573</v>
      </c>
      <c r="AN932" t="s">
        <v>2574</v>
      </c>
      <c r="AO932" t="s">
        <v>2575</v>
      </c>
      <c r="AP932" t="s">
        <v>2576</v>
      </c>
      <c r="AQ932" t="s">
        <v>74</v>
      </c>
      <c r="AR932" t="s">
        <v>2577</v>
      </c>
      <c r="AS932" t="s">
        <v>2578</v>
      </c>
      <c r="AT932" t="s">
        <v>17188</v>
      </c>
      <c r="AU932">
        <v>2022</v>
      </c>
      <c r="AV932">
        <v>927</v>
      </c>
      <c r="AW932">
        <v>1</v>
      </c>
      <c r="AX932" t="s">
        <v>74</v>
      </c>
      <c r="AY932" t="s">
        <v>74</v>
      </c>
      <c r="AZ932" t="s">
        <v>74</v>
      </c>
      <c r="BA932" t="s">
        <v>74</v>
      </c>
      <c r="BB932" t="s">
        <v>74</v>
      </c>
      <c r="BC932" t="s">
        <v>74</v>
      </c>
      <c r="BD932">
        <v>77</v>
      </c>
      <c r="BE932" t="s">
        <v>18099</v>
      </c>
      <c r="BF932" t="str">
        <f>HYPERLINK("http://dx.doi.org/10.3847/1538-4357/ac4886","http://dx.doi.org/10.3847/1538-4357/ac4886")</f>
        <v>http://dx.doi.org/10.3847/1538-4357/ac4886</v>
      </c>
      <c r="BG932" t="s">
        <v>74</v>
      </c>
      <c r="BH932" t="s">
        <v>74</v>
      </c>
      <c r="BI932">
        <v>30</v>
      </c>
      <c r="BJ932" t="s">
        <v>2275</v>
      </c>
      <c r="BK932" t="s">
        <v>101</v>
      </c>
      <c r="BL932" t="s">
        <v>2275</v>
      </c>
      <c r="BM932" t="s">
        <v>18100</v>
      </c>
      <c r="BN932" t="s">
        <v>74</v>
      </c>
      <c r="BO932" t="s">
        <v>3354</v>
      </c>
      <c r="BP932" t="s">
        <v>74</v>
      </c>
      <c r="BQ932" t="s">
        <v>74</v>
      </c>
      <c r="BR932" t="s">
        <v>103</v>
      </c>
      <c r="BS932" t="s">
        <v>18101</v>
      </c>
      <c r="BT932" t="str">
        <f>HYPERLINK("https%3A%2F%2Fwww.webofscience.com%2Fwos%2Fwoscc%2Ffull-record%2FWOS:000765541600001","View Full Record in Web of Science")</f>
        <v>View Full Record in Web of Science</v>
      </c>
    </row>
    <row r="933" spans="1:72" x14ac:dyDescent="0.15">
      <c r="A933" t="s">
        <v>72</v>
      </c>
      <c r="B933" t="s">
        <v>18102</v>
      </c>
      <c r="C933" t="s">
        <v>74</v>
      </c>
      <c r="D933" t="s">
        <v>74</v>
      </c>
      <c r="E933" t="s">
        <v>74</v>
      </c>
      <c r="F933" t="s">
        <v>18103</v>
      </c>
      <c r="G933" t="s">
        <v>74</v>
      </c>
      <c r="H933" t="s">
        <v>74</v>
      </c>
      <c r="I933" t="s">
        <v>18104</v>
      </c>
      <c r="J933" t="s">
        <v>2654</v>
      </c>
      <c r="K933" t="s">
        <v>74</v>
      </c>
      <c r="L933" t="s">
        <v>74</v>
      </c>
      <c r="M933" t="s">
        <v>78</v>
      </c>
      <c r="N933" t="s">
        <v>190</v>
      </c>
      <c r="O933" t="s">
        <v>74</v>
      </c>
      <c r="P933" t="s">
        <v>74</v>
      </c>
      <c r="Q933" t="s">
        <v>74</v>
      </c>
      <c r="R933" t="s">
        <v>74</v>
      </c>
      <c r="S933" t="s">
        <v>74</v>
      </c>
      <c r="T933" t="s">
        <v>74</v>
      </c>
      <c r="U933" t="s">
        <v>74</v>
      </c>
      <c r="V933" t="s">
        <v>74</v>
      </c>
      <c r="W933" t="s">
        <v>18105</v>
      </c>
      <c r="X933" t="s">
        <v>18106</v>
      </c>
      <c r="Y933" t="s">
        <v>18107</v>
      </c>
      <c r="Z933" t="s">
        <v>74</v>
      </c>
      <c r="AA933" t="s">
        <v>2658</v>
      </c>
      <c r="AB933" t="s">
        <v>18108</v>
      </c>
      <c r="AC933" t="s">
        <v>74</v>
      </c>
      <c r="AD933" t="s">
        <v>74</v>
      </c>
      <c r="AE933" t="s">
        <v>74</v>
      </c>
      <c r="AF933" t="s">
        <v>74</v>
      </c>
      <c r="AG933">
        <v>0</v>
      </c>
      <c r="AH933">
        <v>0</v>
      </c>
      <c r="AI933">
        <v>0</v>
      </c>
      <c r="AJ933">
        <v>0</v>
      </c>
      <c r="AK933">
        <v>2</v>
      </c>
      <c r="AL933" t="s">
        <v>91</v>
      </c>
      <c r="AM933" t="s">
        <v>92</v>
      </c>
      <c r="AN933" t="s">
        <v>93</v>
      </c>
      <c r="AO933" t="s">
        <v>2660</v>
      </c>
      <c r="AP933" t="s">
        <v>2661</v>
      </c>
      <c r="AQ933" t="s">
        <v>74</v>
      </c>
      <c r="AR933" t="s">
        <v>2662</v>
      </c>
      <c r="AS933" t="s">
        <v>2663</v>
      </c>
      <c r="AT933" t="s">
        <v>6497</v>
      </c>
      <c r="AU933">
        <v>2022</v>
      </c>
      <c r="AV933">
        <v>20</v>
      </c>
      <c r="AW933">
        <v>2</v>
      </c>
      <c r="AX933" t="s">
        <v>74</v>
      </c>
      <c r="AY933" t="s">
        <v>74</v>
      </c>
      <c r="AZ933" t="s">
        <v>74</v>
      </c>
      <c r="BA933" t="s">
        <v>74</v>
      </c>
      <c r="BB933">
        <v>110</v>
      </c>
      <c r="BC933">
        <v>110</v>
      </c>
      <c r="BD933" t="s">
        <v>74</v>
      </c>
      <c r="BE933" t="s">
        <v>18109</v>
      </c>
      <c r="BF933" t="str">
        <f>HYPERLINK("http://dx.doi.org/10.1002/fee.2480","http://dx.doi.org/10.1002/fee.2480")</f>
        <v>http://dx.doi.org/10.1002/fee.2480</v>
      </c>
      <c r="BG933" t="s">
        <v>74</v>
      </c>
      <c r="BH933" t="s">
        <v>74</v>
      </c>
      <c r="BI933">
        <v>1</v>
      </c>
      <c r="BJ933" t="s">
        <v>2665</v>
      </c>
      <c r="BK933" t="s">
        <v>101</v>
      </c>
      <c r="BL933" t="s">
        <v>840</v>
      </c>
      <c r="BM933" t="s">
        <v>18110</v>
      </c>
      <c r="BN933" t="s">
        <v>74</v>
      </c>
      <c r="BO933" t="s">
        <v>74</v>
      </c>
      <c r="BP933" t="s">
        <v>74</v>
      </c>
      <c r="BQ933" t="s">
        <v>74</v>
      </c>
      <c r="BR933" t="s">
        <v>103</v>
      </c>
      <c r="BS933" t="s">
        <v>18111</v>
      </c>
      <c r="BT933" t="str">
        <f>HYPERLINK("https%3A%2F%2Fwww.webofscience.com%2Fwos%2Fwoscc%2Ffull-record%2FWOS:000762375800019","View Full Record in Web of Science")</f>
        <v>View Full Record in Web of Science</v>
      </c>
    </row>
    <row r="934" spans="1:72" x14ac:dyDescent="0.15">
      <c r="A934" t="s">
        <v>72</v>
      </c>
      <c r="B934" t="s">
        <v>18112</v>
      </c>
      <c r="C934" t="s">
        <v>74</v>
      </c>
      <c r="D934" t="s">
        <v>74</v>
      </c>
      <c r="E934" t="s">
        <v>74</v>
      </c>
      <c r="F934" t="s">
        <v>18113</v>
      </c>
      <c r="G934" t="s">
        <v>74</v>
      </c>
      <c r="H934" t="s">
        <v>74</v>
      </c>
      <c r="I934" t="s">
        <v>18114</v>
      </c>
      <c r="J934" t="s">
        <v>18115</v>
      </c>
      <c r="K934" t="s">
        <v>74</v>
      </c>
      <c r="L934" t="s">
        <v>74</v>
      </c>
      <c r="M934" t="s">
        <v>78</v>
      </c>
      <c r="N934" t="s">
        <v>79</v>
      </c>
      <c r="O934" t="s">
        <v>74</v>
      </c>
      <c r="P934" t="s">
        <v>74</v>
      </c>
      <c r="Q934" t="s">
        <v>74</v>
      </c>
      <c r="R934" t="s">
        <v>74</v>
      </c>
      <c r="S934" t="s">
        <v>74</v>
      </c>
      <c r="T934" t="s">
        <v>18116</v>
      </c>
      <c r="U934" t="s">
        <v>74</v>
      </c>
      <c r="V934" t="s">
        <v>18117</v>
      </c>
      <c r="W934" t="s">
        <v>18118</v>
      </c>
      <c r="X934" t="s">
        <v>18119</v>
      </c>
      <c r="Y934" t="s">
        <v>18120</v>
      </c>
      <c r="Z934" t="s">
        <v>18121</v>
      </c>
      <c r="AA934" t="s">
        <v>18122</v>
      </c>
      <c r="AB934" t="s">
        <v>18123</v>
      </c>
      <c r="AC934" t="s">
        <v>18124</v>
      </c>
      <c r="AD934" t="s">
        <v>791</v>
      </c>
      <c r="AE934" t="s">
        <v>18125</v>
      </c>
      <c r="AF934" t="s">
        <v>74</v>
      </c>
      <c r="AG934">
        <v>21</v>
      </c>
      <c r="AH934">
        <v>3</v>
      </c>
      <c r="AI934">
        <v>3</v>
      </c>
      <c r="AJ934">
        <v>0</v>
      </c>
      <c r="AK934">
        <v>1</v>
      </c>
      <c r="AL934" t="s">
        <v>530</v>
      </c>
      <c r="AM934" t="s">
        <v>1121</v>
      </c>
      <c r="AN934" t="s">
        <v>1122</v>
      </c>
      <c r="AO934" t="s">
        <v>18126</v>
      </c>
      <c r="AP934" t="s">
        <v>18127</v>
      </c>
      <c r="AQ934" t="s">
        <v>74</v>
      </c>
      <c r="AR934" t="s">
        <v>18128</v>
      </c>
      <c r="AS934" t="s">
        <v>18129</v>
      </c>
      <c r="AT934" t="s">
        <v>6497</v>
      </c>
      <c r="AU934">
        <v>2022</v>
      </c>
      <c r="AV934">
        <v>297</v>
      </c>
      <c r="AW934">
        <v>3</v>
      </c>
      <c r="AX934" t="s">
        <v>74</v>
      </c>
      <c r="AY934" t="s">
        <v>74</v>
      </c>
      <c r="AZ934" t="s">
        <v>74</v>
      </c>
      <c r="BA934" t="s">
        <v>74</v>
      </c>
      <c r="BB934" t="s">
        <v>74</v>
      </c>
      <c r="BC934" t="s">
        <v>74</v>
      </c>
      <c r="BD934">
        <v>29</v>
      </c>
      <c r="BE934" t="s">
        <v>18130</v>
      </c>
      <c r="BF934" t="str">
        <f>HYPERLINK("http://dx.doi.org/10.1007/s11207-022-01958-x","http://dx.doi.org/10.1007/s11207-022-01958-x")</f>
        <v>http://dx.doi.org/10.1007/s11207-022-01958-x</v>
      </c>
      <c r="BG934" t="s">
        <v>74</v>
      </c>
      <c r="BH934" t="s">
        <v>74</v>
      </c>
      <c r="BI934">
        <v>12</v>
      </c>
      <c r="BJ934" t="s">
        <v>2275</v>
      </c>
      <c r="BK934" t="s">
        <v>101</v>
      </c>
      <c r="BL934" t="s">
        <v>2275</v>
      </c>
      <c r="BM934" t="s">
        <v>18131</v>
      </c>
      <c r="BN934">
        <v>35250102</v>
      </c>
      <c r="BO934" t="s">
        <v>18132</v>
      </c>
      <c r="BP934" t="s">
        <v>74</v>
      </c>
      <c r="BQ934" t="s">
        <v>74</v>
      </c>
      <c r="BR934" t="s">
        <v>103</v>
      </c>
      <c r="BS934" t="s">
        <v>18133</v>
      </c>
      <c r="BT934" t="str">
        <f>HYPERLINK("https%3A%2F%2Fwww.webofscience.com%2Fwos%2Fwoscc%2Ffull-record%2FWOS:000763421300001","View Full Record in Web of Science")</f>
        <v>View Full Record in Web of Science</v>
      </c>
    </row>
    <row r="935" spans="1:72" x14ac:dyDescent="0.15">
      <c r="A935" t="s">
        <v>72</v>
      </c>
      <c r="B935" t="s">
        <v>18134</v>
      </c>
      <c r="C935" t="s">
        <v>74</v>
      </c>
      <c r="D935" t="s">
        <v>74</v>
      </c>
      <c r="E935" t="s">
        <v>74</v>
      </c>
      <c r="F935" t="s">
        <v>18135</v>
      </c>
      <c r="G935" t="s">
        <v>74</v>
      </c>
      <c r="H935" t="s">
        <v>74</v>
      </c>
      <c r="I935" t="s">
        <v>18136</v>
      </c>
      <c r="J935" t="s">
        <v>5688</v>
      </c>
      <c r="K935" t="s">
        <v>74</v>
      </c>
      <c r="L935" t="s">
        <v>74</v>
      </c>
      <c r="M935" t="s">
        <v>78</v>
      </c>
      <c r="N935" t="s">
        <v>79</v>
      </c>
      <c r="O935" t="s">
        <v>74</v>
      </c>
      <c r="P935" t="s">
        <v>74</v>
      </c>
      <c r="Q935" t="s">
        <v>74</v>
      </c>
      <c r="R935" t="s">
        <v>74</v>
      </c>
      <c r="S935" t="s">
        <v>74</v>
      </c>
      <c r="T935" t="s">
        <v>18137</v>
      </c>
      <c r="U935" t="s">
        <v>18138</v>
      </c>
      <c r="V935" t="s">
        <v>18139</v>
      </c>
      <c r="W935" t="s">
        <v>18140</v>
      </c>
      <c r="X935" t="s">
        <v>18141</v>
      </c>
      <c r="Y935" t="s">
        <v>18142</v>
      </c>
      <c r="Z935" t="s">
        <v>18143</v>
      </c>
      <c r="AA935" t="s">
        <v>18144</v>
      </c>
      <c r="AB935" t="s">
        <v>18145</v>
      </c>
      <c r="AC935" t="s">
        <v>18146</v>
      </c>
      <c r="AD935" t="s">
        <v>18147</v>
      </c>
      <c r="AE935" t="s">
        <v>18148</v>
      </c>
      <c r="AF935" t="s">
        <v>74</v>
      </c>
      <c r="AG935">
        <v>59</v>
      </c>
      <c r="AH935">
        <v>4</v>
      </c>
      <c r="AI935">
        <v>4</v>
      </c>
      <c r="AJ935">
        <v>0</v>
      </c>
      <c r="AK935">
        <v>2</v>
      </c>
      <c r="AL935" t="s">
        <v>91</v>
      </c>
      <c r="AM935" t="s">
        <v>92</v>
      </c>
      <c r="AN935" t="s">
        <v>93</v>
      </c>
      <c r="AO935" t="s">
        <v>5697</v>
      </c>
      <c r="AP935" t="s">
        <v>5698</v>
      </c>
      <c r="AQ935" t="s">
        <v>74</v>
      </c>
      <c r="AR935" t="s">
        <v>5699</v>
      </c>
      <c r="AS935" t="s">
        <v>5700</v>
      </c>
      <c r="AT935" t="s">
        <v>8316</v>
      </c>
      <c r="AU935">
        <v>2022</v>
      </c>
      <c r="AV935">
        <v>32</v>
      </c>
      <c r="AW935">
        <v>4</v>
      </c>
      <c r="AX935" t="s">
        <v>74</v>
      </c>
      <c r="AY935" t="s">
        <v>74</v>
      </c>
      <c r="AZ935" t="s">
        <v>74</v>
      </c>
      <c r="BA935" t="s">
        <v>74</v>
      </c>
      <c r="BB935">
        <v>671</v>
      </c>
      <c r="BC935">
        <v>686</v>
      </c>
      <c r="BD935" t="s">
        <v>74</v>
      </c>
      <c r="BE935" t="s">
        <v>18149</v>
      </c>
      <c r="BF935" t="str">
        <f>HYPERLINK("http://dx.doi.org/10.1002/aqc.3771","http://dx.doi.org/10.1002/aqc.3771")</f>
        <v>http://dx.doi.org/10.1002/aqc.3771</v>
      </c>
      <c r="BG935" t="s">
        <v>74</v>
      </c>
      <c r="BH935" t="s">
        <v>12992</v>
      </c>
      <c r="BI935">
        <v>16</v>
      </c>
      <c r="BJ935" t="s">
        <v>5702</v>
      </c>
      <c r="BK935" t="s">
        <v>101</v>
      </c>
      <c r="BL935" t="s">
        <v>5703</v>
      </c>
      <c r="BM935" t="s">
        <v>18150</v>
      </c>
      <c r="BN935" t="s">
        <v>74</v>
      </c>
      <c r="BO935" t="s">
        <v>74</v>
      </c>
      <c r="BP935" t="s">
        <v>74</v>
      </c>
      <c r="BQ935" t="s">
        <v>74</v>
      </c>
      <c r="BR935" t="s">
        <v>103</v>
      </c>
      <c r="BS935" t="s">
        <v>18151</v>
      </c>
      <c r="BT935" t="str">
        <f>HYPERLINK("https%3A%2F%2Fwww.webofscience.com%2Fwos%2Fwoscc%2Ffull-record%2FWOS:000762551500001","View Full Record in Web of Science")</f>
        <v>View Full Record in Web of Science</v>
      </c>
    </row>
    <row r="936" spans="1:72" x14ac:dyDescent="0.15">
      <c r="A936" t="s">
        <v>72</v>
      </c>
      <c r="B936" t="s">
        <v>18152</v>
      </c>
      <c r="C936" t="s">
        <v>74</v>
      </c>
      <c r="D936" t="s">
        <v>74</v>
      </c>
      <c r="E936" t="s">
        <v>74</v>
      </c>
      <c r="F936" t="s">
        <v>18153</v>
      </c>
      <c r="G936" t="s">
        <v>74</v>
      </c>
      <c r="H936" t="s">
        <v>74</v>
      </c>
      <c r="I936" t="s">
        <v>18154</v>
      </c>
      <c r="J936" t="s">
        <v>2870</v>
      </c>
      <c r="K936" t="s">
        <v>74</v>
      </c>
      <c r="L936" t="s">
        <v>74</v>
      </c>
      <c r="M936" t="s">
        <v>78</v>
      </c>
      <c r="N936" t="s">
        <v>79</v>
      </c>
      <c r="O936" t="s">
        <v>74</v>
      </c>
      <c r="P936" t="s">
        <v>74</v>
      </c>
      <c r="Q936" t="s">
        <v>74</v>
      </c>
      <c r="R936" t="s">
        <v>74</v>
      </c>
      <c r="S936" t="s">
        <v>74</v>
      </c>
      <c r="T936" t="s">
        <v>18155</v>
      </c>
      <c r="U936" t="s">
        <v>18156</v>
      </c>
      <c r="V936" t="s">
        <v>18157</v>
      </c>
      <c r="W936" t="s">
        <v>18158</v>
      </c>
      <c r="X936" t="s">
        <v>18159</v>
      </c>
      <c r="Y936" t="s">
        <v>18160</v>
      </c>
      <c r="Z936" t="s">
        <v>18161</v>
      </c>
      <c r="AA936" t="s">
        <v>18162</v>
      </c>
      <c r="AB936" t="s">
        <v>18163</v>
      </c>
      <c r="AC936" t="s">
        <v>18164</v>
      </c>
      <c r="AD936" t="s">
        <v>18165</v>
      </c>
      <c r="AE936" t="s">
        <v>18166</v>
      </c>
      <c r="AF936" t="s">
        <v>74</v>
      </c>
      <c r="AG936">
        <v>80</v>
      </c>
      <c r="AH936">
        <v>6</v>
      </c>
      <c r="AI936">
        <v>6</v>
      </c>
      <c r="AJ936">
        <v>4</v>
      </c>
      <c r="AK936">
        <v>15</v>
      </c>
      <c r="AL936" t="s">
        <v>2883</v>
      </c>
      <c r="AM936" t="s">
        <v>2884</v>
      </c>
      <c r="AN936" t="s">
        <v>2885</v>
      </c>
      <c r="AO936" t="s">
        <v>2886</v>
      </c>
      <c r="AP936" t="s">
        <v>2887</v>
      </c>
      <c r="AQ936" t="s">
        <v>74</v>
      </c>
      <c r="AR936" t="s">
        <v>2888</v>
      </c>
      <c r="AS936" t="s">
        <v>2889</v>
      </c>
      <c r="AT936" t="s">
        <v>6497</v>
      </c>
      <c r="AU936">
        <v>2022</v>
      </c>
      <c r="AV936">
        <v>169</v>
      </c>
      <c r="AW936">
        <v>3</v>
      </c>
      <c r="AX936" t="s">
        <v>74</v>
      </c>
      <c r="AY936" t="s">
        <v>74</v>
      </c>
      <c r="AZ936" t="s">
        <v>74</v>
      </c>
      <c r="BA936" t="s">
        <v>74</v>
      </c>
      <c r="BB936" t="s">
        <v>74</v>
      </c>
      <c r="BC936" t="s">
        <v>74</v>
      </c>
      <c r="BD936">
        <v>41</v>
      </c>
      <c r="BE936" t="s">
        <v>18167</v>
      </c>
      <c r="BF936" t="str">
        <f>HYPERLINK("http://dx.doi.org/10.1007/s00227-022-04026-x","http://dx.doi.org/10.1007/s00227-022-04026-x")</f>
        <v>http://dx.doi.org/10.1007/s00227-022-04026-x</v>
      </c>
      <c r="BG936" t="s">
        <v>74</v>
      </c>
      <c r="BH936" t="s">
        <v>74</v>
      </c>
      <c r="BI936">
        <v>17</v>
      </c>
      <c r="BJ936" t="s">
        <v>1696</v>
      </c>
      <c r="BK936" t="s">
        <v>101</v>
      </c>
      <c r="BL936" t="s">
        <v>1696</v>
      </c>
      <c r="BM936" t="s">
        <v>18168</v>
      </c>
      <c r="BN936" t="s">
        <v>74</v>
      </c>
      <c r="BO936" t="s">
        <v>590</v>
      </c>
      <c r="BP936" t="s">
        <v>74</v>
      </c>
      <c r="BQ936" t="s">
        <v>74</v>
      </c>
      <c r="BR936" t="s">
        <v>103</v>
      </c>
      <c r="BS936" t="s">
        <v>18169</v>
      </c>
      <c r="BT936" t="str">
        <f>HYPERLINK("https%3A%2F%2Fwww.webofscience.com%2Fwos%2Fwoscc%2Ffull-record%2FWOS:000761391200001","View Full Record in Web of Science")</f>
        <v>View Full Record in Web of Science</v>
      </c>
    </row>
    <row r="937" spans="1:72" x14ac:dyDescent="0.15">
      <c r="A937" t="s">
        <v>72</v>
      </c>
      <c r="B937" t="s">
        <v>18170</v>
      </c>
      <c r="C937" t="s">
        <v>74</v>
      </c>
      <c r="D937" t="s">
        <v>74</v>
      </c>
      <c r="E937" t="s">
        <v>74</v>
      </c>
      <c r="F937" t="s">
        <v>18171</v>
      </c>
      <c r="G937" t="s">
        <v>74</v>
      </c>
      <c r="H937" t="s">
        <v>74</v>
      </c>
      <c r="I937" t="s">
        <v>18172</v>
      </c>
      <c r="J937" t="s">
        <v>18173</v>
      </c>
      <c r="K937" t="s">
        <v>74</v>
      </c>
      <c r="L937" t="s">
        <v>74</v>
      </c>
      <c r="M937" t="s">
        <v>78</v>
      </c>
      <c r="N937" t="s">
        <v>79</v>
      </c>
      <c r="O937" t="s">
        <v>74</v>
      </c>
      <c r="P937" t="s">
        <v>74</v>
      </c>
      <c r="Q937" t="s">
        <v>74</v>
      </c>
      <c r="R937" t="s">
        <v>74</v>
      </c>
      <c r="S937" t="s">
        <v>74</v>
      </c>
      <c r="T937" t="s">
        <v>18174</v>
      </c>
      <c r="U937" t="s">
        <v>18175</v>
      </c>
      <c r="V937" t="s">
        <v>18176</v>
      </c>
      <c r="W937" t="s">
        <v>18177</v>
      </c>
      <c r="X937" t="s">
        <v>893</v>
      </c>
      <c r="Y937" t="s">
        <v>18178</v>
      </c>
      <c r="Z937" t="s">
        <v>18179</v>
      </c>
      <c r="AA937" t="s">
        <v>74</v>
      </c>
      <c r="AB937" t="s">
        <v>74</v>
      </c>
      <c r="AC937" t="s">
        <v>18180</v>
      </c>
      <c r="AD937" t="s">
        <v>18181</v>
      </c>
      <c r="AE937" t="s">
        <v>18182</v>
      </c>
      <c r="AF937" t="s">
        <v>74</v>
      </c>
      <c r="AG937">
        <v>145</v>
      </c>
      <c r="AH937">
        <v>1</v>
      </c>
      <c r="AI937">
        <v>1</v>
      </c>
      <c r="AJ937">
        <v>1</v>
      </c>
      <c r="AK937">
        <v>1</v>
      </c>
      <c r="AL937" t="s">
        <v>285</v>
      </c>
      <c r="AM937" t="s">
        <v>286</v>
      </c>
      <c r="AN937" t="s">
        <v>287</v>
      </c>
      <c r="AO937" t="s">
        <v>18183</v>
      </c>
      <c r="AP937" t="s">
        <v>74</v>
      </c>
      <c r="AQ937" t="s">
        <v>74</v>
      </c>
      <c r="AR937" t="s">
        <v>18184</v>
      </c>
      <c r="AS937" t="s">
        <v>18185</v>
      </c>
      <c r="AT937" t="s">
        <v>17188</v>
      </c>
      <c r="AU937">
        <v>2022</v>
      </c>
      <c r="AV937">
        <v>9</v>
      </c>
      <c r="AW937" t="s">
        <v>74</v>
      </c>
      <c r="AX937" t="s">
        <v>74</v>
      </c>
      <c r="AY937" t="s">
        <v>74</v>
      </c>
      <c r="AZ937" t="s">
        <v>74</v>
      </c>
      <c r="BA937" t="s">
        <v>74</v>
      </c>
      <c r="BB937" t="s">
        <v>74</v>
      </c>
      <c r="BC937" t="s">
        <v>74</v>
      </c>
      <c r="BD937">
        <v>793498</v>
      </c>
      <c r="BE937" t="s">
        <v>18186</v>
      </c>
      <c r="BF937" t="str">
        <f>HYPERLINK("http://dx.doi.org/10.3389/fcell.2022","http://dx.doi.org/10.3389/fcell.2022")</f>
        <v>http://dx.doi.org/10.3389/fcell.2022</v>
      </c>
      <c r="BG937" t="s">
        <v>74</v>
      </c>
      <c r="BH937" t="s">
        <v>74</v>
      </c>
      <c r="BI937">
        <v>18</v>
      </c>
      <c r="BJ937" t="s">
        <v>18187</v>
      </c>
      <c r="BK937" t="s">
        <v>101</v>
      </c>
      <c r="BL937" t="s">
        <v>18187</v>
      </c>
      <c r="BM937" t="s">
        <v>18188</v>
      </c>
      <c r="BN937" t="s">
        <v>74</v>
      </c>
      <c r="BO937" t="s">
        <v>74</v>
      </c>
      <c r="BP937" t="s">
        <v>74</v>
      </c>
      <c r="BQ937" t="s">
        <v>74</v>
      </c>
      <c r="BR937" t="s">
        <v>103</v>
      </c>
      <c r="BS937" t="s">
        <v>18189</v>
      </c>
      <c r="BT937" t="str">
        <f>HYPERLINK("https%3A%2F%2Fwww.webofscience.com%2Fwos%2Fwoscc%2Ffull-record%2FWOS:000896051200001","View Full Record in Web of Science")</f>
        <v>View Full Record in Web of Science</v>
      </c>
    </row>
    <row r="938" spans="1:72" x14ac:dyDescent="0.15">
      <c r="A938" t="s">
        <v>72</v>
      </c>
      <c r="B938" t="s">
        <v>18190</v>
      </c>
      <c r="C938" t="s">
        <v>74</v>
      </c>
      <c r="D938" t="s">
        <v>74</v>
      </c>
      <c r="E938" t="s">
        <v>74</v>
      </c>
      <c r="F938" t="s">
        <v>18191</v>
      </c>
      <c r="G938" t="s">
        <v>74</v>
      </c>
      <c r="H938" t="s">
        <v>74</v>
      </c>
      <c r="I938" t="s">
        <v>18192</v>
      </c>
      <c r="J938" t="s">
        <v>18193</v>
      </c>
      <c r="K938" t="s">
        <v>74</v>
      </c>
      <c r="L938" t="s">
        <v>74</v>
      </c>
      <c r="M938" t="s">
        <v>78</v>
      </c>
      <c r="N938" t="s">
        <v>79</v>
      </c>
      <c r="O938" t="s">
        <v>74</v>
      </c>
      <c r="P938" t="s">
        <v>74</v>
      </c>
      <c r="Q938" t="s">
        <v>74</v>
      </c>
      <c r="R938" t="s">
        <v>74</v>
      </c>
      <c r="S938" t="s">
        <v>74</v>
      </c>
      <c r="T938" t="s">
        <v>18194</v>
      </c>
      <c r="U938" t="s">
        <v>18195</v>
      </c>
      <c r="V938" t="s">
        <v>18196</v>
      </c>
      <c r="W938" t="s">
        <v>18197</v>
      </c>
      <c r="X938" t="s">
        <v>18198</v>
      </c>
      <c r="Y938" t="s">
        <v>18199</v>
      </c>
      <c r="Z938" t="s">
        <v>18200</v>
      </c>
      <c r="AA938" t="s">
        <v>18201</v>
      </c>
      <c r="AB938" t="s">
        <v>18202</v>
      </c>
      <c r="AC938" t="s">
        <v>18203</v>
      </c>
      <c r="AD938" t="s">
        <v>18204</v>
      </c>
      <c r="AE938" t="s">
        <v>18205</v>
      </c>
      <c r="AF938" t="s">
        <v>74</v>
      </c>
      <c r="AG938">
        <v>81</v>
      </c>
      <c r="AH938">
        <v>7</v>
      </c>
      <c r="AI938">
        <v>7</v>
      </c>
      <c r="AJ938">
        <v>9</v>
      </c>
      <c r="AK938">
        <v>11</v>
      </c>
      <c r="AL938" t="s">
        <v>3228</v>
      </c>
      <c r="AM938" t="s">
        <v>200</v>
      </c>
      <c r="AN938" t="s">
        <v>3229</v>
      </c>
      <c r="AO938" t="s">
        <v>18206</v>
      </c>
      <c r="AP938" t="s">
        <v>18207</v>
      </c>
      <c r="AQ938" t="s">
        <v>74</v>
      </c>
      <c r="AR938" t="s">
        <v>18208</v>
      </c>
      <c r="AS938" t="s">
        <v>18209</v>
      </c>
      <c r="AT938" t="s">
        <v>6497</v>
      </c>
      <c r="AU938">
        <v>2022</v>
      </c>
      <c r="AV938">
        <v>168</v>
      </c>
      <c r="AW938" t="s">
        <v>74</v>
      </c>
      <c r="AX938" t="s">
        <v>74</v>
      </c>
      <c r="AY938" t="s">
        <v>74</v>
      </c>
      <c r="AZ938" t="s">
        <v>74</v>
      </c>
      <c r="BA938" t="s">
        <v>74</v>
      </c>
      <c r="BB938" t="s">
        <v>74</v>
      </c>
      <c r="BC938" t="s">
        <v>74</v>
      </c>
      <c r="BD938">
        <v>105354</v>
      </c>
      <c r="BE938" t="s">
        <v>18210</v>
      </c>
      <c r="BF938" t="str">
        <f>HYPERLINK("http://dx.doi.org/10.1016/j.ibiod.2021.105354","http://dx.doi.org/10.1016/j.ibiod.2021.105354")</f>
        <v>http://dx.doi.org/10.1016/j.ibiod.2021.105354</v>
      </c>
      <c r="BG938" t="s">
        <v>74</v>
      </c>
      <c r="BH938" t="s">
        <v>74</v>
      </c>
      <c r="BI938">
        <v>11</v>
      </c>
      <c r="BJ938" t="s">
        <v>18211</v>
      </c>
      <c r="BK938" t="s">
        <v>101</v>
      </c>
      <c r="BL938" t="s">
        <v>18212</v>
      </c>
      <c r="BM938" t="s">
        <v>18213</v>
      </c>
      <c r="BN938" t="s">
        <v>74</v>
      </c>
      <c r="BO938" t="s">
        <v>74</v>
      </c>
      <c r="BP938" t="s">
        <v>74</v>
      </c>
      <c r="BQ938" t="s">
        <v>74</v>
      </c>
      <c r="BR938" t="s">
        <v>103</v>
      </c>
      <c r="BS938" t="s">
        <v>18214</v>
      </c>
      <c r="BT938" t="str">
        <f>HYPERLINK("https%3A%2F%2Fwww.webofscience.com%2Fwos%2Fwoscc%2Ffull-record%2FWOS:000967772900004","View Full Record in Web of Science")</f>
        <v>View Full Record in Web of Science</v>
      </c>
    </row>
    <row r="939" spans="1:72" x14ac:dyDescent="0.15">
      <c r="A939" t="s">
        <v>72</v>
      </c>
      <c r="B939" t="s">
        <v>18215</v>
      </c>
      <c r="C939" t="s">
        <v>74</v>
      </c>
      <c r="D939" t="s">
        <v>74</v>
      </c>
      <c r="E939" t="s">
        <v>74</v>
      </c>
      <c r="F939" t="s">
        <v>18216</v>
      </c>
      <c r="G939" t="s">
        <v>74</v>
      </c>
      <c r="H939" t="s">
        <v>74</v>
      </c>
      <c r="I939" t="s">
        <v>18217</v>
      </c>
      <c r="J939" t="s">
        <v>18218</v>
      </c>
      <c r="K939" t="s">
        <v>74</v>
      </c>
      <c r="L939" t="s">
        <v>74</v>
      </c>
      <c r="M939" t="s">
        <v>78</v>
      </c>
      <c r="N939" t="s">
        <v>79</v>
      </c>
      <c r="O939" t="s">
        <v>74</v>
      </c>
      <c r="P939" t="s">
        <v>74</v>
      </c>
      <c r="Q939" t="s">
        <v>74</v>
      </c>
      <c r="R939" t="s">
        <v>74</v>
      </c>
      <c r="S939" t="s">
        <v>74</v>
      </c>
      <c r="T939" t="s">
        <v>18219</v>
      </c>
      <c r="U939" t="s">
        <v>18220</v>
      </c>
      <c r="V939" t="s">
        <v>18221</v>
      </c>
      <c r="W939" t="s">
        <v>18222</v>
      </c>
      <c r="X939" t="s">
        <v>18223</v>
      </c>
      <c r="Y939" t="s">
        <v>18224</v>
      </c>
      <c r="Z939" t="s">
        <v>18225</v>
      </c>
      <c r="AA939" t="s">
        <v>18226</v>
      </c>
      <c r="AB939" t="s">
        <v>18227</v>
      </c>
      <c r="AC939" t="s">
        <v>74</v>
      </c>
      <c r="AD939" t="s">
        <v>74</v>
      </c>
      <c r="AE939" t="s">
        <v>74</v>
      </c>
      <c r="AF939" t="s">
        <v>74</v>
      </c>
      <c r="AG939">
        <v>106</v>
      </c>
      <c r="AH939">
        <v>1</v>
      </c>
      <c r="AI939">
        <v>1</v>
      </c>
      <c r="AJ939">
        <v>0</v>
      </c>
      <c r="AK939">
        <v>3</v>
      </c>
      <c r="AL939" t="s">
        <v>428</v>
      </c>
      <c r="AM939" t="s">
        <v>531</v>
      </c>
      <c r="AN939" t="s">
        <v>748</v>
      </c>
      <c r="AO939" t="s">
        <v>18228</v>
      </c>
      <c r="AP939" t="s">
        <v>18229</v>
      </c>
      <c r="AQ939" t="s">
        <v>74</v>
      </c>
      <c r="AR939" t="s">
        <v>18230</v>
      </c>
      <c r="AS939" t="s">
        <v>18231</v>
      </c>
      <c r="AT939" t="s">
        <v>6497</v>
      </c>
      <c r="AU939">
        <v>2022</v>
      </c>
      <c r="AV939">
        <v>159</v>
      </c>
      <c r="AW939">
        <v>3</v>
      </c>
      <c r="AX939" t="s">
        <v>74</v>
      </c>
      <c r="AY939" t="s">
        <v>74</v>
      </c>
      <c r="AZ939" t="s">
        <v>74</v>
      </c>
      <c r="BA939" t="s">
        <v>74</v>
      </c>
      <c r="BB939">
        <v>322</v>
      </c>
      <c r="BC939">
        <v>336</v>
      </c>
      <c r="BD939" t="s">
        <v>18232</v>
      </c>
      <c r="BE939" t="s">
        <v>18233</v>
      </c>
      <c r="BF939" t="str">
        <f>HYPERLINK("http://dx.doi.org/10.1017/S0016756821000960","http://dx.doi.org/10.1017/S0016756821000960")</f>
        <v>http://dx.doi.org/10.1017/S0016756821000960</v>
      </c>
      <c r="BG939" t="s">
        <v>74</v>
      </c>
      <c r="BH939" t="s">
        <v>74</v>
      </c>
      <c r="BI939">
        <v>15</v>
      </c>
      <c r="BJ939" t="s">
        <v>265</v>
      </c>
      <c r="BK939" t="s">
        <v>101</v>
      </c>
      <c r="BL939" t="s">
        <v>100</v>
      </c>
      <c r="BM939" t="s">
        <v>18234</v>
      </c>
      <c r="BN939" t="s">
        <v>74</v>
      </c>
      <c r="BO939" t="s">
        <v>986</v>
      </c>
      <c r="BP939" t="s">
        <v>74</v>
      </c>
      <c r="BQ939" t="s">
        <v>74</v>
      </c>
      <c r="BR939" t="s">
        <v>103</v>
      </c>
      <c r="BS939" t="s">
        <v>18235</v>
      </c>
      <c r="BT939" t="str">
        <f>HYPERLINK("https%3A%2F%2Fwww.webofscience.com%2Fwos%2Fwoscc%2Ffull-record%2FWOS:000753577200005","View Full Record in Web of Science")</f>
        <v>View Full Record in Web of Science</v>
      </c>
    </row>
    <row r="940" spans="1:72" x14ac:dyDescent="0.15">
      <c r="A940" t="s">
        <v>72</v>
      </c>
      <c r="B940" t="s">
        <v>18236</v>
      </c>
      <c r="C940" t="s">
        <v>74</v>
      </c>
      <c r="D940" t="s">
        <v>74</v>
      </c>
      <c r="E940" t="s">
        <v>74</v>
      </c>
      <c r="F940" t="s">
        <v>18237</v>
      </c>
      <c r="G940" t="s">
        <v>74</v>
      </c>
      <c r="H940" t="s">
        <v>74</v>
      </c>
      <c r="I940" t="s">
        <v>18238</v>
      </c>
      <c r="J940" t="s">
        <v>11192</v>
      </c>
      <c r="K940" t="s">
        <v>74</v>
      </c>
      <c r="L940" t="s">
        <v>74</v>
      </c>
      <c r="M940" t="s">
        <v>78</v>
      </c>
      <c r="N940" t="s">
        <v>79</v>
      </c>
      <c r="O940" t="s">
        <v>74</v>
      </c>
      <c r="P940" t="s">
        <v>74</v>
      </c>
      <c r="Q940" t="s">
        <v>74</v>
      </c>
      <c r="R940" t="s">
        <v>74</v>
      </c>
      <c r="S940" t="s">
        <v>74</v>
      </c>
      <c r="T940" t="s">
        <v>18239</v>
      </c>
      <c r="U940" t="s">
        <v>18240</v>
      </c>
      <c r="V940" t="s">
        <v>18241</v>
      </c>
      <c r="W940" t="s">
        <v>18242</v>
      </c>
      <c r="X940" t="s">
        <v>18243</v>
      </c>
      <c r="Y940" t="s">
        <v>18244</v>
      </c>
      <c r="Z940" t="s">
        <v>18245</v>
      </c>
      <c r="AA940" t="s">
        <v>18246</v>
      </c>
      <c r="AB940" t="s">
        <v>18247</v>
      </c>
      <c r="AC940" t="s">
        <v>74</v>
      </c>
      <c r="AD940" t="s">
        <v>74</v>
      </c>
      <c r="AE940" t="s">
        <v>74</v>
      </c>
      <c r="AF940" t="s">
        <v>74</v>
      </c>
      <c r="AG940">
        <v>51</v>
      </c>
      <c r="AH940">
        <v>15</v>
      </c>
      <c r="AI940">
        <v>16</v>
      </c>
      <c r="AJ940">
        <v>9</v>
      </c>
      <c r="AK940">
        <v>44</v>
      </c>
      <c r="AL940" t="s">
        <v>257</v>
      </c>
      <c r="AM940" t="s">
        <v>258</v>
      </c>
      <c r="AN940" t="s">
        <v>259</v>
      </c>
      <c r="AO940" t="s">
        <v>11201</v>
      </c>
      <c r="AP940" t="s">
        <v>11202</v>
      </c>
      <c r="AQ940" t="s">
        <v>74</v>
      </c>
      <c r="AR940" t="s">
        <v>11192</v>
      </c>
      <c r="AS940" t="s">
        <v>11203</v>
      </c>
      <c r="AT940" t="s">
        <v>4826</v>
      </c>
      <c r="AU940">
        <v>2022</v>
      </c>
      <c r="AV940">
        <v>553</v>
      </c>
      <c r="AW940" t="s">
        <v>74</v>
      </c>
      <c r="AX940" t="s">
        <v>74</v>
      </c>
      <c r="AY940" t="s">
        <v>74</v>
      </c>
      <c r="AZ940" t="s">
        <v>74</v>
      </c>
      <c r="BA940" t="s">
        <v>74</v>
      </c>
      <c r="BB940" t="s">
        <v>74</v>
      </c>
      <c r="BC940" t="s">
        <v>74</v>
      </c>
      <c r="BD940">
        <v>738066</v>
      </c>
      <c r="BE940" t="s">
        <v>18248</v>
      </c>
      <c r="BF940" t="str">
        <f>HYPERLINK("http://dx.doi.org/10.1016/j.aquaculture.2022.738066","http://dx.doi.org/10.1016/j.aquaculture.2022.738066")</f>
        <v>http://dx.doi.org/10.1016/j.aquaculture.2022.738066</v>
      </c>
      <c r="BG940" t="s">
        <v>74</v>
      </c>
      <c r="BH940" t="s">
        <v>18249</v>
      </c>
      <c r="BI940">
        <v>8</v>
      </c>
      <c r="BJ940" t="s">
        <v>10842</v>
      </c>
      <c r="BK940" t="s">
        <v>956</v>
      </c>
      <c r="BL940" t="s">
        <v>10842</v>
      </c>
      <c r="BM940" t="s">
        <v>18250</v>
      </c>
      <c r="BN940" t="s">
        <v>74</v>
      </c>
      <c r="BO940" t="s">
        <v>1033</v>
      </c>
      <c r="BP940" t="s">
        <v>74</v>
      </c>
      <c r="BQ940" t="s">
        <v>74</v>
      </c>
      <c r="BR940" t="s">
        <v>103</v>
      </c>
      <c r="BS940" t="s">
        <v>18251</v>
      </c>
      <c r="BT940" t="str">
        <f>HYPERLINK("https%3A%2F%2Fwww.webofscience.com%2Fwos%2Fwoscc%2Ffull-record%2FWOS:000783902200016","View Full Record in Web of Science")</f>
        <v>View Full Record in Web of Science</v>
      </c>
    </row>
    <row r="941" spans="1:72" x14ac:dyDescent="0.15">
      <c r="A941" t="s">
        <v>72</v>
      </c>
      <c r="B941" t="s">
        <v>18252</v>
      </c>
      <c r="C941" t="s">
        <v>74</v>
      </c>
      <c r="D941" t="s">
        <v>74</v>
      </c>
      <c r="E941" t="s">
        <v>74</v>
      </c>
      <c r="F941" t="s">
        <v>18253</v>
      </c>
      <c r="G941" t="s">
        <v>74</v>
      </c>
      <c r="H941" t="s">
        <v>74</v>
      </c>
      <c r="I941" t="s">
        <v>18254</v>
      </c>
      <c r="J941" t="s">
        <v>3378</v>
      </c>
      <c r="K941" t="s">
        <v>74</v>
      </c>
      <c r="L941" t="s">
        <v>74</v>
      </c>
      <c r="M941" t="s">
        <v>78</v>
      </c>
      <c r="N941" t="s">
        <v>79</v>
      </c>
      <c r="O941" t="s">
        <v>74</v>
      </c>
      <c r="P941" t="s">
        <v>74</v>
      </c>
      <c r="Q941" t="s">
        <v>74</v>
      </c>
      <c r="R941" t="s">
        <v>74</v>
      </c>
      <c r="S941" t="s">
        <v>74</v>
      </c>
      <c r="T941" t="s">
        <v>18255</v>
      </c>
      <c r="U941" t="s">
        <v>18256</v>
      </c>
      <c r="V941" t="s">
        <v>18257</v>
      </c>
      <c r="W941" t="s">
        <v>18258</v>
      </c>
      <c r="X941" t="s">
        <v>18259</v>
      </c>
      <c r="Y941" t="s">
        <v>18260</v>
      </c>
      <c r="Z941" t="s">
        <v>18261</v>
      </c>
      <c r="AA941" t="s">
        <v>18262</v>
      </c>
      <c r="AB941" t="s">
        <v>18263</v>
      </c>
      <c r="AC941" t="s">
        <v>18264</v>
      </c>
      <c r="AD941" t="s">
        <v>18265</v>
      </c>
      <c r="AE941" t="s">
        <v>18266</v>
      </c>
      <c r="AF941" t="s">
        <v>74</v>
      </c>
      <c r="AG941">
        <v>109</v>
      </c>
      <c r="AH941">
        <v>7</v>
      </c>
      <c r="AI941">
        <v>7</v>
      </c>
      <c r="AJ941">
        <v>3</v>
      </c>
      <c r="AK941">
        <v>9</v>
      </c>
      <c r="AL941" t="s">
        <v>257</v>
      </c>
      <c r="AM941" t="s">
        <v>258</v>
      </c>
      <c r="AN941" t="s">
        <v>259</v>
      </c>
      <c r="AO941" t="s">
        <v>3391</v>
      </c>
      <c r="AP941" t="s">
        <v>3392</v>
      </c>
      <c r="AQ941" t="s">
        <v>74</v>
      </c>
      <c r="AR941" t="s">
        <v>3393</v>
      </c>
      <c r="AS941" t="s">
        <v>3394</v>
      </c>
      <c r="AT941" t="s">
        <v>6497</v>
      </c>
      <c r="AU941">
        <v>2022</v>
      </c>
      <c r="AV941">
        <v>445</v>
      </c>
      <c r="AW941" t="s">
        <v>74</v>
      </c>
      <c r="AX941" t="s">
        <v>74</v>
      </c>
      <c r="AY941" t="s">
        <v>74</v>
      </c>
      <c r="AZ941" t="s">
        <v>74</v>
      </c>
      <c r="BA941" t="s">
        <v>74</v>
      </c>
      <c r="BB941" t="s">
        <v>74</v>
      </c>
      <c r="BC941" t="s">
        <v>74</v>
      </c>
      <c r="BD941">
        <v>106752</v>
      </c>
      <c r="BE941" t="s">
        <v>18267</v>
      </c>
      <c r="BF941" t="str">
        <f>HYPERLINK("http://dx.doi.org/10.1016/j.margeo.2022.106752","http://dx.doi.org/10.1016/j.margeo.2022.106752")</f>
        <v>http://dx.doi.org/10.1016/j.margeo.2022.106752</v>
      </c>
      <c r="BG941" t="s">
        <v>74</v>
      </c>
      <c r="BH941" t="s">
        <v>18249</v>
      </c>
      <c r="BI941">
        <v>15</v>
      </c>
      <c r="BJ941" t="s">
        <v>3396</v>
      </c>
      <c r="BK941" t="s">
        <v>101</v>
      </c>
      <c r="BL941" t="s">
        <v>3397</v>
      </c>
      <c r="BM941" t="s">
        <v>18268</v>
      </c>
      <c r="BN941" t="s">
        <v>74</v>
      </c>
      <c r="BO941" t="s">
        <v>74</v>
      </c>
      <c r="BP941" t="s">
        <v>74</v>
      </c>
      <c r="BQ941" t="s">
        <v>74</v>
      </c>
      <c r="BR941" t="s">
        <v>103</v>
      </c>
      <c r="BS941" t="s">
        <v>18269</v>
      </c>
      <c r="BT941" t="str">
        <f>HYPERLINK("https%3A%2F%2Fwww.webofscience.com%2Fwos%2Fwoscc%2Ffull-record%2FWOS:000776074400001","View Full Record in Web of Science")</f>
        <v>View Full Record in Web of Science</v>
      </c>
    </row>
    <row r="942" spans="1:72" x14ac:dyDescent="0.15">
      <c r="A942" t="s">
        <v>72</v>
      </c>
      <c r="B942" t="s">
        <v>18270</v>
      </c>
      <c r="C942" t="s">
        <v>74</v>
      </c>
      <c r="D942" t="s">
        <v>74</v>
      </c>
      <c r="E942" t="s">
        <v>74</v>
      </c>
      <c r="F942" t="s">
        <v>18271</v>
      </c>
      <c r="G942" t="s">
        <v>74</v>
      </c>
      <c r="H942" t="s">
        <v>74</v>
      </c>
      <c r="I942" t="s">
        <v>18272</v>
      </c>
      <c r="J942" t="s">
        <v>18273</v>
      </c>
      <c r="K942" t="s">
        <v>74</v>
      </c>
      <c r="L942" t="s">
        <v>74</v>
      </c>
      <c r="M942" t="s">
        <v>78</v>
      </c>
      <c r="N942" t="s">
        <v>79</v>
      </c>
      <c r="O942" t="s">
        <v>74</v>
      </c>
      <c r="P942" t="s">
        <v>74</v>
      </c>
      <c r="Q942" t="s">
        <v>74</v>
      </c>
      <c r="R942" t="s">
        <v>74</v>
      </c>
      <c r="S942" t="s">
        <v>74</v>
      </c>
      <c r="T942" t="s">
        <v>18274</v>
      </c>
      <c r="U942" t="s">
        <v>18275</v>
      </c>
      <c r="V942" t="s">
        <v>18276</v>
      </c>
      <c r="W942" t="s">
        <v>18277</v>
      </c>
      <c r="X942" t="s">
        <v>18278</v>
      </c>
      <c r="Y942" t="s">
        <v>18279</v>
      </c>
      <c r="Z942" t="s">
        <v>18280</v>
      </c>
      <c r="AA942" t="s">
        <v>74</v>
      </c>
      <c r="AB942" t="s">
        <v>18281</v>
      </c>
      <c r="AC942" t="s">
        <v>18282</v>
      </c>
      <c r="AD942" t="s">
        <v>18283</v>
      </c>
      <c r="AE942" t="s">
        <v>18284</v>
      </c>
      <c r="AF942" t="s">
        <v>74</v>
      </c>
      <c r="AG942">
        <v>33</v>
      </c>
      <c r="AH942">
        <v>8</v>
      </c>
      <c r="AI942">
        <v>8</v>
      </c>
      <c r="AJ942">
        <v>4</v>
      </c>
      <c r="AK942">
        <v>22</v>
      </c>
      <c r="AL942" t="s">
        <v>2883</v>
      </c>
      <c r="AM942" t="s">
        <v>2884</v>
      </c>
      <c r="AN942" t="s">
        <v>2885</v>
      </c>
      <c r="AO942" t="s">
        <v>18285</v>
      </c>
      <c r="AP942" t="s">
        <v>18286</v>
      </c>
      <c r="AQ942" t="s">
        <v>74</v>
      </c>
      <c r="AR942" t="s">
        <v>18287</v>
      </c>
      <c r="AS942" t="s">
        <v>18288</v>
      </c>
      <c r="AT942" t="s">
        <v>346</v>
      </c>
      <c r="AU942">
        <v>2022</v>
      </c>
      <c r="AV942">
        <v>102</v>
      </c>
      <c r="AW942">
        <v>4</v>
      </c>
      <c r="AX942" t="s">
        <v>74</v>
      </c>
      <c r="AY942" t="s">
        <v>74</v>
      </c>
      <c r="AZ942" t="s">
        <v>772</v>
      </c>
      <c r="BA942" t="s">
        <v>74</v>
      </c>
      <c r="BB942">
        <v>1463</v>
      </c>
      <c r="BC942">
        <v>1468</v>
      </c>
      <c r="BD942" t="s">
        <v>74</v>
      </c>
      <c r="BE942" t="s">
        <v>18289</v>
      </c>
      <c r="BF942" t="str">
        <f>HYPERLINK("http://dx.doi.org/10.1007/s42991-021-00195-2","http://dx.doi.org/10.1007/s42991-021-00195-2")</f>
        <v>http://dx.doi.org/10.1007/s42991-021-00195-2</v>
      </c>
      <c r="BG942" t="s">
        <v>74</v>
      </c>
      <c r="BH942" t="s">
        <v>18249</v>
      </c>
      <c r="BI942">
        <v>6</v>
      </c>
      <c r="BJ942" t="s">
        <v>1054</v>
      </c>
      <c r="BK942" t="s">
        <v>101</v>
      </c>
      <c r="BL942" t="s">
        <v>1054</v>
      </c>
      <c r="BM942" t="s">
        <v>18290</v>
      </c>
      <c r="BN942" t="s">
        <v>74</v>
      </c>
      <c r="BO942" t="s">
        <v>74</v>
      </c>
      <c r="BP942" t="s">
        <v>74</v>
      </c>
      <c r="BQ942" t="s">
        <v>74</v>
      </c>
      <c r="BR942" t="s">
        <v>103</v>
      </c>
      <c r="BS942" t="s">
        <v>18291</v>
      </c>
      <c r="BT942" t="str">
        <f>HYPERLINK("https%3A%2F%2Fwww.webofscience.com%2Fwos%2Fwoscc%2Ffull-record%2FWOS:000780151900001","View Full Record in Web of Science")</f>
        <v>View Full Record in Web of Science</v>
      </c>
    </row>
    <row r="943" spans="1:72" x14ac:dyDescent="0.15">
      <c r="A943" t="s">
        <v>72</v>
      </c>
      <c r="B943" t="s">
        <v>18292</v>
      </c>
      <c r="C943" t="s">
        <v>74</v>
      </c>
      <c r="D943" t="s">
        <v>74</v>
      </c>
      <c r="E943" t="s">
        <v>74</v>
      </c>
      <c r="F943" t="s">
        <v>18293</v>
      </c>
      <c r="G943" t="s">
        <v>74</v>
      </c>
      <c r="H943" t="s">
        <v>74</v>
      </c>
      <c r="I943" t="s">
        <v>18294</v>
      </c>
      <c r="J943" t="s">
        <v>18295</v>
      </c>
      <c r="K943" t="s">
        <v>74</v>
      </c>
      <c r="L943" t="s">
        <v>74</v>
      </c>
      <c r="M943" t="s">
        <v>78</v>
      </c>
      <c r="N943" t="s">
        <v>79</v>
      </c>
      <c r="O943" t="s">
        <v>74</v>
      </c>
      <c r="P943" t="s">
        <v>74</v>
      </c>
      <c r="Q943" t="s">
        <v>74</v>
      </c>
      <c r="R943" t="s">
        <v>74</v>
      </c>
      <c r="S943" t="s">
        <v>74</v>
      </c>
      <c r="T943" t="s">
        <v>18296</v>
      </c>
      <c r="U943" t="s">
        <v>18297</v>
      </c>
      <c r="V943" t="s">
        <v>18298</v>
      </c>
      <c r="W943" t="s">
        <v>18299</v>
      </c>
      <c r="X943" t="s">
        <v>18300</v>
      </c>
      <c r="Y943" t="s">
        <v>14173</v>
      </c>
      <c r="Z943" t="s">
        <v>5389</v>
      </c>
      <c r="AA943" t="s">
        <v>18301</v>
      </c>
      <c r="AB943" t="s">
        <v>18302</v>
      </c>
      <c r="AC943" t="s">
        <v>74</v>
      </c>
      <c r="AD943" t="s">
        <v>74</v>
      </c>
      <c r="AE943" t="s">
        <v>74</v>
      </c>
      <c r="AF943" t="s">
        <v>74</v>
      </c>
      <c r="AG943">
        <v>60</v>
      </c>
      <c r="AH943">
        <v>6</v>
      </c>
      <c r="AI943">
        <v>7</v>
      </c>
      <c r="AJ943">
        <v>7</v>
      </c>
      <c r="AK943">
        <v>27</v>
      </c>
      <c r="AL943" t="s">
        <v>199</v>
      </c>
      <c r="AM943" t="s">
        <v>200</v>
      </c>
      <c r="AN943" t="s">
        <v>201</v>
      </c>
      <c r="AO943" t="s">
        <v>18303</v>
      </c>
      <c r="AP943" t="s">
        <v>18304</v>
      </c>
      <c r="AQ943" t="s">
        <v>74</v>
      </c>
      <c r="AR943" t="s">
        <v>18305</v>
      </c>
      <c r="AS943" t="s">
        <v>18306</v>
      </c>
      <c r="AT943" t="s">
        <v>8316</v>
      </c>
      <c r="AU943">
        <v>2022</v>
      </c>
      <c r="AV943">
        <v>167</v>
      </c>
      <c r="AW943" t="s">
        <v>74</v>
      </c>
      <c r="AX943" t="s">
        <v>74</v>
      </c>
      <c r="AY943" t="s">
        <v>74</v>
      </c>
      <c r="AZ943" t="s">
        <v>74</v>
      </c>
      <c r="BA943" t="s">
        <v>74</v>
      </c>
      <c r="BB943" t="s">
        <v>74</v>
      </c>
      <c r="BC943" t="s">
        <v>74</v>
      </c>
      <c r="BD943">
        <v>108617</v>
      </c>
      <c r="BE943" t="s">
        <v>18307</v>
      </c>
      <c r="BF943" t="str">
        <f>HYPERLINK("http://dx.doi.org/10.1016/j.soilbio.2022.108617","http://dx.doi.org/10.1016/j.soilbio.2022.108617")</f>
        <v>http://dx.doi.org/10.1016/j.soilbio.2022.108617</v>
      </c>
      <c r="BG943" t="s">
        <v>74</v>
      </c>
      <c r="BH943" t="s">
        <v>18249</v>
      </c>
      <c r="BI943">
        <v>6</v>
      </c>
      <c r="BJ943" t="s">
        <v>12172</v>
      </c>
      <c r="BK943" t="s">
        <v>101</v>
      </c>
      <c r="BL943" t="s">
        <v>12173</v>
      </c>
      <c r="BM943" t="s">
        <v>18308</v>
      </c>
      <c r="BN943" t="s">
        <v>74</v>
      </c>
      <c r="BO943" t="s">
        <v>986</v>
      </c>
      <c r="BP943" t="s">
        <v>74</v>
      </c>
      <c r="BQ943" t="s">
        <v>74</v>
      </c>
      <c r="BR943" t="s">
        <v>103</v>
      </c>
      <c r="BS943" t="s">
        <v>18309</v>
      </c>
      <c r="BT943" t="str">
        <f>HYPERLINK("https%3A%2F%2Fwww.webofscience.com%2Fwos%2Fwoscc%2Ffull-record%2FWOS:000776082800006","View Full Record in Web of Science")</f>
        <v>View Full Record in Web of Science</v>
      </c>
    </row>
    <row r="944" spans="1:72" x14ac:dyDescent="0.15">
      <c r="A944" t="s">
        <v>72</v>
      </c>
      <c r="B944" t="s">
        <v>18310</v>
      </c>
      <c r="C944" t="s">
        <v>74</v>
      </c>
      <c r="D944" t="s">
        <v>74</v>
      </c>
      <c r="E944" t="s">
        <v>74</v>
      </c>
      <c r="F944" t="s">
        <v>18311</v>
      </c>
      <c r="G944" t="s">
        <v>74</v>
      </c>
      <c r="H944" t="s">
        <v>74</v>
      </c>
      <c r="I944" t="s">
        <v>18312</v>
      </c>
      <c r="J944" t="s">
        <v>10679</v>
      </c>
      <c r="K944" t="s">
        <v>74</v>
      </c>
      <c r="L944" t="s">
        <v>74</v>
      </c>
      <c r="M944" t="s">
        <v>78</v>
      </c>
      <c r="N944" t="s">
        <v>79</v>
      </c>
      <c r="O944" t="s">
        <v>74</v>
      </c>
      <c r="P944" t="s">
        <v>74</v>
      </c>
      <c r="Q944" t="s">
        <v>74</v>
      </c>
      <c r="R944" t="s">
        <v>74</v>
      </c>
      <c r="S944" t="s">
        <v>74</v>
      </c>
      <c r="T944" t="s">
        <v>74</v>
      </c>
      <c r="U944" t="s">
        <v>18313</v>
      </c>
      <c r="V944" t="s">
        <v>18314</v>
      </c>
      <c r="W944" t="s">
        <v>18315</v>
      </c>
      <c r="X944" t="s">
        <v>18316</v>
      </c>
      <c r="Y944" t="s">
        <v>18317</v>
      </c>
      <c r="Z944" t="s">
        <v>18318</v>
      </c>
      <c r="AA944" t="s">
        <v>18319</v>
      </c>
      <c r="AB944" t="s">
        <v>18320</v>
      </c>
      <c r="AC944" t="s">
        <v>18321</v>
      </c>
      <c r="AD944" t="s">
        <v>18322</v>
      </c>
      <c r="AE944" t="s">
        <v>18323</v>
      </c>
      <c r="AF944" t="s">
        <v>74</v>
      </c>
      <c r="AG944">
        <v>68</v>
      </c>
      <c r="AH944">
        <v>20</v>
      </c>
      <c r="AI944">
        <v>21</v>
      </c>
      <c r="AJ944">
        <v>4</v>
      </c>
      <c r="AK944">
        <v>17</v>
      </c>
      <c r="AL944" t="s">
        <v>5394</v>
      </c>
      <c r="AM944" t="s">
        <v>174</v>
      </c>
      <c r="AN944" t="s">
        <v>5395</v>
      </c>
      <c r="AO944" t="s">
        <v>10691</v>
      </c>
      <c r="AP944" t="s">
        <v>10692</v>
      </c>
      <c r="AQ944" t="s">
        <v>74</v>
      </c>
      <c r="AR944" t="s">
        <v>10693</v>
      </c>
      <c r="AS944" t="s">
        <v>10694</v>
      </c>
      <c r="AT944" t="s">
        <v>18324</v>
      </c>
      <c r="AU944">
        <v>2022</v>
      </c>
      <c r="AV944">
        <v>32</v>
      </c>
      <c r="AW944">
        <v>4</v>
      </c>
      <c r="AX944" t="s">
        <v>74</v>
      </c>
      <c r="AY944" t="s">
        <v>74</v>
      </c>
      <c r="AZ944" t="s">
        <v>74</v>
      </c>
      <c r="BA944" t="s">
        <v>74</v>
      </c>
      <c r="BB944">
        <v>842</v>
      </c>
      <c r="BC944" t="s">
        <v>462</v>
      </c>
      <c r="BD944" t="s">
        <v>74</v>
      </c>
      <c r="BE944" t="s">
        <v>18325</v>
      </c>
      <c r="BF944" t="str">
        <f>HYPERLINK("http://dx.doi.org/10.1016/j.cub.2021.12.022","http://dx.doi.org/10.1016/j.cub.2021.12.022")</f>
        <v>http://dx.doi.org/10.1016/j.cub.2021.12.022</v>
      </c>
      <c r="BG944" t="s">
        <v>74</v>
      </c>
      <c r="BH944" t="s">
        <v>18249</v>
      </c>
      <c r="BI944">
        <v>14</v>
      </c>
      <c r="BJ944" t="s">
        <v>10697</v>
      </c>
      <c r="BK944" t="s">
        <v>101</v>
      </c>
      <c r="BL944" t="s">
        <v>10698</v>
      </c>
      <c r="BM944" t="s">
        <v>18326</v>
      </c>
      <c r="BN944">
        <v>35030328</v>
      </c>
      <c r="BO944" t="s">
        <v>643</v>
      </c>
      <c r="BP944" t="s">
        <v>74</v>
      </c>
      <c r="BQ944" t="s">
        <v>74</v>
      </c>
      <c r="BR944" t="s">
        <v>103</v>
      </c>
      <c r="BS944" t="s">
        <v>18327</v>
      </c>
      <c r="BT944" t="str">
        <f>HYPERLINK("https%3A%2F%2Fwww.webofscience.com%2Fwos%2Fwoscc%2Ffull-record%2FWOS:000772929200001","View Full Record in Web of Science")</f>
        <v>View Full Record in Web of Science</v>
      </c>
    </row>
    <row r="945" spans="1:72" x14ac:dyDescent="0.15">
      <c r="A945" t="s">
        <v>72</v>
      </c>
      <c r="B945" t="s">
        <v>18328</v>
      </c>
      <c r="C945" t="s">
        <v>74</v>
      </c>
      <c r="D945" t="s">
        <v>74</v>
      </c>
      <c r="E945" t="s">
        <v>74</v>
      </c>
      <c r="F945" t="s">
        <v>18329</v>
      </c>
      <c r="G945" t="s">
        <v>74</v>
      </c>
      <c r="H945" t="s">
        <v>74</v>
      </c>
      <c r="I945" t="s">
        <v>18330</v>
      </c>
      <c r="J945" t="s">
        <v>14291</v>
      </c>
      <c r="K945" t="s">
        <v>74</v>
      </c>
      <c r="L945" t="s">
        <v>74</v>
      </c>
      <c r="M945" t="s">
        <v>78</v>
      </c>
      <c r="N945" t="s">
        <v>79</v>
      </c>
      <c r="O945" t="s">
        <v>74</v>
      </c>
      <c r="P945" t="s">
        <v>74</v>
      </c>
      <c r="Q945" t="s">
        <v>74</v>
      </c>
      <c r="R945" t="s">
        <v>74</v>
      </c>
      <c r="S945" t="s">
        <v>74</v>
      </c>
      <c r="T945" t="s">
        <v>18331</v>
      </c>
      <c r="U945" t="s">
        <v>18332</v>
      </c>
      <c r="V945" t="s">
        <v>18333</v>
      </c>
      <c r="W945" t="s">
        <v>18334</v>
      </c>
      <c r="X945" t="s">
        <v>18335</v>
      </c>
      <c r="Y945" t="s">
        <v>18336</v>
      </c>
      <c r="Z945" t="s">
        <v>18337</v>
      </c>
      <c r="AA945" t="s">
        <v>74</v>
      </c>
      <c r="AB945" t="s">
        <v>74</v>
      </c>
      <c r="AC945" t="s">
        <v>18338</v>
      </c>
      <c r="AD945" t="s">
        <v>18339</v>
      </c>
      <c r="AE945" t="s">
        <v>74</v>
      </c>
      <c r="AF945" t="s">
        <v>74</v>
      </c>
      <c r="AG945">
        <v>43</v>
      </c>
      <c r="AH945">
        <v>4</v>
      </c>
      <c r="AI945">
        <v>4</v>
      </c>
      <c r="AJ945">
        <v>2</v>
      </c>
      <c r="AK945">
        <v>17</v>
      </c>
      <c r="AL945" t="s">
        <v>633</v>
      </c>
      <c r="AM945" t="s">
        <v>200</v>
      </c>
      <c r="AN945" t="s">
        <v>634</v>
      </c>
      <c r="AO945" t="s">
        <v>14301</v>
      </c>
      <c r="AP945" t="s">
        <v>14302</v>
      </c>
      <c r="AQ945" t="s">
        <v>74</v>
      </c>
      <c r="AR945" t="s">
        <v>14303</v>
      </c>
      <c r="AS945" t="s">
        <v>14304</v>
      </c>
      <c r="AT945" t="s">
        <v>18324</v>
      </c>
      <c r="AU945">
        <v>2022</v>
      </c>
      <c r="AV945">
        <v>229</v>
      </c>
      <c r="AW945">
        <v>3</v>
      </c>
      <c r="AX945" t="s">
        <v>74</v>
      </c>
      <c r="AY945" t="s">
        <v>74</v>
      </c>
      <c r="AZ945" t="s">
        <v>74</v>
      </c>
      <c r="BA945" t="s">
        <v>74</v>
      </c>
      <c r="BB945">
        <v>1914</v>
      </c>
      <c r="BC945">
        <v>1926</v>
      </c>
      <c r="BD945" t="s">
        <v>74</v>
      </c>
      <c r="BE945" t="s">
        <v>18340</v>
      </c>
      <c r="BF945" t="str">
        <f>HYPERLINK("http://dx.doi.org/10.1093/gji/ggac033","http://dx.doi.org/10.1093/gji/ggac033")</f>
        <v>http://dx.doi.org/10.1093/gji/ggac033</v>
      </c>
      <c r="BG945" t="s">
        <v>74</v>
      </c>
      <c r="BH945" t="s">
        <v>74</v>
      </c>
      <c r="BI945">
        <v>13</v>
      </c>
      <c r="BJ945" t="s">
        <v>2144</v>
      </c>
      <c r="BK945" t="s">
        <v>101</v>
      </c>
      <c r="BL945" t="s">
        <v>2144</v>
      </c>
      <c r="BM945" t="s">
        <v>18341</v>
      </c>
      <c r="BN945">
        <v>35250356</v>
      </c>
      <c r="BO945" t="s">
        <v>7346</v>
      </c>
      <c r="BP945" t="s">
        <v>74</v>
      </c>
      <c r="BQ945" t="s">
        <v>74</v>
      </c>
      <c r="BR945" t="s">
        <v>103</v>
      </c>
      <c r="BS945" t="s">
        <v>18342</v>
      </c>
      <c r="BT945" t="str">
        <f>HYPERLINK("https%3A%2F%2Fwww.webofscience.com%2Fwos%2Fwoscc%2Ffull-record%2FWOS:000768377700016","View Full Record in Web of Science")</f>
        <v>View Full Record in Web of Science</v>
      </c>
    </row>
    <row r="946" spans="1:72" x14ac:dyDescent="0.15">
      <c r="A946" t="s">
        <v>72</v>
      </c>
      <c r="B946" t="s">
        <v>18343</v>
      </c>
      <c r="C946" t="s">
        <v>74</v>
      </c>
      <c r="D946" t="s">
        <v>74</v>
      </c>
      <c r="E946" t="s">
        <v>74</v>
      </c>
      <c r="F946" t="s">
        <v>18344</v>
      </c>
      <c r="G946" t="s">
        <v>74</v>
      </c>
      <c r="H946" t="s">
        <v>74</v>
      </c>
      <c r="I946" t="s">
        <v>18345</v>
      </c>
      <c r="J946" t="s">
        <v>9250</v>
      </c>
      <c r="K946" t="s">
        <v>74</v>
      </c>
      <c r="L946" t="s">
        <v>74</v>
      </c>
      <c r="M946" t="s">
        <v>78</v>
      </c>
      <c r="N946" t="s">
        <v>79</v>
      </c>
      <c r="O946" t="s">
        <v>74</v>
      </c>
      <c r="P946" t="s">
        <v>74</v>
      </c>
      <c r="Q946" t="s">
        <v>74</v>
      </c>
      <c r="R946" t="s">
        <v>74</v>
      </c>
      <c r="S946" t="s">
        <v>74</v>
      </c>
      <c r="T946" t="s">
        <v>74</v>
      </c>
      <c r="U946" t="s">
        <v>18346</v>
      </c>
      <c r="V946" t="s">
        <v>18347</v>
      </c>
      <c r="W946" t="s">
        <v>18348</v>
      </c>
      <c r="X946" t="s">
        <v>18349</v>
      </c>
      <c r="Y946" t="s">
        <v>18350</v>
      </c>
      <c r="Z946" t="s">
        <v>18351</v>
      </c>
      <c r="AA946" t="s">
        <v>18352</v>
      </c>
      <c r="AB946" t="s">
        <v>18353</v>
      </c>
      <c r="AC946" t="s">
        <v>18354</v>
      </c>
      <c r="AD946" t="s">
        <v>18355</v>
      </c>
      <c r="AE946" t="s">
        <v>18356</v>
      </c>
      <c r="AF946" t="s">
        <v>74</v>
      </c>
      <c r="AG946">
        <v>109</v>
      </c>
      <c r="AH946">
        <v>9</v>
      </c>
      <c r="AI946">
        <v>9</v>
      </c>
      <c r="AJ946">
        <v>1</v>
      </c>
      <c r="AK946">
        <v>10</v>
      </c>
      <c r="AL946" t="s">
        <v>117</v>
      </c>
      <c r="AM946" t="s">
        <v>118</v>
      </c>
      <c r="AN946" t="s">
        <v>119</v>
      </c>
      <c r="AO946" t="s">
        <v>9262</v>
      </c>
      <c r="AP946" t="s">
        <v>9263</v>
      </c>
      <c r="AQ946" t="s">
        <v>74</v>
      </c>
      <c r="AR946" t="s">
        <v>9264</v>
      </c>
      <c r="AS946" t="s">
        <v>9265</v>
      </c>
      <c r="AT946" t="s">
        <v>18324</v>
      </c>
      <c r="AU946">
        <v>2022</v>
      </c>
      <c r="AV946">
        <v>18</v>
      </c>
      <c r="AW946">
        <v>2</v>
      </c>
      <c r="AX946" t="s">
        <v>74</v>
      </c>
      <c r="AY946" t="s">
        <v>74</v>
      </c>
      <c r="AZ946" t="s">
        <v>74</v>
      </c>
      <c r="BA946" t="s">
        <v>74</v>
      </c>
      <c r="BB946">
        <v>341</v>
      </c>
      <c r="BC946">
        <v>362</v>
      </c>
      <c r="BD946" t="s">
        <v>74</v>
      </c>
      <c r="BE946" t="s">
        <v>18357</v>
      </c>
      <c r="BF946" t="str">
        <f>HYPERLINK("http://dx.doi.org/10.5194/cp-18-341-2022","http://dx.doi.org/10.5194/cp-18-341-2022")</f>
        <v>http://dx.doi.org/10.5194/cp-18-341-2022</v>
      </c>
      <c r="BG946" t="s">
        <v>74</v>
      </c>
      <c r="BH946" t="s">
        <v>74</v>
      </c>
      <c r="BI946">
        <v>22</v>
      </c>
      <c r="BJ946" t="s">
        <v>613</v>
      </c>
      <c r="BK946" t="s">
        <v>101</v>
      </c>
      <c r="BL946" t="s">
        <v>614</v>
      </c>
      <c r="BM946" t="s">
        <v>18358</v>
      </c>
      <c r="BN946" t="s">
        <v>74</v>
      </c>
      <c r="BO946" t="s">
        <v>2560</v>
      </c>
      <c r="BP946" t="s">
        <v>74</v>
      </c>
      <c r="BQ946" t="s">
        <v>74</v>
      </c>
      <c r="BR946" t="s">
        <v>103</v>
      </c>
      <c r="BS946" t="s">
        <v>18359</v>
      </c>
      <c r="BT946" t="str">
        <f>HYPERLINK("https%3A%2F%2Fwww.webofscience.com%2Fwos%2Fwoscc%2Ffull-record%2FWOS:000765234600001","View Full Record in Web of Science")</f>
        <v>View Full Record in Web of Science</v>
      </c>
    </row>
    <row r="947" spans="1:72" x14ac:dyDescent="0.15">
      <c r="A947" t="s">
        <v>72</v>
      </c>
      <c r="B947" t="s">
        <v>18360</v>
      </c>
      <c r="C947" t="s">
        <v>74</v>
      </c>
      <c r="D947" t="s">
        <v>74</v>
      </c>
      <c r="E947" t="s">
        <v>74</v>
      </c>
      <c r="F947" t="s">
        <v>18361</v>
      </c>
      <c r="G947" t="s">
        <v>74</v>
      </c>
      <c r="H947" t="s">
        <v>74</v>
      </c>
      <c r="I947" t="s">
        <v>18362</v>
      </c>
      <c r="J947" t="s">
        <v>3419</v>
      </c>
      <c r="K947" t="s">
        <v>74</v>
      </c>
      <c r="L947" t="s">
        <v>74</v>
      </c>
      <c r="M947" t="s">
        <v>78</v>
      </c>
      <c r="N947" t="s">
        <v>79</v>
      </c>
      <c r="O947" t="s">
        <v>74</v>
      </c>
      <c r="P947" t="s">
        <v>74</v>
      </c>
      <c r="Q947" t="s">
        <v>74</v>
      </c>
      <c r="R947" t="s">
        <v>74</v>
      </c>
      <c r="S947" t="s">
        <v>74</v>
      </c>
      <c r="T947" t="s">
        <v>18363</v>
      </c>
      <c r="U947" t="s">
        <v>18364</v>
      </c>
      <c r="V947" t="s">
        <v>18365</v>
      </c>
      <c r="W947" t="s">
        <v>18366</v>
      </c>
      <c r="X947" t="s">
        <v>18367</v>
      </c>
      <c r="Y947" t="s">
        <v>18368</v>
      </c>
      <c r="Z947" t="s">
        <v>18369</v>
      </c>
      <c r="AA947" t="s">
        <v>18370</v>
      </c>
      <c r="AB947" t="s">
        <v>18371</v>
      </c>
      <c r="AC947" t="s">
        <v>18372</v>
      </c>
      <c r="AD947" t="s">
        <v>18373</v>
      </c>
      <c r="AE947" t="s">
        <v>18374</v>
      </c>
      <c r="AF947" t="s">
        <v>74</v>
      </c>
      <c r="AG947">
        <v>53</v>
      </c>
      <c r="AH947">
        <v>3</v>
      </c>
      <c r="AI947">
        <v>4</v>
      </c>
      <c r="AJ947">
        <v>0</v>
      </c>
      <c r="AK947">
        <v>2</v>
      </c>
      <c r="AL947" t="s">
        <v>2042</v>
      </c>
      <c r="AM947" t="s">
        <v>2043</v>
      </c>
      <c r="AN947" t="s">
        <v>2044</v>
      </c>
      <c r="AO947" t="s">
        <v>3432</v>
      </c>
      <c r="AP947" t="s">
        <v>3433</v>
      </c>
      <c r="AQ947" t="s">
        <v>74</v>
      </c>
      <c r="AR947" t="s">
        <v>3434</v>
      </c>
      <c r="AS947" t="s">
        <v>3435</v>
      </c>
      <c r="AT947" t="s">
        <v>18324</v>
      </c>
      <c r="AU947">
        <v>2022</v>
      </c>
      <c r="AV947">
        <v>49</v>
      </c>
      <c r="AW947">
        <v>4</v>
      </c>
      <c r="AX947" t="s">
        <v>74</v>
      </c>
      <c r="AY947" t="s">
        <v>74</v>
      </c>
      <c r="AZ947" t="s">
        <v>74</v>
      </c>
      <c r="BA947" t="s">
        <v>74</v>
      </c>
      <c r="BB947" t="s">
        <v>74</v>
      </c>
      <c r="BC947" t="s">
        <v>74</v>
      </c>
      <c r="BD947" t="s">
        <v>18375</v>
      </c>
      <c r="BE947" t="s">
        <v>18376</v>
      </c>
      <c r="BF947" t="str">
        <f>HYPERLINK("http://dx.doi.org/10.1029/2021GL096914","http://dx.doi.org/10.1029/2021GL096914")</f>
        <v>http://dx.doi.org/10.1029/2021GL096914</v>
      </c>
      <c r="BG947" t="s">
        <v>74</v>
      </c>
      <c r="BH947" t="s">
        <v>74</v>
      </c>
      <c r="BI947">
        <v>10</v>
      </c>
      <c r="BJ947" t="s">
        <v>265</v>
      </c>
      <c r="BK947" t="s">
        <v>101</v>
      </c>
      <c r="BL947" t="s">
        <v>100</v>
      </c>
      <c r="BM947" t="s">
        <v>18377</v>
      </c>
      <c r="BN947" t="s">
        <v>74</v>
      </c>
      <c r="BO947" t="s">
        <v>1149</v>
      </c>
      <c r="BP947" t="s">
        <v>74</v>
      </c>
      <c r="BQ947" t="s">
        <v>74</v>
      </c>
      <c r="BR947" t="s">
        <v>103</v>
      </c>
      <c r="BS947" t="s">
        <v>18378</v>
      </c>
      <c r="BT947" t="str">
        <f>HYPERLINK("https%3A%2F%2Fwww.webofscience.com%2Fwos%2Fwoscc%2Ffull-record%2FWOS:000765659300054","View Full Record in Web of Science")</f>
        <v>View Full Record in Web of Science</v>
      </c>
    </row>
    <row r="948" spans="1:72" x14ac:dyDescent="0.15">
      <c r="A948" t="s">
        <v>72</v>
      </c>
      <c r="B948" t="s">
        <v>18379</v>
      </c>
      <c r="C948" t="s">
        <v>74</v>
      </c>
      <c r="D948" t="s">
        <v>74</v>
      </c>
      <c r="E948" t="s">
        <v>74</v>
      </c>
      <c r="F948" t="s">
        <v>18380</v>
      </c>
      <c r="G948" t="s">
        <v>74</v>
      </c>
      <c r="H948" t="s">
        <v>74</v>
      </c>
      <c r="I948" t="s">
        <v>18381</v>
      </c>
      <c r="J948" t="s">
        <v>3419</v>
      </c>
      <c r="K948" t="s">
        <v>74</v>
      </c>
      <c r="L948" t="s">
        <v>74</v>
      </c>
      <c r="M948" t="s">
        <v>78</v>
      </c>
      <c r="N948" t="s">
        <v>79</v>
      </c>
      <c r="O948" t="s">
        <v>74</v>
      </c>
      <c r="P948" t="s">
        <v>74</v>
      </c>
      <c r="Q948" t="s">
        <v>74</v>
      </c>
      <c r="R948" t="s">
        <v>74</v>
      </c>
      <c r="S948" t="s">
        <v>74</v>
      </c>
      <c r="T948" t="s">
        <v>18382</v>
      </c>
      <c r="U948" t="s">
        <v>18383</v>
      </c>
      <c r="V948" t="s">
        <v>18384</v>
      </c>
      <c r="W948" t="s">
        <v>18385</v>
      </c>
      <c r="X948" t="s">
        <v>942</v>
      </c>
      <c r="Y948" t="s">
        <v>18386</v>
      </c>
      <c r="Z948" t="s">
        <v>18387</v>
      </c>
      <c r="AA948" t="s">
        <v>18388</v>
      </c>
      <c r="AB948" t="s">
        <v>18389</v>
      </c>
      <c r="AC948" t="s">
        <v>18390</v>
      </c>
      <c r="AD948" t="s">
        <v>18391</v>
      </c>
      <c r="AE948" t="s">
        <v>18392</v>
      </c>
      <c r="AF948" t="s">
        <v>74</v>
      </c>
      <c r="AG948">
        <v>53</v>
      </c>
      <c r="AH948">
        <v>10</v>
      </c>
      <c r="AI948">
        <v>10</v>
      </c>
      <c r="AJ948">
        <v>2</v>
      </c>
      <c r="AK948">
        <v>17</v>
      </c>
      <c r="AL948" t="s">
        <v>2042</v>
      </c>
      <c r="AM948" t="s">
        <v>2043</v>
      </c>
      <c r="AN948" t="s">
        <v>2044</v>
      </c>
      <c r="AO948" t="s">
        <v>3432</v>
      </c>
      <c r="AP948" t="s">
        <v>3433</v>
      </c>
      <c r="AQ948" t="s">
        <v>74</v>
      </c>
      <c r="AR948" t="s">
        <v>3434</v>
      </c>
      <c r="AS948" t="s">
        <v>3435</v>
      </c>
      <c r="AT948" t="s">
        <v>18324</v>
      </c>
      <c r="AU948">
        <v>2022</v>
      </c>
      <c r="AV948">
        <v>49</v>
      </c>
      <c r="AW948">
        <v>4</v>
      </c>
      <c r="AX948" t="s">
        <v>74</v>
      </c>
      <c r="AY948" t="s">
        <v>74</v>
      </c>
      <c r="AZ948" t="s">
        <v>74</v>
      </c>
      <c r="BA948" t="s">
        <v>74</v>
      </c>
      <c r="BB948" t="s">
        <v>74</v>
      </c>
      <c r="BC948" t="s">
        <v>74</v>
      </c>
      <c r="BD948" t="s">
        <v>18393</v>
      </c>
      <c r="BE948" t="s">
        <v>18394</v>
      </c>
      <c r="BF948" t="str">
        <f>HYPERLINK("http://dx.doi.org/10.1029/2021GL095270","http://dx.doi.org/10.1029/2021GL095270")</f>
        <v>http://dx.doi.org/10.1029/2021GL095270</v>
      </c>
      <c r="BG948" t="s">
        <v>74</v>
      </c>
      <c r="BH948" t="s">
        <v>74</v>
      </c>
      <c r="BI948">
        <v>10</v>
      </c>
      <c r="BJ948" t="s">
        <v>265</v>
      </c>
      <c r="BK948" t="s">
        <v>101</v>
      </c>
      <c r="BL948" t="s">
        <v>100</v>
      </c>
      <c r="BM948" t="s">
        <v>18377</v>
      </c>
      <c r="BN948" t="s">
        <v>74</v>
      </c>
      <c r="BO948" t="s">
        <v>986</v>
      </c>
      <c r="BP948" t="s">
        <v>74</v>
      </c>
      <c r="BQ948" t="s">
        <v>74</v>
      </c>
      <c r="BR948" t="s">
        <v>103</v>
      </c>
      <c r="BS948" t="s">
        <v>18395</v>
      </c>
      <c r="BT948" t="str">
        <f>HYPERLINK("https%3A%2F%2Fwww.webofscience.com%2Fwos%2Fwoscc%2Ffull-record%2FWOS:000765659300070","View Full Record in Web of Science")</f>
        <v>View Full Record in Web of Science</v>
      </c>
    </row>
    <row r="949" spans="1:72" x14ac:dyDescent="0.15">
      <c r="A949" t="s">
        <v>72</v>
      </c>
      <c r="B949" t="s">
        <v>18396</v>
      </c>
      <c r="C949" t="s">
        <v>74</v>
      </c>
      <c r="D949" t="s">
        <v>74</v>
      </c>
      <c r="E949" t="s">
        <v>74</v>
      </c>
      <c r="F949" t="s">
        <v>18397</v>
      </c>
      <c r="G949" t="s">
        <v>74</v>
      </c>
      <c r="H949" t="s">
        <v>74</v>
      </c>
      <c r="I949" t="s">
        <v>18398</v>
      </c>
      <c r="J949" t="s">
        <v>3419</v>
      </c>
      <c r="K949" t="s">
        <v>74</v>
      </c>
      <c r="L949" t="s">
        <v>74</v>
      </c>
      <c r="M949" t="s">
        <v>78</v>
      </c>
      <c r="N949" t="s">
        <v>79</v>
      </c>
      <c r="O949" t="s">
        <v>74</v>
      </c>
      <c r="P949" t="s">
        <v>74</v>
      </c>
      <c r="Q949" t="s">
        <v>74</v>
      </c>
      <c r="R949" t="s">
        <v>74</v>
      </c>
      <c r="S949" t="s">
        <v>74</v>
      </c>
      <c r="T949" t="s">
        <v>18399</v>
      </c>
      <c r="U949" t="s">
        <v>18400</v>
      </c>
      <c r="V949" t="s">
        <v>18401</v>
      </c>
      <c r="W949" t="s">
        <v>18402</v>
      </c>
      <c r="X949" t="s">
        <v>18403</v>
      </c>
      <c r="Y949" t="s">
        <v>18404</v>
      </c>
      <c r="Z949" t="s">
        <v>18405</v>
      </c>
      <c r="AA949" t="s">
        <v>18406</v>
      </c>
      <c r="AB949" t="s">
        <v>18407</v>
      </c>
      <c r="AC949" t="s">
        <v>18408</v>
      </c>
      <c r="AD949" t="s">
        <v>18409</v>
      </c>
      <c r="AE949" t="s">
        <v>18410</v>
      </c>
      <c r="AF949" t="s">
        <v>74</v>
      </c>
      <c r="AG949">
        <v>57</v>
      </c>
      <c r="AH949">
        <v>8</v>
      </c>
      <c r="AI949">
        <v>9</v>
      </c>
      <c r="AJ949">
        <v>1</v>
      </c>
      <c r="AK949">
        <v>15</v>
      </c>
      <c r="AL949" t="s">
        <v>2042</v>
      </c>
      <c r="AM949" t="s">
        <v>2043</v>
      </c>
      <c r="AN949" t="s">
        <v>2044</v>
      </c>
      <c r="AO949" t="s">
        <v>3432</v>
      </c>
      <c r="AP949" t="s">
        <v>3433</v>
      </c>
      <c r="AQ949" t="s">
        <v>74</v>
      </c>
      <c r="AR949" t="s">
        <v>3434</v>
      </c>
      <c r="AS949" t="s">
        <v>3435</v>
      </c>
      <c r="AT949" t="s">
        <v>18324</v>
      </c>
      <c r="AU949">
        <v>2022</v>
      </c>
      <c r="AV949">
        <v>49</v>
      </c>
      <c r="AW949">
        <v>4</v>
      </c>
      <c r="AX949" t="s">
        <v>74</v>
      </c>
      <c r="AY949" t="s">
        <v>74</v>
      </c>
      <c r="AZ949" t="s">
        <v>74</v>
      </c>
      <c r="BA949" t="s">
        <v>74</v>
      </c>
      <c r="BB949" t="s">
        <v>74</v>
      </c>
      <c r="BC949" t="s">
        <v>74</v>
      </c>
      <c r="BD949" t="s">
        <v>18411</v>
      </c>
      <c r="BE949" t="s">
        <v>18412</v>
      </c>
      <c r="BF949" t="str">
        <f>HYPERLINK("http://dx.doi.org/10.1029/2021GL097232","http://dx.doi.org/10.1029/2021GL097232")</f>
        <v>http://dx.doi.org/10.1029/2021GL097232</v>
      </c>
      <c r="BG949" t="s">
        <v>74</v>
      </c>
      <c r="BH949" t="s">
        <v>74</v>
      </c>
      <c r="BI949">
        <v>10</v>
      </c>
      <c r="BJ949" t="s">
        <v>265</v>
      </c>
      <c r="BK949" t="s">
        <v>101</v>
      </c>
      <c r="BL949" t="s">
        <v>100</v>
      </c>
      <c r="BM949" t="s">
        <v>18377</v>
      </c>
      <c r="BN949" t="s">
        <v>74</v>
      </c>
      <c r="BO949" t="s">
        <v>590</v>
      </c>
      <c r="BP949" t="s">
        <v>74</v>
      </c>
      <c r="BQ949" t="s">
        <v>74</v>
      </c>
      <c r="BR949" t="s">
        <v>103</v>
      </c>
      <c r="BS949" t="s">
        <v>18413</v>
      </c>
      <c r="BT949" t="str">
        <f>HYPERLINK("https%3A%2F%2Fwww.webofscience.com%2Fwos%2Fwoscc%2Ffull-record%2FWOS:000765659300003","View Full Record in Web of Science")</f>
        <v>View Full Record in Web of Science</v>
      </c>
    </row>
    <row r="950" spans="1:72" x14ac:dyDescent="0.15">
      <c r="A950" t="s">
        <v>72</v>
      </c>
      <c r="B950" t="s">
        <v>18414</v>
      </c>
      <c r="C950" t="s">
        <v>74</v>
      </c>
      <c r="D950" t="s">
        <v>74</v>
      </c>
      <c r="E950" t="s">
        <v>74</v>
      </c>
      <c r="F950" t="s">
        <v>18415</v>
      </c>
      <c r="G950" t="s">
        <v>74</v>
      </c>
      <c r="H950" t="s">
        <v>74</v>
      </c>
      <c r="I950" t="s">
        <v>18416</v>
      </c>
      <c r="J950" t="s">
        <v>3419</v>
      </c>
      <c r="K950" t="s">
        <v>74</v>
      </c>
      <c r="L950" t="s">
        <v>74</v>
      </c>
      <c r="M950" t="s">
        <v>78</v>
      </c>
      <c r="N950" t="s">
        <v>79</v>
      </c>
      <c r="O950" t="s">
        <v>74</v>
      </c>
      <c r="P950" t="s">
        <v>74</v>
      </c>
      <c r="Q950" t="s">
        <v>74</v>
      </c>
      <c r="R950" t="s">
        <v>74</v>
      </c>
      <c r="S950" t="s">
        <v>74</v>
      </c>
      <c r="T950" t="s">
        <v>74</v>
      </c>
      <c r="U950" t="s">
        <v>18417</v>
      </c>
      <c r="V950" t="s">
        <v>18418</v>
      </c>
      <c r="W950" t="s">
        <v>18419</v>
      </c>
      <c r="X950" t="s">
        <v>18420</v>
      </c>
      <c r="Y950" t="s">
        <v>18421</v>
      </c>
      <c r="Z950" t="s">
        <v>18422</v>
      </c>
      <c r="AA950" t="s">
        <v>18423</v>
      </c>
      <c r="AB950" t="s">
        <v>18424</v>
      </c>
      <c r="AC950" t="s">
        <v>18425</v>
      </c>
      <c r="AD950" t="s">
        <v>18426</v>
      </c>
      <c r="AE950" t="s">
        <v>18427</v>
      </c>
      <c r="AF950" t="s">
        <v>74</v>
      </c>
      <c r="AG950">
        <v>58</v>
      </c>
      <c r="AH950">
        <v>5</v>
      </c>
      <c r="AI950">
        <v>5</v>
      </c>
      <c r="AJ950">
        <v>0</v>
      </c>
      <c r="AK950">
        <v>7</v>
      </c>
      <c r="AL950" t="s">
        <v>2042</v>
      </c>
      <c r="AM950" t="s">
        <v>2043</v>
      </c>
      <c r="AN950" t="s">
        <v>2044</v>
      </c>
      <c r="AO950" t="s">
        <v>3432</v>
      </c>
      <c r="AP950" t="s">
        <v>3433</v>
      </c>
      <c r="AQ950" t="s">
        <v>74</v>
      </c>
      <c r="AR950" t="s">
        <v>3434</v>
      </c>
      <c r="AS950" t="s">
        <v>3435</v>
      </c>
      <c r="AT950" t="s">
        <v>18324</v>
      </c>
      <c r="AU950">
        <v>2022</v>
      </c>
      <c r="AV950">
        <v>49</v>
      </c>
      <c r="AW950">
        <v>4</v>
      </c>
      <c r="AX950" t="s">
        <v>74</v>
      </c>
      <c r="AY950" t="s">
        <v>74</v>
      </c>
      <c r="AZ950" t="s">
        <v>74</v>
      </c>
      <c r="BA950" t="s">
        <v>74</v>
      </c>
      <c r="BB950" t="s">
        <v>74</v>
      </c>
      <c r="BC950" t="s">
        <v>74</v>
      </c>
      <c r="BD950" t="s">
        <v>18428</v>
      </c>
      <c r="BE950" t="s">
        <v>18429</v>
      </c>
      <c r="BF950" t="str">
        <f>HYPERLINK("http://dx.doi.org/10.1029/2021GL097109","http://dx.doi.org/10.1029/2021GL097109")</f>
        <v>http://dx.doi.org/10.1029/2021GL097109</v>
      </c>
      <c r="BG950" t="s">
        <v>74</v>
      </c>
      <c r="BH950" t="s">
        <v>74</v>
      </c>
      <c r="BI950">
        <v>11</v>
      </c>
      <c r="BJ950" t="s">
        <v>265</v>
      </c>
      <c r="BK950" t="s">
        <v>101</v>
      </c>
      <c r="BL950" t="s">
        <v>100</v>
      </c>
      <c r="BM950" t="s">
        <v>18377</v>
      </c>
      <c r="BN950" t="s">
        <v>74</v>
      </c>
      <c r="BO950" t="s">
        <v>2438</v>
      </c>
      <c r="BP950" t="s">
        <v>74</v>
      </c>
      <c r="BQ950" t="s">
        <v>74</v>
      </c>
      <c r="BR950" t="s">
        <v>103</v>
      </c>
      <c r="BS950" t="s">
        <v>18430</v>
      </c>
      <c r="BT950" t="str">
        <f>HYPERLINK("https%3A%2F%2Fwww.webofscience.com%2Fwos%2Fwoscc%2Ffull-record%2FWOS:000765659300031","View Full Record in Web of Science")</f>
        <v>View Full Record in Web of Science</v>
      </c>
    </row>
    <row r="951" spans="1:72" x14ac:dyDescent="0.15">
      <c r="A951" t="s">
        <v>72</v>
      </c>
      <c r="B951" t="s">
        <v>18431</v>
      </c>
      <c r="C951" t="s">
        <v>74</v>
      </c>
      <c r="D951" t="s">
        <v>74</v>
      </c>
      <c r="E951" t="s">
        <v>74</v>
      </c>
      <c r="F951" t="s">
        <v>18432</v>
      </c>
      <c r="G951" t="s">
        <v>74</v>
      </c>
      <c r="H951" t="s">
        <v>74</v>
      </c>
      <c r="I951" t="s">
        <v>18433</v>
      </c>
      <c r="J951" t="s">
        <v>3419</v>
      </c>
      <c r="K951" t="s">
        <v>74</v>
      </c>
      <c r="L951" t="s">
        <v>74</v>
      </c>
      <c r="M951" t="s">
        <v>78</v>
      </c>
      <c r="N951" t="s">
        <v>190</v>
      </c>
      <c r="O951" t="s">
        <v>74</v>
      </c>
      <c r="P951" t="s">
        <v>74</v>
      </c>
      <c r="Q951" t="s">
        <v>74</v>
      </c>
      <c r="R951" t="s">
        <v>74</v>
      </c>
      <c r="S951" t="s">
        <v>74</v>
      </c>
      <c r="T951" t="s">
        <v>18434</v>
      </c>
      <c r="U951" t="s">
        <v>18435</v>
      </c>
      <c r="V951" t="s">
        <v>18436</v>
      </c>
      <c r="W951" t="s">
        <v>18437</v>
      </c>
      <c r="X951" t="s">
        <v>3179</v>
      </c>
      <c r="Y951" t="s">
        <v>18438</v>
      </c>
      <c r="Z951" t="s">
        <v>18439</v>
      </c>
      <c r="AA951" t="s">
        <v>74</v>
      </c>
      <c r="AB951" t="s">
        <v>18440</v>
      </c>
      <c r="AC951" t="s">
        <v>18441</v>
      </c>
      <c r="AD951" t="s">
        <v>18442</v>
      </c>
      <c r="AE951" t="s">
        <v>18443</v>
      </c>
      <c r="AF951" t="s">
        <v>74</v>
      </c>
      <c r="AG951">
        <v>30</v>
      </c>
      <c r="AH951">
        <v>3</v>
      </c>
      <c r="AI951">
        <v>3</v>
      </c>
      <c r="AJ951">
        <v>3</v>
      </c>
      <c r="AK951">
        <v>7</v>
      </c>
      <c r="AL951" t="s">
        <v>2042</v>
      </c>
      <c r="AM951" t="s">
        <v>2043</v>
      </c>
      <c r="AN951" t="s">
        <v>2044</v>
      </c>
      <c r="AO951" t="s">
        <v>3432</v>
      </c>
      <c r="AP951" t="s">
        <v>3433</v>
      </c>
      <c r="AQ951" t="s">
        <v>74</v>
      </c>
      <c r="AR951" t="s">
        <v>3434</v>
      </c>
      <c r="AS951" t="s">
        <v>3435</v>
      </c>
      <c r="AT951" t="s">
        <v>18324</v>
      </c>
      <c r="AU951">
        <v>2022</v>
      </c>
      <c r="AV951">
        <v>49</v>
      </c>
      <c r="AW951">
        <v>4</v>
      </c>
      <c r="AX951" t="s">
        <v>74</v>
      </c>
      <c r="AY951" t="s">
        <v>74</v>
      </c>
      <c r="AZ951" t="s">
        <v>74</v>
      </c>
      <c r="BA951" t="s">
        <v>74</v>
      </c>
      <c r="BB951" t="s">
        <v>74</v>
      </c>
      <c r="BC951" t="s">
        <v>74</v>
      </c>
      <c r="BD951" t="s">
        <v>18444</v>
      </c>
      <c r="BE951" t="s">
        <v>18445</v>
      </c>
      <c r="BF951" t="str">
        <f>HYPERLINK("http://dx.doi.org/10.1029/2021GL097421","http://dx.doi.org/10.1029/2021GL097421")</f>
        <v>http://dx.doi.org/10.1029/2021GL097421</v>
      </c>
      <c r="BG951" t="s">
        <v>74</v>
      </c>
      <c r="BH951" t="s">
        <v>74</v>
      </c>
      <c r="BI951">
        <v>5</v>
      </c>
      <c r="BJ951" t="s">
        <v>265</v>
      </c>
      <c r="BK951" t="s">
        <v>101</v>
      </c>
      <c r="BL951" t="s">
        <v>100</v>
      </c>
      <c r="BM951" t="s">
        <v>18377</v>
      </c>
      <c r="BN951" t="s">
        <v>74</v>
      </c>
      <c r="BO951" t="s">
        <v>883</v>
      </c>
      <c r="BP951" t="s">
        <v>74</v>
      </c>
      <c r="BQ951" t="s">
        <v>74</v>
      </c>
      <c r="BR951" t="s">
        <v>103</v>
      </c>
      <c r="BS951" t="s">
        <v>18446</v>
      </c>
      <c r="BT951" t="str">
        <f>HYPERLINK("https%3A%2F%2Fwww.webofscience.com%2Fwos%2Fwoscc%2Ffull-record%2FWOS:000765659300055","View Full Record in Web of Science")</f>
        <v>View Full Record in Web of Science</v>
      </c>
    </row>
    <row r="952" spans="1:72" x14ac:dyDescent="0.15">
      <c r="A952" t="s">
        <v>72</v>
      </c>
      <c r="B952" t="s">
        <v>18447</v>
      </c>
      <c r="C952" t="s">
        <v>74</v>
      </c>
      <c r="D952" t="s">
        <v>74</v>
      </c>
      <c r="E952" t="s">
        <v>74</v>
      </c>
      <c r="F952" t="s">
        <v>18448</v>
      </c>
      <c r="G952" t="s">
        <v>74</v>
      </c>
      <c r="H952" t="s">
        <v>74</v>
      </c>
      <c r="I952" t="s">
        <v>18449</v>
      </c>
      <c r="J952" t="s">
        <v>3419</v>
      </c>
      <c r="K952" t="s">
        <v>74</v>
      </c>
      <c r="L952" t="s">
        <v>74</v>
      </c>
      <c r="M952" t="s">
        <v>78</v>
      </c>
      <c r="N952" t="s">
        <v>79</v>
      </c>
      <c r="O952" t="s">
        <v>74</v>
      </c>
      <c r="P952" t="s">
        <v>74</v>
      </c>
      <c r="Q952" t="s">
        <v>74</v>
      </c>
      <c r="R952" t="s">
        <v>74</v>
      </c>
      <c r="S952" t="s">
        <v>74</v>
      </c>
      <c r="T952" t="s">
        <v>18450</v>
      </c>
      <c r="U952" t="s">
        <v>18451</v>
      </c>
      <c r="V952" t="s">
        <v>18452</v>
      </c>
      <c r="W952" t="s">
        <v>18453</v>
      </c>
      <c r="X952" t="s">
        <v>18454</v>
      </c>
      <c r="Y952" t="s">
        <v>18455</v>
      </c>
      <c r="Z952" t="s">
        <v>18456</v>
      </c>
      <c r="AA952" t="s">
        <v>18457</v>
      </c>
      <c r="AB952" t="s">
        <v>18458</v>
      </c>
      <c r="AC952" t="s">
        <v>18459</v>
      </c>
      <c r="AD952" t="s">
        <v>18460</v>
      </c>
      <c r="AE952" t="s">
        <v>18461</v>
      </c>
      <c r="AF952" t="s">
        <v>74</v>
      </c>
      <c r="AG952">
        <v>68</v>
      </c>
      <c r="AH952">
        <v>13</v>
      </c>
      <c r="AI952">
        <v>14</v>
      </c>
      <c r="AJ952">
        <v>5</v>
      </c>
      <c r="AK952">
        <v>24</v>
      </c>
      <c r="AL952" t="s">
        <v>2042</v>
      </c>
      <c r="AM952" t="s">
        <v>2043</v>
      </c>
      <c r="AN952" t="s">
        <v>2044</v>
      </c>
      <c r="AO952" t="s">
        <v>3432</v>
      </c>
      <c r="AP952" t="s">
        <v>3433</v>
      </c>
      <c r="AQ952" t="s">
        <v>74</v>
      </c>
      <c r="AR952" t="s">
        <v>3434</v>
      </c>
      <c r="AS952" t="s">
        <v>3435</v>
      </c>
      <c r="AT952" t="s">
        <v>18324</v>
      </c>
      <c r="AU952">
        <v>2022</v>
      </c>
      <c r="AV952">
        <v>49</v>
      </c>
      <c r="AW952">
        <v>4</v>
      </c>
      <c r="AX952" t="s">
        <v>74</v>
      </c>
      <c r="AY952" t="s">
        <v>74</v>
      </c>
      <c r="AZ952" t="s">
        <v>74</v>
      </c>
      <c r="BA952" t="s">
        <v>74</v>
      </c>
      <c r="BB952" t="s">
        <v>74</v>
      </c>
      <c r="BC952" t="s">
        <v>74</v>
      </c>
      <c r="BD952" t="s">
        <v>18462</v>
      </c>
      <c r="BE952" t="s">
        <v>18463</v>
      </c>
      <c r="BF952" t="str">
        <f>HYPERLINK("http://dx.doi.org/10.1029/2021GL097246","http://dx.doi.org/10.1029/2021GL097246")</f>
        <v>http://dx.doi.org/10.1029/2021GL097246</v>
      </c>
      <c r="BG952" t="s">
        <v>74</v>
      </c>
      <c r="BH952" t="s">
        <v>74</v>
      </c>
      <c r="BI952">
        <v>12</v>
      </c>
      <c r="BJ952" t="s">
        <v>265</v>
      </c>
      <c r="BK952" t="s">
        <v>101</v>
      </c>
      <c r="BL952" t="s">
        <v>100</v>
      </c>
      <c r="BM952" t="s">
        <v>18377</v>
      </c>
      <c r="BN952" t="s">
        <v>74</v>
      </c>
      <c r="BO952" t="s">
        <v>267</v>
      </c>
      <c r="BP952" t="s">
        <v>74</v>
      </c>
      <c r="BQ952" t="s">
        <v>74</v>
      </c>
      <c r="BR952" t="s">
        <v>103</v>
      </c>
      <c r="BS952" t="s">
        <v>18464</v>
      </c>
      <c r="BT952" t="str">
        <f>HYPERLINK("https%3A%2F%2Fwww.webofscience.com%2Fwos%2Fwoscc%2Ffull-record%2FWOS:000765659300038","View Full Record in Web of Science")</f>
        <v>View Full Record in Web of Science</v>
      </c>
    </row>
    <row r="953" spans="1:72" x14ac:dyDescent="0.15">
      <c r="A953" t="s">
        <v>72</v>
      </c>
      <c r="B953" t="s">
        <v>18465</v>
      </c>
      <c r="C953" t="s">
        <v>74</v>
      </c>
      <c r="D953" t="s">
        <v>74</v>
      </c>
      <c r="E953" t="s">
        <v>74</v>
      </c>
      <c r="F953" t="s">
        <v>18466</v>
      </c>
      <c r="G953" t="s">
        <v>74</v>
      </c>
      <c r="H953" t="s">
        <v>74</v>
      </c>
      <c r="I953" t="s">
        <v>18467</v>
      </c>
      <c r="J953" t="s">
        <v>3419</v>
      </c>
      <c r="K953" t="s">
        <v>74</v>
      </c>
      <c r="L953" t="s">
        <v>74</v>
      </c>
      <c r="M953" t="s">
        <v>78</v>
      </c>
      <c r="N953" t="s">
        <v>79</v>
      </c>
      <c r="O953" t="s">
        <v>74</v>
      </c>
      <c r="P953" t="s">
        <v>74</v>
      </c>
      <c r="Q953" t="s">
        <v>74</v>
      </c>
      <c r="R953" t="s">
        <v>74</v>
      </c>
      <c r="S953" t="s">
        <v>74</v>
      </c>
      <c r="T953" t="s">
        <v>18468</v>
      </c>
      <c r="U953" t="s">
        <v>18469</v>
      </c>
      <c r="V953" t="s">
        <v>18470</v>
      </c>
      <c r="W953" t="s">
        <v>18471</v>
      </c>
      <c r="X953" t="s">
        <v>18472</v>
      </c>
      <c r="Y953" t="s">
        <v>18473</v>
      </c>
      <c r="Z953" t="s">
        <v>18474</v>
      </c>
      <c r="AA953" t="s">
        <v>18475</v>
      </c>
      <c r="AB953" t="s">
        <v>18476</v>
      </c>
      <c r="AC953" t="s">
        <v>18477</v>
      </c>
      <c r="AD953" t="s">
        <v>4081</v>
      </c>
      <c r="AE953" t="s">
        <v>18478</v>
      </c>
      <c r="AF953" t="s">
        <v>74</v>
      </c>
      <c r="AG953">
        <v>28</v>
      </c>
      <c r="AH953">
        <v>22</v>
      </c>
      <c r="AI953">
        <v>22</v>
      </c>
      <c r="AJ953">
        <v>6</v>
      </c>
      <c r="AK953">
        <v>22</v>
      </c>
      <c r="AL953" t="s">
        <v>2042</v>
      </c>
      <c r="AM953" t="s">
        <v>2043</v>
      </c>
      <c r="AN953" t="s">
        <v>2044</v>
      </c>
      <c r="AO953" t="s">
        <v>3432</v>
      </c>
      <c r="AP953" t="s">
        <v>3433</v>
      </c>
      <c r="AQ953" t="s">
        <v>74</v>
      </c>
      <c r="AR953" t="s">
        <v>3434</v>
      </c>
      <c r="AS953" t="s">
        <v>3435</v>
      </c>
      <c r="AT953" t="s">
        <v>18324</v>
      </c>
      <c r="AU953">
        <v>2022</v>
      </c>
      <c r="AV953">
        <v>49</v>
      </c>
      <c r="AW953">
        <v>4</v>
      </c>
      <c r="AX953" t="s">
        <v>74</v>
      </c>
      <c r="AY953" t="s">
        <v>74</v>
      </c>
      <c r="AZ953" t="s">
        <v>74</v>
      </c>
      <c r="BA953" t="s">
        <v>74</v>
      </c>
      <c r="BB953" t="s">
        <v>74</v>
      </c>
      <c r="BC953" t="s">
        <v>74</v>
      </c>
      <c r="BD953" t="s">
        <v>18479</v>
      </c>
      <c r="BE953" t="s">
        <v>18480</v>
      </c>
      <c r="BF953" t="str">
        <f>HYPERLINK("http://dx.doi.org/10.1029/2021GL097108","http://dx.doi.org/10.1029/2021GL097108")</f>
        <v>http://dx.doi.org/10.1029/2021GL097108</v>
      </c>
      <c r="BG953" t="s">
        <v>74</v>
      </c>
      <c r="BH953" t="s">
        <v>74</v>
      </c>
      <c r="BI953">
        <v>11</v>
      </c>
      <c r="BJ953" t="s">
        <v>265</v>
      </c>
      <c r="BK953" t="s">
        <v>101</v>
      </c>
      <c r="BL953" t="s">
        <v>100</v>
      </c>
      <c r="BM953" t="s">
        <v>18377</v>
      </c>
      <c r="BN953" t="s">
        <v>74</v>
      </c>
      <c r="BO953" t="s">
        <v>324</v>
      </c>
      <c r="BP953" t="s">
        <v>74</v>
      </c>
      <c r="BQ953" t="s">
        <v>74</v>
      </c>
      <c r="BR953" t="s">
        <v>103</v>
      </c>
      <c r="BS953" t="s">
        <v>18481</v>
      </c>
      <c r="BT953" t="str">
        <f>HYPERLINK("https%3A%2F%2Fwww.webofscience.com%2Fwos%2Fwoscc%2Ffull-record%2FWOS:000765659300043","View Full Record in Web of Science")</f>
        <v>View Full Record in Web of Science</v>
      </c>
    </row>
    <row r="954" spans="1:72" x14ac:dyDescent="0.15">
      <c r="A954" t="s">
        <v>72</v>
      </c>
      <c r="B954" t="s">
        <v>18482</v>
      </c>
      <c r="C954" t="s">
        <v>74</v>
      </c>
      <c r="D954" t="s">
        <v>74</v>
      </c>
      <c r="E954" t="s">
        <v>74</v>
      </c>
      <c r="F954" t="s">
        <v>18483</v>
      </c>
      <c r="G954" t="s">
        <v>74</v>
      </c>
      <c r="H954" t="s">
        <v>74</v>
      </c>
      <c r="I954" t="s">
        <v>18484</v>
      </c>
      <c r="J954" t="s">
        <v>415</v>
      </c>
      <c r="K954" t="s">
        <v>74</v>
      </c>
      <c r="L954" t="s">
        <v>74</v>
      </c>
      <c r="M954" t="s">
        <v>78</v>
      </c>
      <c r="N954" t="s">
        <v>79</v>
      </c>
      <c r="O954" t="s">
        <v>74</v>
      </c>
      <c r="P954" t="s">
        <v>74</v>
      </c>
      <c r="Q954" t="s">
        <v>74</v>
      </c>
      <c r="R954" t="s">
        <v>74</v>
      </c>
      <c r="S954" t="s">
        <v>74</v>
      </c>
      <c r="T954" t="s">
        <v>18485</v>
      </c>
      <c r="U954" t="s">
        <v>74</v>
      </c>
      <c r="V954" t="s">
        <v>18486</v>
      </c>
      <c r="W954" t="s">
        <v>18487</v>
      </c>
      <c r="X954" t="s">
        <v>18488</v>
      </c>
      <c r="Y954" t="s">
        <v>18489</v>
      </c>
      <c r="Z954" t="s">
        <v>18490</v>
      </c>
      <c r="AA954" t="s">
        <v>18491</v>
      </c>
      <c r="AB954" t="s">
        <v>18492</v>
      </c>
      <c r="AC954" t="s">
        <v>18493</v>
      </c>
      <c r="AD954" t="s">
        <v>18494</v>
      </c>
      <c r="AE954" t="s">
        <v>18495</v>
      </c>
      <c r="AF954" t="s">
        <v>74</v>
      </c>
      <c r="AG954">
        <v>34</v>
      </c>
      <c r="AH954">
        <v>1</v>
      </c>
      <c r="AI954">
        <v>1</v>
      </c>
      <c r="AJ954">
        <v>0</v>
      </c>
      <c r="AK954">
        <v>1</v>
      </c>
      <c r="AL954" t="s">
        <v>428</v>
      </c>
      <c r="AM954" t="s">
        <v>174</v>
      </c>
      <c r="AN954" t="s">
        <v>429</v>
      </c>
      <c r="AO954" t="s">
        <v>430</v>
      </c>
      <c r="AP954" t="s">
        <v>431</v>
      </c>
      <c r="AQ954" t="s">
        <v>74</v>
      </c>
      <c r="AR954" t="s">
        <v>432</v>
      </c>
      <c r="AS954" t="s">
        <v>433</v>
      </c>
      <c r="AT954" t="s">
        <v>484</v>
      </c>
      <c r="AU954">
        <v>2022</v>
      </c>
      <c r="AV954">
        <v>68</v>
      </c>
      <c r="AW954">
        <v>271</v>
      </c>
      <c r="AX954" t="s">
        <v>74</v>
      </c>
      <c r="AY954" t="s">
        <v>74</v>
      </c>
      <c r="AZ954" t="s">
        <v>74</v>
      </c>
      <c r="BA954" t="s">
        <v>74</v>
      </c>
      <c r="BB954">
        <v>867</v>
      </c>
      <c r="BC954">
        <v>878</v>
      </c>
      <c r="BD954" t="s">
        <v>74</v>
      </c>
      <c r="BE954" t="s">
        <v>18496</v>
      </c>
      <c r="BF954" t="str">
        <f>HYPERLINK("http://dx.doi.org/10.1017/jog.2022.3","http://dx.doi.org/10.1017/jog.2022.3")</f>
        <v>http://dx.doi.org/10.1017/jog.2022.3</v>
      </c>
      <c r="BG954" t="s">
        <v>74</v>
      </c>
      <c r="BH954" t="s">
        <v>18249</v>
      </c>
      <c r="BI954">
        <v>12</v>
      </c>
      <c r="BJ954" t="s">
        <v>125</v>
      </c>
      <c r="BK954" t="s">
        <v>101</v>
      </c>
      <c r="BL954" t="s">
        <v>126</v>
      </c>
      <c r="BM954" t="s">
        <v>10808</v>
      </c>
      <c r="BN954" t="s">
        <v>74</v>
      </c>
      <c r="BO954" t="s">
        <v>438</v>
      </c>
      <c r="BP954" t="s">
        <v>74</v>
      </c>
      <c r="BQ954" t="s">
        <v>74</v>
      </c>
      <c r="BR954" t="s">
        <v>103</v>
      </c>
      <c r="BS954" t="s">
        <v>18497</v>
      </c>
      <c r="BT954" t="str">
        <f>HYPERLINK("https%3A%2F%2Fwww.webofscience.com%2Fwos%2Fwoscc%2Ffull-record%2FWOS:000762105300001","View Full Record in Web of Science")</f>
        <v>View Full Record in Web of Science</v>
      </c>
    </row>
    <row r="955" spans="1:72" x14ac:dyDescent="0.15">
      <c r="A955" t="s">
        <v>72</v>
      </c>
      <c r="B955" t="s">
        <v>18498</v>
      </c>
      <c r="C955" t="s">
        <v>74</v>
      </c>
      <c r="D955" t="s">
        <v>74</v>
      </c>
      <c r="E955" t="s">
        <v>74</v>
      </c>
      <c r="F955" t="s">
        <v>18499</v>
      </c>
      <c r="G955" t="s">
        <v>74</v>
      </c>
      <c r="H955" t="s">
        <v>74</v>
      </c>
      <c r="I955" t="s">
        <v>18500</v>
      </c>
      <c r="J955" t="s">
        <v>3636</v>
      </c>
      <c r="K955" t="s">
        <v>74</v>
      </c>
      <c r="L955" t="s">
        <v>74</v>
      </c>
      <c r="M955" t="s">
        <v>78</v>
      </c>
      <c r="N955" t="s">
        <v>79</v>
      </c>
      <c r="O955" t="s">
        <v>74</v>
      </c>
      <c r="P955" t="s">
        <v>74</v>
      </c>
      <c r="Q955" t="s">
        <v>74</v>
      </c>
      <c r="R955" t="s">
        <v>74</v>
      </c>
      <c r="S955" t="s">
        <v>74</v>
      </c>
      <c r="T955" t="s">
        <v>18501</v>
      </c>
      <c r="U955" t="s">
        <v>18502</v>
      </c>
      <c r="V955" t="s">
        <v>18503</v>
      </c>
      <c r="W955" t="s">
        <v>18504</v>
      </c>
      <c r="X955" t="s">
        <v>18505</v>
      </c>
      <c r="Y955" t="s">
        <v>18506</v>
      </c>
      <c r="Z955" t="s">
        <v>18507</v>
      </c>
      <c r="AA955" t="s">
        <v>74</v>
      </c>
      <c r="AB955" t="s">
        <v>18508</v>
      </c>
      <c r="AC955" t="s">
        <v>18509</v>
      </c>
      <c r="AD955" t="s">
        <v>18510</v>
      </c>
      <c r="AE955" t="s">
        <v>18511</v>
      </c>
      <c r="AF955" t="s">
        <v>74</v>
      </c>
      <c r="AG955">
        <v>59</v>
      </c>
      <c r="AH955">
        <v>5</v>
      </c>
      <c r="AI955">
        <v>5</v>
      </c>
      <c r="AJ955">
        <v>1</v>
      </c>
      <c r="AK955">
        <v>7</v>
      </c>
      <c r="AL955" t="s">
        <v>2042</v>
      </c>
      <c r="AM955" t="s">
        <v>2043</v>
      </c>
      <c r="AN955" t="s">
        <v>2044</v>
      </c>
      <c r="AO955" t="s">
        <v>3648</v>
      </c>
      <c r="AP955" t="s">
        <v>3649</v>
      </c>
      <c r="AQ955" t="s">
        <v>74</v>
      </c>
      <c r="AR955" t="s">
        <v>3650</v>
      </c>
      <c r="AS955" t="s">
        <v>3651</v>
      </c>
      <c r="AT955" t="s">
        <v>18512</v>
      </c>
      <c r="AU955">
        <v>2022</v>
      </c>
      <c r="AV955">
        <v>127</v>
      </c>
      <c r="AW955">
        <v>4</v>
      </c>
      <c r="AX955" t="s">
        <v>74</v>
      </c>
      <c r="AY955" t="s">
        <v>74</v>
      </c>
      <c r="AZ955" t="s">
        <v>74</v>
      </c>
      <c r="BA955" t="s">
        <v>74</v>
      </c>
      <c r="BB955" t="s">
        <v>74</v>
      </c>
      <c r="BC955" t="s">
        <v>74</v>
      </c>
      <c r="BD955" t="s">
        <v>18513</v>
      </c>
      <c r="BE955" t="s">
        <v>18514</v>
      </c>
      <c r="BF955" t="str">
        <f>HYPERLINK("http://dx.doi.org/10.1029/2021JD035349","http://dx.doi.org/10.1029/2021JD035349")</f>
        <v>http://dx.doi.org/10.1029/2021JD035349</v>
      </c>
      <c r="BG955" t="s">
        <v>74</v>
      </c>
      <c r="BH955" t="s">
        <v>74</v>
      </c>
      <c r="BI955">
        <v>16</v>
      </c>
      <c r="BJ955" t="s">
        <v>510</v>
      </c>
      <c r="BK955" t="s">
        <v>101</v>
      </c>
      <c r="BL955" t="s">
        <v>510</v>
      </c>
      <c r="BM955" t="s">
        <v>18515</v>
      </c>
      <c r="BN955" t="s">
        <v>74</v>
      </c>
      <c r="BO955" t="s">
        <v>590</v>
      </c>
      <c r="BP955" t="s">
        <v>74</v>
      </c>
      <c r="BQ955" t="s">
        <v>74</v>
      </c>
      <c r="BR955" t="s">
        <v>103</v>
      </c>
      <c r="BS955" t="s">
        <v>18516</v>
      </c>
      <c r="BT955" t="str">
        <f>HYPERLINK("https%3A%2F%2Fwww.webofscience.com%2Fwos%2Fwoscc%2Ffull-record%2FWOS:000765621000040","View Full Record in Web of Science")</f>
        <v>View Full Record in Web of Science</v>
      </c>
    </row>
    <row r="956" spans="1:72" x14ac:dyDescent="0.15">
      <c r="A956" t="s">
        <v>72</v>
      </c>
      <c r="B956" t="s">
        <v>18517</v>
      </c>
      <c r="C956" t="s">
        <v>74</v>
      </c>
      <c r="D956" t="s">
        <v>74</v>
      </c>
      <c r="E956" t="s">
        <v>74</v>
      </c>
      <c r="F956" t="s">
        <v>18518</v>
      </c>
      <c r="G956" t="s">
        <v>74</v>
      </c>
      <c r="H956" t="s">
        <v>74</v>
      </c>
      <c r="I956" t="s">
        <v>18519</v>
      </c>
      <c r="J956" t="s">
        <v>13502</v>
      </c>
      <c r="K956" t="s">
        <v>74</v>
      </c>
      <c r="L956" t="s">
        <v>74</v>
      </c>
      <c r="M956" t="s">
        <v>78</v>
      </c>
      <c r="N956" t="s">
        <v>161</v>
      </c>
      <c r="O956" t="s">
        <v>74</v>
      </c>
      <c r="P956" t="s">
        <v>74</v>
      </c>
      <c r="Q956" t="s">
        <v>74</v>
      </c>
      <c r="R956" t="s">
        <v>74</v>
      </c>
      <c r="S956" t="s">
        <v>74</v>
      </c>
      <c r="T956" t="s">
        <v>18520</v>
      </c>
      <c r="U956" t="s">
        <v>18521</v>
      </c>
      <c r="V956" t="s">
        <v>18522</v>
      </c>
      <c r="W956" t="s">
        <v>18523</v>
      </c>
      <c r="X956" t="s">
        <v>18524</v>
      </c>
      <c r="Y956" t="s">
        <v>18525</v>
      </c>
      <c r="Z956" t="s">
        <v>18526</v>
      </c>
      <c r="AA956" t="s">
        <v>18527</v>
      </c>
      <c r="AB956" t="s">
        <v>18528</v>
      </c>
      <c r="AC956" t="s">
        <v>18529</v>
      </c>
      <c r="AD956" t="s">
        <v>18530</v>
      </c>
      <c r="AE956" t="s">
        <v>18531</v>
      </c>
      <c r="AF956" t="s">
        <v>74</v>
      </c>
      <c r="AG956">
        <v>297</v>
      </c>
      <c r="AH956">
        <v>38</v>
      </c>
      <c r="AI956">
        <v>43</v>
      </c>
      <c r="AJ956">
        <v>53</v>
      </c>
      <c r="AK956">
        <v>229</v>
      </c>
      <c r="AL956" t="s">
        <v>91</v>
      </c>
      <c r="AM956" t="s">
        <v>92</v>
      </c>
      <c r="AN956" t="s">
        <v>93</v>
      </c>
      <c r="AO956" t="s">
        <v>13515</v>
      </c>
      <c r="AP956" t="s">
        <v>13516</v>
      </c>
      <c r="AQ956" t="s">
        <v>74</v>
      </c>
      <c r="AR956" t="s">
        <v>13517</v>
      </c>
      <c r="AS956" t="s">
        <v>13518</v>
      </c>
      <c r="AT956" t="s">
        <v>5076</v>
      </c>
      <c r="AU956">
        <v>2022</v>
      </c>
      <c r="AV956">
        <v>28</v>
      </c>
      <c r="AW956">
        <v>9</v>
      </c>
      <c r="AX956" t="s">
        <v>74</v>
      </c>
      <c r="AY956" t="s">
        <v>74</v>
      </c>
      <c r="AZ956" t="s">
        <v>74</v>
      </c>
      <c r="BA956" t="s">
        <v>74</v>
      </c>
      <c r="BB956">
        <v>2846</v>
      </c>
      <c r="BC956">
        <v>2874</v>
      </c>
      <c r="BD956" t="s">
        <v>74</v>
      </c>
      <c r="BE956" t="s">
        <v>18532</v>
      </c>
      <c r="BF956" t="str">
        <f>HYPERLINK("http://dx.doi.org/10.1111/gcb.16109","http://dx.doi.org/10.1111/gcb.16109")</f>
        <v>http://dx.doi.org/10.1111/gcb.16109</v>
      </c>
      <c r="BG956" t="s">
        <v>74</v>
      </c>
      <c r="BH956" t="s">
        <v>18249</v>
      </c>
      <c r="BI956">
        <v>29</v>
      </c>
      <c r="BJ956" t="s">
        <v>4270</v>
      </c>
      <c r="BK956" t="s">
        <v>956</v>
      </c>
      <c r="BL956" t="s">
        <v>540</v>
      </c>
      <c r="BM956" t="s">
        <v>18533</v>
      </c>
      <c r="BN956">
        <v>35098619</v>
      </c>
      <c r="BO956" t="s">
        <v>18534</v>
      </c>
      <c r="BP956" t="s">
        <v>74</v>
      </c>
      <c r="BQ956" t="s">
        <v>74</v>
      </c>
      <c r="BR956" t="s">
        <v>103</v>
      </c>
      <c r="BS956" t="s">
        <v>18535</v>
      </c>
      <c r="BT956" t="str">
        <f>HYPERLINK("https%3A%2F%2Fwww.webofscience.com%2Fwos%2Fwoscc%2Ffull-record%2FWOS:000761522300001","View Full Record in Web of Science")</f>
        <v>View Full Record in Web of Science</v>
      </c>
    </row>
    <row r="957" spans="1:72" x14ac:dyDescent="0.15">
      <c r="A957" t="s">
        <v>72</v>
      </c>
      <c r="B957" t="s">
        <v>18536</v>
      </c>
      <c r="C957" t="s">
        <v>74</v>
      </c>
      <c r="D957" t="s">
        <v>74</v>
      </c>
      <c r="E957" t="s">
        <v>74</v>
      </c>
      <c r="F957" t="s">
        <v>18537</v>
      </c>
      <c r="G957" t="s">
        <v>74</v>
      </c>
      <c r="H957" t="s">
        <v>74</v>
      </c>
      <c r="I957" t="s">
        <v>18538</v>
      </c>
      <c r="J957" t="s">
        <v>14456</v>
      </c>
      <c r="K957" t="s">
        <v>74</v>
      </c>
      <c r="L957" t="s">
        <v>74</v>
      </c>
      <c r="M957" t="s">
        <v>78</v>
      </c>
      <c r="N957" t="s">
        <v>79</v>
      </c>
      <c r="O957" t="s">
        <v>74</v>
      </c>
      <c r="P957" t="s">
        <v>74</v>
      </c>
      <c r="Q957" t="s">
        <v>74</v>
      </c>
      <c r="R957" t="s">
        <v>74</v>
      </c>
      <c r="S957" t="s">
        <v>74</v>
      </c>
      <c r="T957" t="s">
        <v>18539</v>
      </c>
      <c r="U957" t="s">
        <v>18540</v>
      </c>
      <c r="V957" t="s">
        <v>18541</v>
      </c>
      <c r="W957" t="s">
        <v>18542</v>
      </c>
      <c r="X957" t="s">
        <v>18543</v>
      </c>
      <c r="Y957" t="s">
        <v>18544</v>
      </c>
      <c r="Z957" t="s">
        <v>18545</v>
      </c>
      <c r="AA957" t="s">
        <v>18546</v>
      </c>
      <c r="AB957" t="s">
        <v>18547</v>
      </c>
      <c r="AC957" t="s">
        <v>74</v>
      </c>
      <c r="AD957" t="s">
        <v>74</v>
      </c>
      <c r="AE957" t="s">
        <v>74</v>
      </c>
      <c r="AF957" t="s">
        <v>74</v>
      </c>
      <c r="AG957">
        <v>53</v>
      </c>
      <c r="AH957">
        <v>0</v>
      </c>
      <c r="AI957">
        <v>0</v>
      </c>
      <c r="AJ957">
        <v>0</v>
      </c>
      <c r="AK957">
        <v>4</v>
      </c>
      <c r="AL957" t="s">
        <v>5485</v>
      </c>
      <c r="AM957" t="s">
        <v>401</v>
      </c>
      <c r="AN957" t="s">
        <v>5486</v>
      </c>
      <c r="AO957" t="s">
        <v>14466</v>
      </c>
      <c r="AP957" t="s">
        <v>14467</v>
      </c>
      <c r="AQ957" t="s">
        <v>74</v>
      </c>
      <c r="AR957" t="s">
        <v>14468</v>
      </c>
      <c r="AS957" t="s">
        <v>14469</v>
      </c>
      <c r="AT957" t="s">
        <v>5983</v>
      </c>
      <c r="AU957">
        <v>2022</v>
      </c>
      <c r="AV957">
        <v>268</v>
      </c>
      <c r="AW957" t="s">
        <v>74</v>
      </c>
      <c r="AX957" t="s">
        <v>74</v>
      </c>
      <c r="AY957" t="s">
        <v>74</v>
      </c>
      <c r="AZ957" t="s">
        <v>74</v>
      </c>
      <c r="BA957" t="s">
        <v>74</v>
      </c>
      <c r="BB957" t="s">
        <v>74</v>
      </c>
      <c r="BC957" t="s">
        <v>74</v>
      </c>
      <c r="BD957">
        <v>107785</v>
      </c>
      <c r="BE957" t="s">
        <v>18548</v>
      </c>
      <c r="BF957" t="str">
        <f>HYPERLINK("http://dx.doi.org/10.1016/j.ecss.2022.107785","http://dx.doi.org/10.1016/j.ecss.2022.107785")</f>
        <v>http://dx.doi.org/10.1016/j.ecss.2022.107785</v>
      </c>
      <c r="BG957" t="s">
        <v>74</v>
      </c>
      <c r="BH957" t="s">
        <v>18249</v>
      </c>
      <c r="BI957">
        <v>10</v>
      </c>
      <c r="BJ957" t="s">
        <v>641</v>
      </c>
      <c r="BK957" t="s">
        <v>101</v>
      </c>
      <c r="BL957" t="s">
        <v>641</v>
      </c>
      <c r="BM957" t="s">
        <v>18549</v>
      </c>
      <c r="BN957" t="s">
        <v>74</v>
      </c>
      <c r="BO957" t="s">
        <v>74</v>
      </c>
      <c r="BP957" t="s">
        <v>74</v>
      </c>
      <c r="BQ957" t="s">
        <v>74</v>
      </c>
      <c r="BR957" t="s">
        <v>103</v>
      </c>
      <c r="BS957" t="s">
        <v>18550</v>
      </c>
      <c r="BT957" t="str">
        <f>HYPERLINK("https%3A%2F%2Fwww.webofscience.com%2Fwos%2Fwoscc%2Ffull-record%2FWOS:000793274200007","View Full Record in Web of Science")</f>
        <v>View Full Record in Web of Science</v>
      </c>
    </row>
    <row r="958" spans="1:72" x14ac:dyDescent="0.15">
      <c r="A958" t="s">
        <v>72</v>
      </c>
      <c r="B958" t="s">
        <v>18551</v>
      </c>
      <c r="C958" t="s">
        <v>74</v>
      </c>
      <c r="D958" t="s">
        <v>74</v>
      </c>
      <c r="E958" t="s">
        <v>74</v>
      </c>
      <c r="F958" t="s">
        <v>18552</v>
      </c>
      <c r="G958" t="s">
        <v>74</v>
      </c>
      <c r="H958" t="s">
        <v>74</v>
      </c>
      <c r="I958" t="s">
        <v>18553</v>
      </c>
      <c r="J958" t="s">
        <v>15483</v>
      </c>
      <c r="K958" t="s">
        <v>74</v>
      </c>
      <c r="L958" t="s">
        <v>74</v>
      </c>
      <c r="M958" t="s">
        <v>78</v>
      </c>
      <c r="N958" t="s">
        <v>79</v>
      </c>
      <c r="O958" t="s">
        <v>74</v>
      </c>
      <c r="P958" t="s">
        <v>74</v>
      </c>
      <c r="Q958" t="s">
        <v>74</v>
      </c>
      <c r="R958" t="s">
        <v>74</v>
      </c>
      <c r="S958" t="s">
        <v>74</v>
      </c>
      <c r="T958" t="s">
        <v>18554</v>
      </c>
      <c r="U958" t="s">
        <v>18555</v>
      </c>
      <c r="V958" t="s">
        <v>18556</v>
      </c>
      <c r="W958" t="s">
        <v>18557</v>
      </c>
      <c r="X958" t="s">
        <v>14702</v>
      </c>
      <c r="Y958" t="s">
        <v>18558</v>
      </c>
      <c r="Z958" t="s">
        <v>18559</v>
      </c>
      <c r="AA958" t="s">
        <v>74</v>
      </c>
      <c r="AB958" t="s">
        <v>18560</v>
      </c>
      <c r="AC958" t="s">
        <v>18561</v>
      </c>
      <c r="AD958" t="s">
        <v>18562</v>
      </c>
      <c r="AE958" t="s">
        <v>18563</v>
      </c>
      <c r="AF958" t="s">
        <v>74</v>
      </c>
      <c r="AG958">
        <v>71</v>
      </c>
      <c r="AH958">
        <v>5</v>
      </c>
      <c r="AI958">
        <v>5</v>
      </c>
      <c r="AJ958">
        <v>2</v>
      </c>
      <c r="AK958">
        <v>11</v>
      </c>
      <c r="AL958" t="s">
        <v>199</v>
      </c>
      <c r="AM958" t="s">
        <v>200</v>
      </c>
      <c r="AN958" t="s">
        <v>201</v>
      </c>
      <c r="AO958" t="s">
        <v>15496</v>
      </c>
      <c r="AP958" t="s">
        <v>15497</v>
      </c>
      <c r="AQ958" t="s">
        <v>74</v>
      </c>
      <c r="AR958" t="s">
        <v>15498</v>
      </c>
      <c r="AS958" t="s">
        <v>15499</v>
      </c>
      <c r="AT958" t="s">
        <v>11776</v>
      </c>
      <c r="AU958">
        <v>2022</v>
      </c>
      <c r="AV958">
        <v>249</v>
      </c>
      <c r="AW958" t="s">
        <v>74</v>
      </c>
      <c r="AX958" t="s">
        <v>74</v>
      </c>
      <c r="AY958" t="s">
        <v>74</v>
      </c>
      <c r="AZ958" t="s">
        <v>74</v>
      </c>
      <c r="BA958" t="s">
        <v>74</v>
      </c>
      <c r="BB958" t="s">
        <v>74</v>
      </c>
      <c r="BC958" t="s">
        <v>74</v>
      </c>
      <c r="BD958">
        <v>110841</v>
      </c>
      <c r="BE958" t="s">
        <v>18564</v>
      </c>
      <c r="BF958" t="str">
        <f>HYPERLINK("http://dx.doi.org/10.1016/j.oceaneng.2022.110841","http://dx.doi.org/10.1016/j.oceaneng.2022.110841")</f>
        <v>http://dx.doi.org/10.1016/j.oceaneng.2022.110841</v>
      </c>
      <c r="BG958" t="s">
        <v>74</v>
      </c>
      <c r="BH958" t="s">
        <v>18249</v>
      </c>
      <c r="BI958">
        <v>17</v>
      </c>
      <c r="BJ958" t="s">
        <v>15501</v>
      </c>
      <c r="BK958" t="s">
        <v>956</v>
      </c>
      <c r="BL958" t="s">
        <v>2074</v>
      </c>
      <c r="BM958" t="s">
        <v>18565</v>
      </c>
      <c r="BN958" t="s">
        <v>74</v>
      </c>
      <c r="BO958" t="s">
        <v>74</v>
      </c>
      <c r="BP958" t="s">
        <v>74</v>
      </c>
      <c r="BQ958" t="s">
        <v>74</v>
      </c>
      <c r="BR958" t="s">
        <v>103</v>
      </c>
      <c r="BS958" t="s">
        <v>18566</v>
      </c>
      <c r="BT958" t="str">
        <f>HYPERLINK("https%3A%2F%2Fwww.webofscience.com%2Fwos%2Fwoscc%2Ffull-record%2FWOS:000778810900003","View Full Record in Web of Science")</f>
        <v>View Full Record in Web of Science</v>
      </c>
    </row>
    <row r="959" spans="1:72" x14ac:dyDescent="0.15">
      <c r="A959" t="s">
        <v>72</v>
      </c>
      <c r="B959" t="s">
        <v>18567</v>
      </c>
      <c r="C959" t="s">
        <v>74</v>
      </c>
      <c r="D959" t="s">
        <v>74</v>
      </c>
      <c r="E959" t="s">
        <v>74</v>
      </c>
      <c r="F959" t="s">
        <v>18568</v>
      </c>
      <c r="G959" t="s">
        <v>74</v>
      </c>
      <c r="H959" t="s">
        <v>74</v>
      </c>
      <c r="I959" t="s">
        <v>18569</v>
      </c>
      <c r="J959" t="s">
        <v>13862</v>
      </c>
      <c r="K959" t="s">
        <v>74</v>
      </c>
      <c r="L959" t="s">
        <v>74</v>
      </c>
      <c r="M959" t="s">
        <v>78</v>
      </c>
      <c r="N959" t="s">
        <v>79</v>
      </c>
      <c r="O959" t="s">
        <v>74</v>
      </c>
      <c r="P959" t="s">
        <v>74</v>
      </c>
      <c r="Q959" t="s">
        <v>74</v>
      </c>
      <c r="R959" t="s">
        <v>74</v>
      </c>
      <c r="S959" t="s">
        <v>74</v>
      </c>
      <c r="T959" t="s">
        <v>18570</v>
      </c>
      <c r="U959" t="s">
        <v>18571</v>
      </c>
      <c r="V959" t="s">
        <v>18572</v>
      </c>
      <c r="W959" t="s">
        <v>18573</v>
      </c>
      <c r="X959" t="s">
        <v>18574</v>
      </c>
      <c r="Y959" t="s">
        <v>18575</v>
      </c>
      <c r="Z959" t="s">
        <v>18576</v>
      </c>
      <c r="AA959" t="s">
        <v>18577</v>
      </c>
      <c r="AB959" t="s">
        <v>18578</v>
      </c>
      <c r="AC959" t="s">
        <v>18579</v>
      </c>
      <c r="AD959" t="s">
        <v>18580</v>
      </c>
      <c r="AE959" t="s">
        <v>18581</v>
      </c>
      <c r="AF959" t="s">
        <v>74</v>
      </c>
      <c r="AG959">
        <v>56</v>
      </c>
      <c r="AH959">
        <v>2</v>
      </c>
      <c r="AI959">
        <v>2</v>
      </c>
      <c r="AJ959">
        <v>1</v>
      </c>
      <c r="AK959">
        <v>7</v>
      </c>
      <c r="AL959" t="s">
        <v>257</v>
      </c>
      <c r="AM959" t="s">
        <v>258</v>
      </c>
      <c r="AN959" t="s">
        <v>259</v>
      </c>
      <c r="AO959" t="s">
        <v>13871</v>
      </c>
      <c r="AP959" t="s">
        <v>74</v>
      </c>
      <c r="AQ959" t="s">
        <v>74</v>
      </c>
      <c r="AR959" t="s">
        <v>13872</v>
      </c>
      <c r="AS959" t="s">
        <v>13873</v>
      </c>
      <c r="AT959" t="s">
        <v>6497</v>
      </c>
      <c r="AU959">
        <v>2022</v>
      </c>
      <c r="AV959">
        <v>28</v>
      </c>
      <c r="AW959" t="s">
        <v>74</v>
      </c>
      <c r="AX959" t="s">
        <v>74</v>
      </c>
      <c r="AY959" t="s">
        <v>74</v>
      </c>
      <c r="AZ959" t="s">
        <v>74</v>
      </c>
      <c r="BA959" t="s">
        <v>74</v>
      </c>
      <c r="BB959" t="s">
        <v>74</v>
      </c>
      <c r="BC959" t="s">
        <v>74</v>
      </c>
      <c r="BD959" t="s">
        <v>18582</v>
      </c>
      <c r="BE959" t="s">
        <v>18583</v>
      </c>
      <c r="BF959" t="str">
        <f>HYPERLINK("http://dx.doi.org/10.1016/j.geodrs.2022.e00490","http://dx.doi.org/10.1016/j.geodrs.2022.e00490")</f>
        <v>http://dx.doi.org/10.1016/j.geodrs.2022.e00490</v>
      </c>
      <c r="BG959" t="s">
        <v>74</v>
      </c>
      <c r="BH959" t="s">
        <v>18249</v>
      </c>
      <c r="BI959">
        <v>12</v>
      </c>
      <c r="BJ959" t="s">
        <v>12172</v>
      </c>
      <c r="BK959" t="s">
        <v>101</v>
      </c>
      <c r="BL959" t="s">
        <v>12173</v>
      </c>
      <c r="BM959" t="s">
        <v>18584</v>
      </c>
      <c r="BN959" t="s">
        <v>74</v>
      </c>
      <c r="BO959" t="s">
        <v>74</v>
      </c>
      <c r="BP959" t="s">
        <v>74</v>
      </c>
      <c r="BQ959" t="s">
        <v>74</v>
      </c>
      <c r="BR959" t="s">
        <v>103</v>
      </c>
      <c r="BS959" t="s">
        <v>18585</v>
      </c>
      <c r="BT959" t="str">
        <f>HYPERLINK("https%3A%2F%2Fwww.webofscience.com%2Fwos%2Fwoscc%2Ffull-record%2FWOS:000770897800002","View Full Record in Web of Science")</f>
        <v>View Full Record in Web of Science</v>
      </c>
    </row>
    <row r="960" spans="1:72" x14ac:dyDescent="0.15">
      <c r="A960" t="s">
        <v>72</v>
      </c>
      <c r="B960" t="s">
        <v>18586</v>
      </c>
      <c r="C960" t="s">
        <v>74</v>
      </c>
      <c r="D960" t="s">
        <v>74</v>
      </c>
      <c r="E960" t="s">
        <v>74</v>
      </c>
      <c r="F960" t="s">
        <v>18587</v>
      </c>
      <c r="G960" t="s">
        <v>74</v>
      </c>
      <c r="H960" t="s">
        <v>74</v>
      </c>
      <c r="I960" t="s">
        <v>18588</v>
      </c>
      <c r="J960" t="s">
        <v>517</v>
      </c>
      <c r="K960" t="s">
        <v>74</v>
      </c>
      <c r="L960" t="s">
        <v>74</v>
      </c>
      <c r="M960" t="s">
        <v>78</v>
      </c>
      <c r="N960" t="s">
        <v>79</v>
      </c>
      <c r="O960" t="s">
        <v>74</v>
      </c>
      <c r="P960" t="s">
        <v>74</v>
      </c>
      <c r="Q960" t="s">
        <v>74</v>
      </c>
      <c r="R960" t="s">
        <v>74</v>
      </c>
      <c r="S960" t="s">
        <v>74</v>
      </c>
      <c r="T960" t="s">
        <v>18589</v>
      </c>
      <c r="U960" t="s">
        <v>18590</v>
      </c>
      <c r="V960" t="s">
        <v>18591</v>
      </c>
      <c r="W960" t="s">
        <v>18592</v>
      </c>
      <c r="X960" t="s">
        <v>18593</v>
      </c>
      <c r="Y960" t="s">
        <v>18594</v>
      </c>
      <c r="Z960" t="s">
        <v>18595</v>
      </c>
      <c r="AA960" t="s">
        <v>18596</v>
      </c>
      <c r="AB960" t="s">
        <v>18597</v>
      </c>
      <c r="AC960" t="s">
        <v>18598</v>
      </c>
      <c r="AD960" t="s">
        <v>18599</v>
      </c>
      <c r="AE960" t="s">
        <v>18600</v>
      </c>
      <c r="AF960" t="s">
        <v>74</v>
      </c>
      <c r="AG960">
        <v>67</v>
      </c>
      <c r="AH960">
        <v>2</v>
      </c>
      <c r="AI960">
        <v>2</v>
      </c>
      <c r="AJ960">
        <v>2</v>
      </c>
      <c r="AK960">
        <v>13</v>
      </c>
      <c r="AL960" t="s">
        <v>530</v>
      </c>
      <c r="AM960" t="s">
        <v>531</v>
      </c>
      <c r="AN960" t="s">
        <v>532</v>
      </c>
      <c r="AO960" t="s">
        <v>533</v>
      </c>
      <c r="AP960" t="s">
        <v>534</v>
      </c>
      <c r="AQ960" t="s">
        <v>74</v>
      </c>
      <c r="AR960" t="s">
        <v>535</v>
      </c>
      <c r="AS960" t="s">
        <v>536</v>
      </c>
      <c r="AT960" t="s">
        <v>8316</v>
      </c>
      <c r="AU960">
        <v>2022</v>
      </c>
      <c r="AV960">
        <v>45</v>
      </c>
      <c r="AW960">
        <v>4</v>
      </c>
      <c r="AX960" t="s">
        <v>74</v>
      </c>
      <c r="AY960" t="s">
        <v>74</v>
      </c>
      <c r="AZ960" t="s">
        <v>74</v>
      </c>
      <c r="BA960" t="s">
        <v>74</v>
      </c>
      <c r="BB960">
        <v>703</v>
      </c>
      <c r="BC960">
        <v>718</v>
      </c>
      <c r="BD960" t="s">
        <v>74</v>
      </c>
      <c r="BE960" t="s">
        <v>18601</v>
      </c>
      <c r="BF960" t="str">
        <f>HYPERLINK("http://dx.doi.org/10.1007/s00300-022-03023-6","http://dx.doi.org/10.1007/s00300-022-03023-6")</f>
        <v>http://dx.doi.org/10.1007/s00300-022-03023-6</v>
      </c>
      <c r="BG960" t="s">
        <v>74</v>
      </c>
      <c r="BH960" t="s">
        <v>18249</v>
      </c>
      <c r="BI960">
        <v>16</v>
      </c>
      <c r="BJ960" t="s">
        <v>539</v>
      </c>
      <c r="BK960" t="s">
        <v>101</v>
      </c>
      <c r="BL960" t="s">
        <v>540</v>
      </c>
      <c r="BM960" t="s">
        <v>15680</v>
      </c>
      <c r="BN960" t="s">
        <v>74</v>
      </c>
      <c r="BO960" t="s">
        <v>590</v>
      </c>
      <c r="BP960" t="s">
        <v>74</v>
      </c>
      <c r="BQ960" t="s">
        <v>74</v>
      </c>
      <c r="BR960" t="s">
        <v>103</v>
      </c>
      <c r="BS960" t="s">
        <v>18602</v>
      </c>
      <c r="BT960" t="str">
        <f>HYPERLINK("https%3A%2F%2Fwww.webofscience.com%2Fwos%2Fwoscc%2Ffull-record%2FWOS:000761310000001","View Full Record in Web of Science")</f>
        <v>View Full Record in Web of Science</v>
      </c>
    </row>
    <row r="961" spans="1:72" x14ac:dyDescent="0.15">
      <c r="A961" t="s">
        <v>72</v>
      </c>
      <c r="B961" t="s">
        <v>18603</v>
      </c>
      <c r="C961" t="s">
        <v>74</v>
      </c>
      <c r="D961" t="s">
        <v>74</v>
      </c>
      <c r="E961" t="s">
        <v>74</v>
      </c>
      <c r="F961" t="s">
        <v>18604</v>
      </c>
      <c r="G961" t="s">
        <v>74</v>
      </c>
      <c r="H961" t="s">
        <v>74</v>
      </c>
      <c r="I961" t="s">
        <v>18605</v>
      </c>
      <c r="J961" t="s">
        <v>5803</v>
      </c>
      <c r="K961" t="s">
        <v>74</v>
      </c>
      <c r="L961" t="s">
        <v>74</v>
      </c>
      <c r="M961" t="s">
        <v>78</v>
      </c>
      <c r="N961" t="s">
        <v>1385</v>
      </c>
      <c r="O961" t="s">
        <v>74</v>
      </c>
      <c r="P961" t="s">
        <v>74</v>
      </c>
      <c r="Q961" t="s">
        <v>74</v>
      </c>
      <c r="R961" t="s">
        <v>74</v>
      </c>
      <c r="S961" t="s">
        <v>74</v>
      </c>
      <c r="T961" t="s">
        <v>74</v>
      </c>
      <c r="U961" t="s">
        <v>74</v>
      </c>
      <c r="V961" t="s">
        <v>74</v>
      </c>
      <c r="W961" t="s">
        <v>74</v>
      </c>
      <c r="X961" t="s">
        <v>74</v>
      </c>
      <c r="Y961" t="s">
        <v>74</v>
      </c>
      <c r="Z961" t="s">
        <v>74</v>
      </c>
      <c r="AA961" t="s">
        <v>74</v>
      </c>
      <c r="AB961" t="s">
        <v>74</v>
      </c>
      <c r="AC961" t="s">
        <v>74</v>
      </c>
      <c r="AD961" t="s">
        <v>74</v>
      </c>
      <c r="AE961" t="s">
        <v>74</v>
      </c>
      <c r="AF961" t="s">
        <v>74</v>
      </c>
      <c r="AG961">
        <v>0</v>
      </c>
      <c r="AH961">
        <v>0</v>
      </c>
      <c r="AI961">
        <v>0</v>
      </c>
      <c r="AJ961">
        <v>0</v>
      </c>
      <c r="AK961">
        <v>0</v>
      </c>
      <c r="AL961" t="s">
        <v>5815</v>
      </c>
      <c r="AM961" t="s">
        <v>2043</v>
      </c>
      <c r="AN961" t="s">
        <v>5816</v>
      </c>
      <c r="AO961" t="s">
        <v>5817</v>
      </c>
      <c r="AP961" t="s">
        <v>5818</v>
      </c>
      <c r="AQ961" t="s">
        <v>74</v>
      </c>
      <c r="AR961" t="s">
        <v>5803</v>
      </c>
      <c r="AS961" t="s">
        <v>5819</v>
      </c>
      <c r="AT961" t="s">
        <v>18606</v>
      </c>
      <c r="AU961">
        <v>2022</v>
      </c>
      <c r="AV961">
        <v>375</v>
      </c>
      <c r="AW961">
        <v>6583</v>
      </c>
      <c r="AX961" t="s">
        <v>74</v>
      </c>
      <c r="AY961" t="s">
        <v>74</v>
      </c>
      <c r="AZ961" t="s">
        <v>74</v>
      </c>
      <c r="BA961" t="s">
        <v>74</v>
      </c>
      <c r="BB961">
        <v>800</v>
      </c>
      <c r="BC961">
        <v>800</v>
      </c>
      <c r="BD961" t="s">
        <v>74</v>
      </c>
      <c r="BE961" t="s">
        <v>74</v>
      </c>
      <c r="BF961" t="s">
        <v>74</v>
      </c>
      <c r="BG961" t="s">
        <v>74</v>
      </c>
      <c r="BH961" t="s">
        <v>74</v>
      </c>
      <c r="BI961">
        <v>1</v>
      </c>
      <c r="BJ961" t="s">
        <v>657</v>
      </c>
      <c r="BK961" t="s">
        <v>101</v>
      </c>
      <c r="BL961" t="s">
        <v>658</v>
      </c>
      <c r="BM961" t="s">
        <v>18607</v>
      </c>
      <c r="BN961" t="s">
        <v>74</v>
      </c>
      <c r="BO961" t="s">
        <v>74</v>
      </c>
      <c r="BP961" t="s">
        <v>74</v>
      </c>
      <c r="BQ961" t="s">
        <v>74</v>
      </c>
      <c r="BR961" t="s">
        <v>103</v>
      </c>
      <c r="BS961" t="s">
        <v>18608</v>
      </c>
      <c r="BT961" t="str">
        <f>HYPERLINK("https%3A%2F%2Fwww.webofscience.com%2Fwos%2Fwoscc%2Ffull-record%2FWOS:000764232800011","View Full Record in Web of Science")</f>
        <v>View Full Record in Web of Science</v>
      </c>
    </row>
    <row r="962" spans="1:72" x14ac:dyDescent="0.15">
      <c r="A962" t="s">
        <v>72</v>
      </c>
      <c r="B962" t="s">
        <v>18609</v>
      </c>
      <c r="C962" t="s">
        <v>74</v>
      </c>
      <c r="D962" t="s">
        <v>74</v>
      </c>
      <c r="E962" t="s">
        <v>74</v>
      </c>
      <c r="F962" t="s">
        <v>18610</v>
      </c>
      <c r="G962" t="s">
        <v>74</v>
      </c>
      <c r="H962" t="s">
        <v>74</v>
      </c>
      <c r="I962" t="s">
        <v>18611</v>
      </c>
      <c r="J962" t="s">
        <v>546</v>
      </c>
      <c r="K962" t="s">
        <v>74</v>
      </c>
      <c r="L962" t="s">
        <v>74</v>
      </c>
      <c r="M962" t="s">
        <v>78</v>
      </c>
      <c r="N962" t="s">
        <v>79</v>
      </c>
      <c r="O962" t="s">
        <v>74</v>
      </c>
      <c r="P962" t="s">
        <v>74</v>
      </c>
      <c r="Q962" t="s">
        <v>74</v>
      </c>
      <c r="R962" t="s">
        <v>74</v>
      </c>
      <c r="S962" t="s">
        <v>74</v>
      </c>
      <c r="T962" t="s">
        <v>18612</v>
      </c>
      <c r="U962" t="s">
        <v>18613</v>
      </c>
      <c r="V962" t="s">
        <v>18614</v>
      </c>
      <c r="W962" t="s">
        <v>18615</v>
      </c>
      <c r="X962" t="s">
        <v>18616</v>
      </c>
      <c r="Y962" t="s">
        <v>18617</v>
      </c>
      <c r="Z962" t="s">
        <v>18618</v>
      </c>
      <c r="AA962" t="s">
        <v>18619</v>
      </c>
      <c r="AB962" t="s">
        <v>18620</v>
      </c>
      <c r="AC962" t="s">
        <v>74</v>
      </c>
      <c r="AD962" t="s">
        <v>74</v>
      </c>
      <c r="AE962" t="s">
        <v>74</v>
      </c>
      <c r="AF962" t="s">
        <v>74</v>
      </c>
      <c r="AG962">
        <v>50</v>
      </c>
      <c r="AH962">
        <v>11</v>
      </c>
      <c r="AI962">
        <v>12</v>
      </c>
      <c r="AJ962">
        <v>2</v>
      </c>
      <c r="AK962">
        <v>14</v>
      </c>
      <c r="AL962" t="s">
        <v>285</v>
      </c>
      <c r="AM962" t="s">
        <v>286</v>
      </c>
      <c r="AN962" t="s">
        <v>287</v>
      </c>
      <c r="AO962" t="s">
        <v>74</v>
      </c>
      <c r="AP962" t="s">
        <v>558</v>
      </c>
      <c r="AQ962" t="s">
        <v>74</v>
      </c>
      <c r="AR962" t="s">
        <v>559</v>
      </c>
      <c r="AS962" t="s">
        <v>560</v>
      </c>
      <c r="AT962" t="s">
        <v>18606</v>
      </c>
      <c r="AU962">
        <v>2022</v>
      </c>
      <c r="AV962">
        <v>9</v>
      </c>
      <c r="AW962" t="s">
        <v>74</v>
      </c>
      <c r="AX962" t="s">
        <v>74</v>
      </c>
      <c r="AY962" t="s">
        <v>74</v>
      </c>
      <c r="AZ962" t="s">
        <v>74</v>
      </c>
      <c r="BA962" t="s">
        <v>74</v>
      </c>
      <c r="BB962" t="s">
        <v>74</v>
      </c>
      <c r="BC962" t="s">
        <v>74</v>
      </c>
      <c r="BD962">
        <v>733315</v>
      </c>
      <c r="BE962" t="s">
        <v>18621</v>
      </c>
      <c r="BF962" t="str">
        <f>HYPERLINK("http://dx.doi.org/10.3389/fmars.2022.733315","http://dx.doi.org/10.3389/fmars.2022.733315")</f>
        <v>http://dx.doi.org/10.3389/fmars.2022.733315</v>
      </c>
      <c r="BG962" t="s">
        <v>74</v>
      </c>
      <c r="BH962" t="s">
        <v>74</v>
      </c>
      <c r="BI962">
        <v>11</v>
      </c>
      <c r="BJ962" t="s">
        <v>563</v>
      </c>
      <c r="BK962" t="s">
        <v>101</v>
      </c>
      <c r="BL962" t="s">
        <v>564</v>
      </c>
      <c r="BM962" t="s">
        <v>18622</v>
      </c>
      <c r="BN962" t="s">
        <v>74</v>
      </c>
      <c r="BO962" t="s">
        <v>295</v>
      </c>
      <c r="BP962" t="s">
        <v>74</v>
      </c>
      <c r="BQ962" t="s">
        <v>74</v>
      </c>
      <c r="BR962" t="s">
        <v>103</v>
      </c>
      <c r="BS962" t="s">
        <v>18623</v>
      </c>
      <c r="BT962" t="str">
        <f>HYPERLINK("https%3A%2F%2Fwww.webofscience.com%2Fwos%2Fwoscc%2Ffull-record%2FWOS:000767567600001","View Full Record in Web of Science")</f>
        <v>View Full Record in Web of Science</v>
      </c>
    </row>
    <row r="963" spans="1:72" x14ac:dyDescent="0.15">
      <c r="A963" t="s">
        <v>72</v>
      </c>
      <c r="B963" t="s">
        <v>18624</v>
      </c>
      <c r="C963" t="s">
        <v>74</v>
      </c>
      <c r="D963" t="s">
        <v>74</v>
      </c>
      <c r="E963" t="s">
        <v>74</v>
      </c>
      <c r="F963" t="s">
        <v>18625</v>
      </c>
      <c r="G963" t="s">
        <v>74</v>
      </c>
      <c r="H963" t="s">
        <v>74</v>
      </c>
      <c r="I963" t="s">
        <v>18626</v>
      </c>
      <c r="J963" t="s">
        <v>272</v>
      </c>
      <c r="K963" t="s">
        <v>74</v>
      </c>
      <c r="L963" t="s">
        <v>74</v>
      </c>
      <c r="M963" t="s">
        <v>78</v>
      </c>
      <c r="N963" t="s">
        <v>79</v>
      </c>
      <c r="O963" t="s">
        <v>74</v>
      </c>
      <c r="P963" t="s">
        <v>74</v>
      </c>
      <c r="Q963" t="s">
        <v>74</v>
      </c>
      <c r="R963" t="s">
        <v>74</v>
      </c>
      <c r="S963" t="s">
        <v>74</v>
      </c>
      <c r="T963" t="s">
        <v>18627</v>
      </c>
      <c r="U963" t="s">
        <v>18628</v>
      </c>
      <c r="V963" t="s">
        <v>18629</v>
      </c>
      <c r="W963" t="s">
        <v>18630</v>
      </c>
      <c r="X963" t="s">
        <v>18631</v>
      </c>
      <c r="Y963" t="s">
        <v>18632</v>
      </c>
      <c r="Z963" t="s">
        <v>18633</v>
      </c>
      <c r="AA963" t="s">
        <v>18634</v>
      </c>
      <c r="AB963" t="s">
        <v>18635</v>
      </c>
      <c r="AC963" t="s">
        <v>18636</v>
      </c>
      <c r="AD963" t="s">
        <v>1980</v>
      </c>
      <c r="AE963" t="s">
        <v>18637</v>
      </c>
      <c r="AF963" t="s">
        <v>74</v>
      </c>
      <c r="AG963">
        <v>51</v>
      </c>
      <c r="AH963">
        <v>0</v>
      </c>
      <c r="AI963">
        <v>1</v>
      </c>
      <c r="AJ963">
        <v>0</v>
      </c>
      <c r="AK963">
        <v>12</v>
      </c>
      <c r="AL963" t="s">
        <v>285</v>
      </c>
      <c r="AM963" t="s">
        <v>286</v>
      </c>
      <c r="AN963" t="s">
        <v>287</v>
      </c>
      <c r="AO963" t="s">
        <v>74</v>
      </c>
      <c r="AP963" t="s">
        <v>288</v>
      </c>
      <c r="AQ963" t="s">
        <v>74</v>
      </c>
      <c r="AR963" t="s">
        <v>289</v>
      </c>
      <c r="AS963" t="s">
        <v>290</v>
      </c>
      <c r="AT963" t="s">
        <v>18606</v>
      </c>
      <c r="AU963">
        <v>2022</v>
      </c>
      <c r="AV963">
        <v>13</v>
      </c>
      <c r="AW963" t="s">
        <v>74</v>
      </c>
      <c r="AX963" t="s">
        <v>74</v>
      </c>
      <c r="AY963" t="s">
        <v>74</v>
      </c>
      <c r="AZ963" t="s">
        <v>74</v>
      </c>
      <c r="BA963" t="s">
        <v>74</v>
      </c>
      <c r="BB963" t="s">
        <v>74</v>
      </c>
      <c r="BC963" t="s">
        <v>74</v>
      </c>
      <c r="BD963">
        <v>820714</v>
      </c>
      <c r="BE963" t="s">
        <v>18638</v>
      </c>
      <c r="BF963" t="str">
        <f>HYPERLINK("http://dx.doi.org/10.3389/fmicb.2022.820714","http://dx.doi.org/10.3389/fmicb.2022.820714")</f>
        <v>http://dx.doi.org/10.3389/fmicb.2022.820714</v>
      </c>
      <c r="BG963" t="s">
        <v>74</v>
      </c>
      <c r="BH963" t="s">
        <v>74</v>
      </c>
      <c r="BI963">
        <v>12</v>
      </c>
      <c r="BJ963" t="s">
        <v>293</v>
      </c>
      <c r="BK963" t="s">
        <v>101</v>
      </c>
      <c r="BL963" t="s">
        <v>293</v>
      </c>
      <c r="BM963" t="s">
        <v>18639</v>
      </c>
      <c r="BN963">
        <v>35283851</v>
      </c>
      <c r="BO963" t="s">
        <v>1533</v>
      </c>
      <c r="BP963" t="s">
        <v>74</v>
      </c>
      <c r="BQ963" t="s">
        <v>74</v>
      </c>
      <c r="BR963" t="s">
        <v>103</v>
      </c>
      <c r="BS963" t="s">
        <v>18640</v>
      </c>
      <c r="BT963" t="str">
        <f>HYPERLINK("https%3A%2F%2Fwww.webofscience.com%2Fwos%2Fwoscc%2Ffull-record%2FWOS:000767761600001","View Full Record in Web of Science")</f>
        <v>View Full Record in Web of Science</v>
      </c>
    </row>
    <row r="964" spans="1:72" x14ac:dyDescent="0.15">
      <c r="A964" t="s">
        <v>72</v>
      </c>
      <c r="B964" t="s">
        <v>18641</v>
      </c>
      <c r="C964" t="s">
        <v>74</v>
      </c>
      <c r="D964" t="s">
        <v>74</v>
      </c>
      <c r="E964" t="s">
        <v>74</v>
      </c>
      <c r="F964" t="s">
        <v>18642</v>
      </c>
      <c r="G964" t="s">
        <v>74</v>
      </c>
      <c r="H964" t="s">
        <v>18643</v>
      </c>
      <c r="I964" t="s">
        <v>18644</v>
      </c>
      <c r="J964" t="s">
        <v>18645</v>
      </c>
      <c r="K964" t="s">
        <v>74</v>
      </c>
      <c r="L964" t="s">
        <v>74</v>
      </c>
      <c r="M964" t="s">
        <v>78</v>
      </c>
      <c r="N964" t="s">
        <v>79</v>
      </c>
      <c r="O964" t="s">
        <v>74</v>
      </c>
      <c r="P964" t="s">
        <v>74</v>
      </c>
      <c r="Q964" t="s">
        <v>74</v>
      </c>
      <c r="R964" t="s">
        <v>74</v>
      </c>
      <c r="S964" t="s">
        <v>74</v>
      </c>
      <c r="T964" t="s">
        <v>74</v>
      </c>
      <c r="U964" t="s">
        <v>18646</v>
      </c>
      <c r="V964" t="s">
        <v>18647</v>
      </c>
      <c r="W964" t="s">
        <v>18648</v>
      </c>
      <c r="X964" t="s">
        <v>18649</v>
      </c>
      <c r="Y964" t="s">
        <v>18650</v>
      </c>
      <c r="Z964" t="s">
        <v>18651</v>
      </c>
      <c r="AA964" t="s">
        <v>18652</v>
      </c>
      <c r="AB964" t="s">
        <v>18653</v>
      </c>
      <c r="AC964" t="s">
        <v>18654</v>
      </c>
      <c r="AD964" t="s">
        <v>18655</v>
      </c>
      <c r="AE964" t="s">
        <v>18656</v>
      </c>
      <c r="AF964" t="s">
        <v>74</v>
      </c>
      <c r="AG964">
        <v>69</v>
      </c>
      <c r="AH964">
        <v>3</v>
      </c>
      <c r="AI964">
        <v>4</v>
      </c>
      <c r="AJ964">
        <v>1</v>
      </c>
      <c r="AK964">
        <v>8</v>
      </c>
      <c r="AL964" t="s">
        <v>117</v>
      </c>
      <c r="AM964" t="s">
        <v>118</v>
      </c>
      <c r="AN964" t="s">
        <v>119</v>
      </c>
      <c r="AO964" t="s">
        <v>18657</v>
      </c>
      <c r="AP964" t="s">
        <v>18658</v>
      </c>
      <c r="AQ964" t="s">
        <v>74</v>
      </c>
      <c r="AR964" t="s">
        <v>18659</v>
      </c>
      <c r="AS964" t="s">
        <v>18660</v>
      </c>
      <c r="AT964" t="s">
        <v>18606</v>
      </c>
      <c r="AU964">
        <v>2022</v>
      </c>
      <c r="AV964">
        <v>30</v>
      </c>
      <c r="AW964" t="s">
        <v>74</v>
      </c>
      <c r="AX964" t="s">
        <v>74</v>
      </c>
      <c r="AY964" t="s">
        <v>74</v>
      </c>
      <c r="AZ964" t="s">
        <v>74</v>
      </c>
      <c r="BA964" t="s">
        <v>74</v>
      </c>
      <c r="BB964">
        <v>101</v>
      </c>
      <c r="BC964">
        <v>112</v>
      </c>
      <c r="BD964" t="s">
        <v>74</v>
      </c>
      <c r="BE964" t="s">
        <v>18661</v>
      </c>
      <c r="BF964" t="str">
        <f>HYPERLINK("http://dx.doi.org/10.5194/sd-30-101-2022","http://dx.doi.org/10.5194/sd-30-101-2022")</f>
        <v>http://dx.doi.org/10.5194/sd-30-101-2022</v>
      </c>
      <c r="BG964" t="s">
        <v>74</v>
      </c>
      <c r="BH964" t="s">
        <v>74</v>
      </c>
      <c r="BI964">
        <v>12</v>
      </c>
      <c r="BJ964" t="s">
        <v>265</v>
      </c>
      <c r="BK964" t="s">
        <v>839</v>
      </c>
      <c r="BL964" t="s">
        <v>100</v>
      </c>
      <c r="BM964" t="s">
        <v>18662</v>
      </c>
      <c r="BN964" t="s">
        <v>74</v>
      </c>
      <c r="BO964" t="s">
        <v>18663</v>
      </c>
      <c r="BP964" t="s">
        <v>74</v>
      </c>
      <c r="BQ964" t="s">
        <v>74</v>
      </c>
      <c r="BR964" t="s">
        <v>103</v>
      </c>
      <c r="BS964" t="s">
        <v>18664</v>
      </c>
      <c r="BT964" t="str">
        <f>HYPERLINK("https%3A%2F%2Fwww.webofscience.com%2Fwos%2Fwoscc%2Ffull-record%2FWOS:000763332900001","View Full Record in Web of Science")</f>
        <v>View Full Record in Web of Science</v>
      </c>
    </row>
    <row r="965" spans="1:72" x14ac:dyDescent="0.15">
      <c r="A965" t="s">
        <v>72</v>
      </c>
      <c r="B965" t="s">
        <v>18665</v>
      </c>
      <c r="C965" t="s">
        <v>74</v>
      </c>
      <c r="D965" t="s">
        <v>74</v>
      </c>
      <c r="E965" t="s">
        <v>74</v>
      </c>
      <c r="F965" t="s">
        <v>18666</v>
      </c>
      <c r="G965" t="s">
        <v>74</v>
      </c>
      <c r="H965" t="s">
        <v>74</v>
      </c>
      <c r="I965" t="s">
        <v>18667</v>
      </c>
      <c r="J965" t="s">
        <v>108</v>
      </c>
      <c r="K965" t="s">
        <v>74</v>
      </c>
      <c r="L965" t="s">
        <v>74</v>
      </c>
      <c r="M965" t="s">
        <v>78</v>
      </c>
      <c r="N965" t="s">
        <v>79</v>
      </c>
      <c r="O965" t="s">
        <v>74</v>
      </c>
      <c r="P965" t="s">
        <v>74</v>
      </c>
      <c r="Q965" t="s">
        <v>74</v>
      </c>
      <c r="R965" t="s">
        <v>74</v>
      </c>
      <c r="S965" t="s">
        <v>74</v>
      </c>
      <c r="T965" t="s">
        <v>74</v>
      </c>
      <c r="U965" t="s">
        <v>18668</v>
      </c>
      <c r="V965" t="s">
        <v>18669</v>
      </c>
      <c r="W965" t="s">
        <v>18670</v>
      </c>
      <c r="X965" t="s">
        <v>18671</v>
      </c>
      <c r="Y965" t="s">
        <v>18672</v>
      </c>
      <c r="Z965" t="s">
        <v>18673</v>
      </c>
      <c r="AA965" t="s">
        <v>18674</v>
      </c>
      <c r="AB965" t="s">
        <v>18675</v>
      </c>
      <c r="AC965" t="s">
        <v>18676</v>
      </c>
      <c r="AD965" t="s">
        <v>18677</v>
      </c>
      <c r="AE965" t="s">
        <v>18678</v>
      </c>
      <c r="AF965" t="s">
        <v>74</v>
      </c>
      <c r="AG965">
        <v>23</v>
      </c>
      <c r="AH965">
        <v>10</v>
      </c>
      <c r="AI965">
        <v>10</v>
      </c>
      <c r="AJ965">
        <v>1</v>
      </c>
      <c r="AK965">
        <v>6</v>
      </c>
      <c r="AL965" t="s">
        <v>117</v>
      </c>
      <c r="AM965" t="s">
        <v>118</v>
      </c>
      <c r="AN965" t="s">
        <v>119</v>
      </c>
      <c r="AO965" t="s">
        <v>120</v>
      </c>
      <c r="AP965" t="s">
        <v>121</v>
      </c>
      <c r="AQ965" t="s">
        <v>74</v>
      </c>
      <c r="AR965" t="s">
        <v>108</v>
      </c>
      <c r="AS965" t="s">
        <v>122</v>
      </c>
      <c r="AT965" t="s">
        <v>18606</v>
      </c>
      <c r="AU965">
        <v>2022</v>
      </c>
      <c r="AV965">
        <v>16</v>
      </c>
      <c r="AW965">
        <v>2</v>
      </c>
      <c r="AX965" t="s">
        <v>74</v>
      </c>
      <c r="AY965" t="s">
        <v>74</v>
      </c>
      <c r="AZ965" t="s">
        <v>74</v>
      </c>
      <c r="BA965" t="s">
        <v>74</v>
      </c>
      <c r="BB965">
        <v>711</v>
      </c>
      <c r="BC965">
        <v>718</v>
      </c>
      <c r="BD965" t="s">
        <v>74</v>
      </c>
      <c r="BE965" t="s">
        <v>18679</v>
      </c>
      <c r="BF965" t="str">
        <f>HYPERLINK("http://dx.doi.org/10.5194/tc-16-711-2022","http://dx.doi.org/10.5194/tc-16-711-2022")</f>
        <v>http://dx.doi.org/10.5194/tc-16-711-2022</v>
      </c>
      <c r="BG965" t="s">
        <v>74</v>
      </c>
      <c r="BH965" t="s">
        <v>74</v>
      </c>
      <c r="BI965">
        <v>8</v>
      </c>
      <c r="BJ965" t="s">
        <v>125</v>
      </c>
      <c r="BK965" t="s">
        <v>101</v>
      </c>
      <c r="BL965" t="s">
        <v>126</v>
      </c>
      <c r="BM965" t="s">
        <v>18680</v>
      </c>
      <c r="BN965" t="s">
        <v>74</v>
      </c>
      <c r="BO965" t="s">
        <v>2841</v>
      </c>
      <c r="BP965" t="s">
        <v>74</v>
      </c>
      <c r="BQ965" t="s">
        <v>74</v>
      </c>
      <c r="BR965" t="s">
        <v>103</v>
      </c>
      <c r="BS965" t="s">
        <v>18681</v>
      </c>
      <c r="BT965" t="str">
        <f>HYPERLINK("https%3A%2F%2Fwww.webofscience.com%2Fwos%2Fwoscc%2Ffull-record%2FWOS:000763315800001","View Full Record in Web of Science")</f>
        <v>View Full Record in Web of Science</v>
      </c>
    </row>
    <row r="966" spans="1:72" x14ac:dyDescent="0.15">
      <c r="A966" t="s">
        <v>72</v>
      </c>
      <c r="B966" t="s">
        <v>18682</v>
      </c>
      <c r="C966" t="s">
        <v>74</v>
      </c>
      <c r="D966" t="s">
        <v>74</v>
      </c>
      <c r="E966" t="s">
        <v>74</v>
      </c>
      <c r="F966" t="s">
        <v>18683</v>
      </c>
      <c r="G966" t="s">
        <v>74</v>
      </c>
      <c r="H966" t="s">
        <v>74</v>
      </c>
      <c r="I966" t="s">
        <v>18684</v>
      </c>
      <c r="J966" t="s">
        <v>1110</v>
      </c>
      <c r="K966" t="s">
        <v>74</v>
      </c>
      <c r="L966" t="s">
        <v>74</v>
      </c>
      <c r="M966" t="s">
        <v>78</v>
      </c>
      <c r="N966" t="s">
        <v>79</v>
      </c>
      <c r="O966" t="s">
        <v>74</v>
      </c>
      <c r="P966" t="s">
        <v>74</v>
      </c>
      <c r="Q966" t="s">
        <v>74</v>
      </c>
      <c r="R966" t="s">
        <v>74</v>
      </c>
      <c r="S966" t="s">
        <v>74</v>
      </c>
      <c r="T966" t="s">
        <v>18685</v>
      </c>
      <c r="U966" t="s">
        <v>18686</v>
      </c>
      <c r="V966" t="s">
        <v>18687</v>
      </c>
      <c r="W966" t="s">
        <v>18688</v>
      </c>
      <c r="X966" t="s">
        <v>18689</v>
      </c>
      <c r="Y966" t="s">
        <v>18690</v>
      </c>
      <c r="Z966" t="s">
        <v>18691</v>
      </c>
      <c r="AA966" t="s">
        <v>18692</v>
      </c>
      <c r="AB966" t="s">
        <v>18693</v>
      </c>
      <c r="AC966" t="s">
        <v>18694</v>
      </c>
      <c r="AD966" t="s">
        <v>18695</v>
      </c>
      <c r="AE966" t="s">
        <v>18696</v>
      </c>
      <c r="AF966" t="s">
        <v>74</v>
      </c>
      <c r="AG966">
        <v>62</v>
      </c>
      <c r="AH966">
        <v>0</v>
      </c>
      <c r="AI966">
        <v>0</v>
      </c>
      <c r="AJ966">
        <v>2</v>
      </c>
      <c r="AK966">
        <v>23</v>
      </c>
      <c r="AL966" t="s">
        <v>530</v>
      </c>
      <c r="AM966" t="s">
        <v>1121</v>
      </c>
      <c r="AN966" t="s">
        <v>1122</v>
      </c>
      <c r="AO966" t="s">
        <v>1123</v>
      </c>
      <c r="AP966" t="s">
        <v>1124</v>
      </c>
      <c r="AQ966" t="s">
        <v>74</v>
      </c>
      <c r="AR966" t="s">
        <v>1125</v>
      </c>
      <c r="AS966" t="s">
        <v>1126</v>
      </c>
      <c r="AT966" t="s">
        <v>537</v>
      </c>
      <c r="AU966">
        <v>2022</v>
      </c>
      <c r="AV966">
        <v>34</v>
      </c>
      <c r="AW966">
        <v>3</v>
      </c>
      <c r="AX966" t="s">
        <v>74</v>
      </c>
      <c r="AY966" t="s">
        <v>74</v>
      </c>
      <c r="AZ966" t="s">
        <v>74</v>
      </c>
      <c r="BA966" t="s">
        <v>74</v>
      </c>
      <c r="BB966">
        <v>1447</v>
      </c>
      <c r="BC966">
        <v>1456</v>
      </c>
      <c r="BD966" t="s">
        <v>74</v>
      </c>
      <c r="BE966" t="s">
        <v>18697</v>
      </c>
      <c r="BF966" t="str">
        <f>HYPERLINK("http://dx.doi.org/10.1007/s10811-022-02709-y","http://dx.doi.org/10.1007/s10811-022-02709-y")</f>
        <v>http://dx.doi.org/10.1007/s10811-022-02709-y</v>
      </c>
      <c r="BG966" t="s">
        <v>74</v>
      </c>
      <c r="BH966" t="s">
        <v>18249</v>
      </c>
      <c r="BI966">
        <v>10</v>
      </c>
      <c r="BJ966" t="s">
        <v>1128</v>
      </c>
      <c r="BK966" t="s">
        <v>101</v>
      </c>
      <c r="BL966" t="s">
        <v>1128</v>
      </c>
      <c r="BM966" t="s">
        <v>6380</v>
      </c>
      <c r="BN966" t="s">
        <v>74</v>
      </c>
      <c r="BO966" t="s">
        <v>74</v>
      </c>
      <c r="BP966" t="s">
        <v>74</v>
      </c>
      <c r="BQ966" t="s">
        <v>74</v>
      </c>
      <c r="BR966" t="s">
        <v>103</v>
      </c>
      <c r="BS966" t="s">
        <v>18698</v>
      </c>
      <c r="BT966" t="str">
        <f>HYPERLINK("https%3A%2F%2Fwww.webofscience.com%2Fwos%2Fwoscc%2Ffull-record%2FWOS:000761141300004","View Full Record in Web of Science")</f>
        <v>View Full Record in Web of Science</v>
      </c>
    </row>
    <row r="967" spans="1:72" x14ac:dyDescent="0.15">
      <c r="A967" t="s">
        <v>72</v>
      </c>
      <c r="B967" t="s">
        <v>18699</v>
      </c>
      <c r="C967" t="s">
        <v>74</v>
      </c>
      <c r="D967" t="s">
        <v>74</v>
      </c>
      <c r="E967" t="s">
        <v>74</v>
      </c>
      <c r="F967" t="s">
        <v>18700</v>
      </c>
      <c r="G967" t="s">
        <v>74</v>
      </c>
      <c r="H967" t="s">
        <v>74</v>
      </c>
      <c r="I967" t="s">
        <v>18701</v>
      </c>
      <c r="J967" t="s">
        <v>13256</v>
      </c>
      <c r="K967" t="s">
        <v>74</v>
      </c>
      <c r="L967" t="s">
        <v>74</v>
      </c>
      <c r="M967" t="s">
        <v>78</v>
      </c>
      <c r="N967" t="s">
        <v>79</v>
      </c>
      <c r="O967" t="s">
        <v>74</v>
      </c>
      <c r="P967" t="s">
        <v>74</v>
      </c>
      <c r="Q967" t="s">
        <v>74</v>
      </c>
      <c r="R967" t="s">
        <v>74</v>
      </c>
      <c r="S967" t="s">
        <v>74</v>
      </c>
      <c r="T967" t="s">
        <v>74</v>
      </c>
      <c r="U967" t="s">
        <v>18702</v>
      </c>
      <c r="V967" t="s">
        <v>18703</v>
      </c>
      <c r="W967" t="s">
        <v>18704</v>
      </c>
      <c r="X967" t="s">
        <v>3179</v>
      </c>
      <c r="Y967" t="s">
        <v>18705</v>
      </c>
      <c r="Z967" t="s">
        <v>18706</v>
      </c>
      <c r="AA967" t="s">
        <v>18707</v>
      </c>
      <c r="AB967" t="s">
        <v>18708</v>
      </c>
      <c r="AC967" t="s">
        <v>74</v>
      </c>
      <c r="AD967" t="s">
        <v>74</v>
      </c>
      <c r="AE967" t="s">
        <v>74</v>
      </c>
      <c r="AF967" t="s">
        <v>74</v>
      </c>
      <c r="AG967">
        <v>56</v>
      </c>
      <c r="AH967">
        <v>4</v>
      </c>
      <c r="AI967">
        <v>4</v>
      </c>
      <c r="AJ967">
        <v>2</v>
      </c>
      <c r="AK967">
        <v>7</v>
      </c>
      <c r="AL967" t="s">
        <v>91</v>
      </c>
      <c r="AM967" t="s">
        <v>92</v>
      </c>
      <c r="AN967" t="s">
        <v>93</v>
      </c>
      <c r="AO967" t="s">
        <v>13268</v>
      </c>
      <c r="AP967" t="s">
        <v>13269</v>
      </c>
      <c r="AQ967" t="s">
        <v>74</v>
      </c>
      <c r="AR967" t="s">
        <v>13270</v>
      </c>
      <c r="AS967" t="s">
        <v>13271</v>
      </c>
      <c r="AT967" t="s">
        <v>8316</v>
      </c>
      <c r="AU967">
        <v>2022</v>
      </c>
      <c r="AV967">
        <v>67</v>
      </c>
      <c r="AW967">
        <v>4</v>
      </c>
      <c r="AX967" t="s">
        <v>74</v>
      </c>
      <c r="AY967" t="s">
        <v>74</v>
      </c>
      <c r="AZ967" t="s">
        <v>74</v>
      </c>
      <c r="BA967" t="s">
        <v>74</v>
      </c>
      <c r="BB967">
        <v>962</v>
      </c>
      <c r="BC967">
        <v>972</v>
      </c>
      <c r="BD967" t="s">
        <v>74</v>
      </c>
      <c r="BE967" t="s">
        <v>18709</v>
      </c>
      <c r="BF967" t="str">
        <f>HYPERLINK("http://dx.doi.org/10.1002/lno.12048","http://dx.doi.org/10.1002/lno.12048")</f>
        <v>http://dx.doi.org/10.1002/lno.12048</v>
      </c>
      <c r="BG967" t="s">
        <v>74</v>
      </c>
      <c r="BH967" t="s">
        <v>18249</v>
      </c>
      <c r="BI967">
        <v>11</v>
      </c>
      <c r="BJ967" t="s">
        <v>8183</v>
      </c>
      <c r="BK967" t="s">
        <v>101</v>
      </c>
      <c r="BL967" t="s">
        <v>641</v>
      </c>
      <c r="BM967" t="s">
        <v>14951</v>
      </c>
      <c r="BN967" t="s">
        <v>74</v>
      </c>
      <c r="BO967" t="s">
        <v>883</v>
      </c>
      <c r="BP967" t="s">
        <v>74</v>
      </c>
      <c r="BQ967" t="s">
        <v>74</v>
      </c>
      <c r="BR967" t="s">
        <v>103</v>
      </c>
      <c r="BS967" t="s">
        <v>18710</v>
      </c>
      <c r="BT967" t="str">
        <f>HYPERLINK("https%3A%2F%2Fwww.webofscience.com%2Fwos%2Fwoscc%2Ffull-record%2FWOS:000761241900001","View Full Record in Web of Science")</f>
        <v>View Full Record in Web of Science</v>
      </c>
    </row>
    <row r="968" spans="1:72" x14ac:dyDescent="0.15">
      <c r="A968" t="s">
        <v>72</v>
      </c>
      <c r="B968" t="s">
        <v>18711</v>
      </c>
      <c r="C968" t="s">
        <v>74</v>
      </c>
      <c r="D968" t="s">
        <v>74</v>
      </c>
      <c r="E968" t="s">
        <v>74</v>
      </c>
      <c r="F968" t="s">
        <v>18712</v>
      </c>
      <c r="G968" t="s">
        <v>74</v>
      </c>
      <c r="H968" t="s">
        <v>74</v>
      </c>
      <c r="I968" t="s">
        <v>18713</v>
      </c>
      <c r="J968" t="s">
        <v>546</v>
      </c>
      <c r="K968" t="s">
        <v>74</v>
      </c>
      <c r="L968" t="s">
        <v>74</v>
      </c>
      <c r="M968" t="s">
        <v>78</v>
      </c>
      <c r="N968" t="s">
        <v>190</v>
      </c>
      <c r="O968" t="s">
        <v>74</v>
      </c>
      <c r="P968" t="s">
        <v>74</v>
      </c>
      <c r="Q968" t="s">
        <v>74</v>
      </c>
      <c r="R968" t="s">
        <v>74</v>
      </c>
      <c r="S968" t="s">
        <v>74</v>
      </c>
      <c r="T968" t="s">
        <v>18714</v>
      </c>
      <c r="U968" t="s">
        <v>18715</v>
      </c>
      <c r="V968" t="s">
        <v>74</v>
      </c>
      <c r="W968" t="s">
        <v>18716</v>
      </c>
      <c r="X968" t="s">
        <v>18717</v>
      </c>
      <c r="Y968" t="s">
        <v>18718</v>
      </c>
      <c r="Z968" t="s">
        <v>18719</v>
      </c>
      <c r="AA968" t="s">
        <v>18720</v>
      </c>
      <c r="AB968" t="s">
        <v>18721</v>
      </c>
      <c r="AC968" t="s">
        <v>18722</v>
      </c>
      <c r="AD968" t="s">
        <v>18722</v>
      </c>
      <c r="AE968" t="s">
        <v>18723</v>
      </c>
      <c r="AF968" t="s">
        <v>74</v>
      </c>
      <c r="AG968">
        <v>25</v>
      </c>
      <c r="AH968">
        <v>0</v>
      </c>
      <c r="AI968">
        <v>0</v>
      </c>
      <c r="AJ968">
        <v>1</v>
      </c>
      <c r="AK968">
        <v>7</v>
      </c>
      <c r="AL968" t="s">
        <v>285</v>
      </c>
      <c r="AM968" t="s">
        <v>286</v>
      </c>
      <c r="AN968" t="s">
        <v>287</v>
      </c>
      <c r="AO968" t="s">
        <v>74</v>
      </c>
      <c r="AP968" t="s">
        <v>558</v>
      </c>
      <c r="AQ968" t="s">
        <v>74</v>
      </c>
      <c r="AR968" t="s">
        <v>559</v>
      </c>
      <c r="AS968" t="s">
        <v>560</v>
      </c>
      <c r="AT968" t="s">
        <v>18724</v>
      </c>
      <c r="AU968">
        <v>2022</v>
      </c>
      <c r="AV968">
        <v>9</v>
      </c>
      <c r="AW968" t="s">
        <v>74</v>
      </c>
      <c r="AX968" t="s">
        <v>74</v>
      </c>
      <c r="AY968" t="s">
        <v>74</v>
      </c>
      <c r="AZ968" t="s">
        <v>74</v>
      </c>
      <c r="BA968" t="s">
        <v>74</v>
      </c>
      <c r="BB968" t="s">
        <v>74</v>
      </c>
      <c r="BC968" t="s">
        <v>74</v>
      </c>
      <c r="BD968">
        <v>861632</v>
      </c>
      <c r="BE968" t="s">
        <v>18725</v>
      </c>
      <c r="BF968" t="str">
        <f>HYPERLINK("http://dx.doi.org/10.3389/fmars.2022.861632","http://dx.doi.org/10.3389/fmars.2022.861632")</f>
        <v>http://dx.doi.org/10.3389/fmars.2022.861632</v>
      </c>
      <c r="BG968" t="s">
        <v>74</v>
      </c>
      <c r="BH968" t="s">
        <v>74</v>
      </c>
      <c r="BI968">
        <v>4</v>
      </c>
      <c r="BJ968" t="s">
        <v>563</v>
      </c>
      <c r="BK968" t="s">
        <v>101</v>
      </c>
      <c r="BL968" t="s">
        <v>564</v>
      </c>
      <c r="BM968" t="s">
        <v>18726</v>
      </c>
      <c r="BN968" t="s">
        <v>74</v>
      </c>
      <c r="BO968" t="s">
        <v>5612</v>
      </c>
      <c r="BP968" t="s">
        <v>74</v>
      </c>
      <c r="BQ968" t="s">
        <v>74</v>
      </c>
      <c r="BR968" t="s">
        <v>103</v>
      </c>
      <c r="BS968" t="s">
        <v>18727</v>
      </c>
      <c r="BT968" t="str">
        <f>HYPERLINK("https%3A%2F%2Fwww.webofscience.com%2Fwos%2Fwoscc%2Ffull-record%2FWOS:000772070600001","View Full Record in Web of Science")</f>
        <v>View Full Record in Web of Science</v>
      </c>
    </row>
    <row r="969" spans="1:72" x14ac:dyDescent="0.15">
      <c r="A969" t="s">
        <v>72</v>
      </c>
      <c r="B969" t="s">
        <v>18728</v>
      </c>
      <c r="C969" t="s">
        <v>74</v>
      </c>
      <c r="D969" t="s">
        <v>74</v>
      </c>
      <c r="E969" t="s">
        <v>74</v>
      </c>
      <c r="F969" t="s">
        <v>18729</v>
      </c>
      <c r="G969" t="s">
        <v>74</v>
      </c>
      <c r="H969" t="s">
        <v>74</v>
      </c>
      <c r="I969" t="s">
        <v>18730</v>
      </c>
      <c r="J969" t="s">
        <v>3027</v>
      </c>
      <c r="K969" t="s">
        <v>74</v>
      </c>
      <c r="L969" t="s">
        <v>74</v>
      </c>
      <c r="M969" t="s">
        <v>78</v>
      </c>
      <c r="N969" t="s">
        <v>79</v>
      </c>
      <c r="O969" t="s">
        <v>74</v>
      </c>
      <c r="P969" t="s">
        <v>74</v>
      </c>
      <c r="Q969" t="s">
        <v>74</v>
      </c>
      <c r="R969" t="s">
        <v>74</v>
      </c>
      <c r="S969" t="s">
        <v>74</v>
      </c>
      <c r="T969" t="s">
        <v>18731</v>
      </c>
      <c r="U969" t="s">
        <v>18732</v>
      </c>
      <c r="V969" t="s">
        <v>18733</v>
      </c>
      <c r="W969" t="s">
        <v>18734</v>
      </c>
      <c r="X969" t="s">
        <v>18735</v>
      </c>
      <c r="Y969" t="s">
        <v>18736</v>
      </c>
      <c r="Z969" t="s">
        <v>18737</v>
      </c>
      <c r="AA969" t="s">
        <v>74</v>
      </c>
      <c r="AB969" t="s">
        <v>74</v>
      </c>
      <c r="AC969" t="s">
        <v>18738</v>
      </c>
      <c r="AD969" t="s">
        <v>18739</v>
      </c>
      <c r="AE969" t="s">
        <v>18740</v>
      </c>
      <c r="AF969" t="s">
        <v>74</v>
      </c>
      <c r="AG969">
        <v>41</v>
      </c>
      <c r="AH969">
        <v>0</v>
      </c>
      <c r="AI969">
        <v>0</v>
      </c>
      <c r="AJ969">
        <v>2</v>
      </c>
      <c r="AK969">
        <v>20</v>
      </c>
      <c r="AL969" t="s">
        <v>285</v>
      </c>
      <c r="AM969" t="s">
        <v>286</v>
      </c>
      <c r="AN969" t="s">
        <v>287</v>
      </c>
      <c r="AO969" t="s">
        <v>74</v>
      </c>
      <c r="AP969" t="s">
        <v>3039</v>
      </c>
      <c r="AQ969" t="s">
        <v>74</v>
      </c>
      <c r="AR969" t="s">
        <v>3040</v>
      </c>
      <c r="AS969" t="s">
        <v>3041</v>
      </c>
      <c r="AT969" t="s">
        <v>18724</v>
      </c>
      <c r="AU969">
        <v>2022</v>
      </c>
      <c r="AV969">
        <v>10</v>
      </c>
      <c r="AW969" t="s">
        <v>74</v>
      </c>
      <c r="AX969" t="s">
        <v>74</v>
      </c>
      <c r="AY969" t="s">
        <v>74</v>
      </c>
      <c r="AZ969" t="s">
        <v>74</v>
      </c>
      <c r="BA969" t="s">
        <v>74</v>
      </c>
      <c r="BB969" t="s">
        <v>74</v>
      </c>
      <c r="BC969" t="s">
        <v>74</v>
      </c>
      <c r="BD969">
        <v>823515</v>
      </c>
      <c r="BE969" t="s">
        <v>18741</v>
      </c>
      <c r="BF969" t="str">
        <f>HYPERLINK("http://dx.doi.org/10.3389/feart.2022.823515","http://dx.doi.org/10.3389/feart.2022.823515")</f>
        <v>http://dx.doi.org/10.3389/feart.2022.823515</v>
      </c>
      <c r="BG969" t="s">
        <v>74</v>
      </c>
      <c r="BH969" t="s">
        <v>74</v>
      </c>
      <c r="BI969">
        <v>8</v>
      </c>
      <c r="BJ969" t="s">
        <v>265</v>
      </c>
      <c r="BK969" t="s">
        <v>101</v>
      </c>
      <c r="BL969" t="s">
        <v>100</v>
      </c>
      <c r="BM969" t="s">
        <v>18742</v>
      </c>
      <c r="BN969" t="s">
        <v>74</v>
      </c>
      <c r="BO969" t="s">
        <v>438</v>
      </c>
      <c r="BP969" t="s">
        <v>74</v>
      </c>
      <c r="BQ969" t="s">
        <v>74</v>
      </c>
      <c r="BR969" t="s">
        <v>103</v>
      </c>
      <c r="BS969" t="s">
        <v>18743</v>
      </c>
      <c r="BT969" t="str">
        <f>HYPERLINK("https%3A%2F%2Fwww.webofscience.com%2Fwos%2Fwoscc%2Ffull-record%2FWOS:000768020700001","View Full Record in Web of Science")</f>
        <v>View Full Record in Web of Science</v>
      </c>
    </row>
    <row r="970" spans="1:72" x14ac:dyDescent="0.15">
      <c r="A970" t="s">
        <v>72</v>
      </c>
      <c r="B970" t="s">
        <v>18744</v>
      </c>
      <c r="C970" t="s">
        <v>74</v>
      </c>
      <c r="D970" t="s">
        <v>74</v>
      </c>
      <c r="E970" t="s">
        <v>74</v>
      </c>
      <c r="F970" t="s">
        <v>18745</v>
      </c>
      <c r="G970" t="s">
        <v>74</v>
      </c>
      <c r="H970" t="s">
        <v>74</v>
      </c>
      <c r="I970" t="s">
        <v>18746</v>
      </c>
      <c r="J970" t="s">
        <v>18747</v>
      </c>
      <c r="K970" t="s">
        <v>74</v>
      </c>
      <c r="L970" t="s">
        <v>74</v>
      </c>
      <c r="M970" t="s">
        <v>78</v>
      </c>
      <c r="N970" t="s">
        <v>79</v>
      </c>
      <c r="O970" t="s">
        <v>74</v>
      </c>
      <c r="P970" t="s">
        <v>74</v>
      </c>
      <c r="Q970" t="s">
        <v>74</v>
      </c>
      <c r="R970" t="s">
        <v>74</v>
      </c>
      <c r="S970" t="s">
        <v>74</v>
      </c>
      <c r="T970" t="s">
        <v>18748</v>
      </c>
      <c r="U970" t="s">
        <v>18749</v>
      </c>
      <c r="V970" t="s">
        <v>18750</v>
      </c>
      <c r="W970" t="s">
        <v>18751</v>
      </c>
      <c r="X970" t="s">
        <v>18752</v>
      </c>
      <c r="Y970" t="s">
        <v>18753</v>
      </c>
      <c r="Z970" t="s">
        <v>18754</v>
      </c>
      <c r="AA970" t="s">
        <v>18755</v>
      </c>
      <c r="AB970" t="s">
        <v>18756</v>
      </c>
      <c r="AC970" t="s">
        <v>74</v>
      </c>
      <c r="AD970" t="s">
        <v>74</v>
      </c>
      <c r="AE970" t="s">
        <v>74</v>
      </c>
      <c r="AF970" t="s">
        <v>74</v>
      </c>
      <c r="AG970">
        <v>103</v>
      </c>
      <c r="AH970">
        <v>12</v>
      </c>
      <c r="AI970">
        <v>12</v>
      </c>
      <c r="AJ970">
        <v>0</v>
      </c>
      <c r="AK970">
        <v>14</v>
      </c>
      <c r="AL970" t="s">
        <v>285</v>
      </c>
      <c r="AM970" t="s">
        <v>286</v>
      </c>
      <c r="AN970" t="s">
        <v>287</v>
      </c>
      <c r="AO970" t="s">
        <v>18757</v>
      </c>
      <c r="AP970" t="s">
        <v>74</v>
      </c>
      <c r="AQ970" t="s">
        <v>74</v>
      </c>
      <c r="AR970" t="s">
        <v>18758</v>
      </c>
      <c r="AS970" t="s">
        <v>18759</v>
      </c>
      <c r="AT970" t="s">
        <v>18724</v>
      </c>
      <c r="AU970">
        <v>2022</v>
      </c>
      <c r="AV970">
        <v>10</v>
      </c>
      <c r="AW970" t="s">
        <v>74</v>
      </c>
      <c r="AX970" t="s">
        <v>74</v>
      </c>
      <c r="AY970" t="s">
        <v>74</v>
      </c>
      <c r="AZ970" t="s">
        <v>74</v>
      </c>
      <c r="BA970" t="s">
        <v>74</v>
      </c>
      <c r="BB970" t="s">
        <v>74</v>
      </c>
      <c r="BC970" t="s">
        <v>74</v>
      </c>
      <c r="BD970">
        <v>772891</v>
      </c>
      <c r="BE970" t="s">
        <v>18760</v>
      </c>
      <c r="BF970" t="str">
        <f>HYPERLINK("http://dx.doi.org/10.3389/fbioe.2022.772891","http://dx.doi.org/10.3389/fbioe.2022.772891")</f>
        <v>http://dx.doi.org/10.3389/fbioe.2022.772891</v>
      </c>
      <c r="BG970" t="s">
        <v>74</v>
      </c>
      <c r="BH970" t="s">
        <v>74</v>
      </c>
      <c r="BI970">
        <v>19</v>
      </c>
      <c r="BJ970" t="s">
        <v>18761</v>
      </c>
      <c r="BK970" t="s">
        <v>101</v>
      </c>
      <c r="BL970" t="s">
        <v>18762</v>
      </c>
      <c r="BM970" t="s">
        <v>18763</v>
      </c>
      <c r="BN970">
        <v>35284420</v>
      </c>
      <c r="BO970" t="s">
        <v>1533</v>
      </c>
      <c r="BP970" t="s">
        <v>74</v>
      </c>
      <c r="BQ970" t="s">
        <v>74</v>
      </c>
      <c r="BR970" t="s">
        <v>103</v>
      </c>
      <c r="BS970" t="s">
        <v>18764</v>
      </c>
      <c r="BT970" t="str">
        <f>HYPERLINK("https%3A%2F%2Fwww.webofscience.com%2Fwos%2Fwoscc%2Ffull-record%2FWOS:000766900700001","View Full Record in Web of Science")</f>
        <v>View Full Record in Web of Science</v>
      </c>
    </row>
    <row r="971" spans="1:72" x14ac:dyDescent="0.15">
      <c r="A971" t="s">
        <v>72</v>
      </c>
      <c r="B971" t="s">
        <v>18765</v>
      </c>
      <c r="C971" t="s">
        <v>74</v>
      </c>
      <c r="D971" t="s">
        <v>74</v>
      </c>
      <c r="E971" t="s">
        <v>74</v>
      </c>
      <c r="F971" t="s">
        <v>18766</v>
      </c>
      <c r="G971" t="s">
        <v>74</v>
      </c>
      <c r="H971" t="s">
        <v>74</v>
      </c>
      <c r="I971" t="s">
        <v>18767</v>
      </c>
      <c r="J971" t="s">
        <v>3730</v>
      </c>
      <c r="K971" t="s">
        <v>74</v>
      </c>
      <c r="L971" t="s">
        <v>74</v>
      </c>
      <c r="M971" t="s">
        <v>78</v>
      </c>
      <c r="N971" t="s">
        <v>79</v>
      </c>
      <c r="O971" t="s">
        <v>74</v>
      </c>
      <c r="P971" t="s">
        <v>74</v>
      </c>
      <c r="Q971" t="s">
        <v>74</v>
      </c>
      <c r="R971" t="s">
        <v>74</v>
      </c>
      <c r="S971" t="s">
        <v>74</v>
      </c>
      <c r="T971" t="s">
        <v>74</v>
      </c>
      <c r="U971" t="s">
        <v>18768</v>
      </c>
      <c r="V971" t="s">
        <v>18769</v>
      </c>
      <c r="W971" t="s">
        <v>18770</v>
      </c>
      <c r="X971" t="s">
        <v>18771</v>
      </c>
      <c r="Y971" t="s">
        <v>18772</v>
      </c>
      <c r="Z971" t="s">
        <v>18773</v>
      </c>
      <c r="AA971" t="s">
        <v>18774</v>
      </c>
      <c r="AB971" t="s">
        <v>18775</v>
      </c>
      <c r="AC971" t="s">
        <v>18776</v>
      </c>
      <c r="AD971" t="s">
        <v>18777</v>
      </c>
      <c r="AE971" t="s">
        <v>18778</v>
      </c>
      <c r="AF971" t="s">
        <v>74</v>
      </c>
      <c r="AG971">
        <v>39</v>
      </c>
      <c r="AH971">
        <v>17</v>
      </c>
      <c r="AI971">
        <v>17</v>
      </c>
      <c r="AJ971">
        <v>8</v>
      </c>
      <c r="AK971">
        <v>56</v>
      </c>
      <c r="AL971" t="s">
        <v>455</v>
      </c>
      <c r="AM971" t="s">
        <v>456</v>
      </c>
      <c r="AN971" t="s">
        <v>457</v>
      </c>
      <c r="AO971" t="s">
        <v>3742</v>
      </c>
      <c r="AP971" t="s">
        <v>3743</v>
      </c>
      <c r="AQ971" t="s">
        <v>74</v>
      </c>
      <c r="AR971" t="s">
        <v>3730</v>
      </c>
      <c r="AS971" t="s">
        <v>3744</v>
      </c>
      <c r="AT971" t="s">
        <v>18724</v>
      </c>
      <c r="AU971">
        <v>2022</v>
      </c>
      <c r="AV971">
        <v>602</v>
      </c>
      <c r="AW971">
        <v>7898</v>
      </c>
      <c r="AX971" t="s">
        <v>74</v>
      </c>
      <c r="AY971" t="s">
        <v>74</v>
      </c>
      <c r="AZ971" t="s">
        <v>74</v>
      </c>
      <c r="BA971" t="s">
        <v>74</v>
      </c>
      <c r="BB971">
        <v>617</v>
      </c>
      <c r="BC971" t="s">
        <v>462</v>
      </c>
      <c r="BD971" t="s">
        <v>74</v>
      </c>
      <c r="BE971" t="s">
        <v>18779</v>
      </c>
      <c r="BF971" t="str">
        <f>HYPERLINK("http://dx.doi.org/10.1038/s41586-021-04370-w","http://dx.doi.org/10.1038/s41586-021-04370-w")</f>
        <v>http://dx.doi.org/10.1038/s41586-021-04370-w</v>
      </c>
      <c r="BG971" t="s">
        <v>74</v>
      </c>
      <c r="BH971" t="s">
        <v>74</v>
      </c>
      <c r="BI971">
        <v>18</v>
      </c>
      <c r="BJ971" t="s">
        <v>657</v>
      </c>
      <c r="BK971" t="s">
        <v>101</v>
      </c>
      <c r="BL971" t="s">
        <v>658</v>
      </c>
      <c r="BM971" t="s">
        <v>18780</v>
      </c>
      <c r="BN971">
        <v>35197621</v>
      </c>
      <c r="BO971" t="s">
        <v>986</v>
      </c>
      <c r="BP971" t="s">
        <v>74</v>
      </c>
      <c r="BQ971" t="s">
        <v>74</v>
      </c>
      <c r="BR971" t="s">
        <v>103</v>
      </c>
      <c r="BS971" t="s">
        <v>18781</v>
      </c>
      <c r="BT971" t="str">
        <f>HYPERLINK("https%3A%2F%2Fwww.webofscience.com%2Fwos%2Fwoscc%2Ffull-record%2FWOS:000760423100013","View Full Record in Web of Science")</f>
        <v>View Full Record in Web of Science</v>
      </c>
    </row>
    <row r="972" spans="1:72" x14ac:dyDescent="0.15">
      <c r="A972" t="s">
        <v>72</v>
      </c>
      <c r="B972" t="s">
        <v>18782</v>
      </c>
      <c r="C972" t="s">
        <v>74</v>
      </c>
      <c r="D972" t="s">
        <v>74</v>
      </c>
      <c r="E972" t="s">
        <v>74</v>
      </c>
      <c r="F972" t="s">
        <v>18783</v>
      </c>
      <c r="G972" t="s">
        <v>74</v>
      </c>
      <c r="H972" t="s">
        <v>74</v>
      </c>
      <c r="I972" t="s">
        <v>18784</v>
      </c>
      <c r="J972" t="s">
        <v>517</v>
      </c>
      <c r="K972" t="s">
        <v>74</v>
      </c>
      <c r="L972" t="s">
        <v>74</v>
      </c>
      <c r="M972" t="s">
        <v>78</v>
      </c>
      <c r="N972" t="s">
        <v>190</v>
      </c>
      <c r="O972" t="s">
        <v>74</v>
      </c>
      <c r="P972" t="s">
        <v>74</v>
      </c>
      <c r="Q972" t="s">
        <v>74</v>
      </c>
      <c r="R972" t="s">
        <v>74</v>
      </c>
      <c r="S972" t="s">
        <v>74</v>
      </c>
      <c r="T972" t="s">
        <v>74</v>
      </c>
      <c r="U972" t="s">
        <v>74</v>
      </c>
      <c r="V972" t="s">
        <v>74</v>
      </c>
      <c r="W972" t="s">
        <v>18785</v>
      </c>
      <c r="X972" t="s">
        <v>18786</v>
      </c>
      <c r="Y972" t="s">
        <v>18787</v>
      </c>
      <c r="Z972" t="s">
        <v>18788</v>
      </c>
      <c r="AA972" t="s">
        <v>18789</v>
      </c>
      <c r="AB972" t="s">
        <v>18790</v>
      </c>
      <c r="AC972" t="s">
        <v>74</v>
      </c>
      <c r="AD972" t="s">
        <v>74</v>
      </c>
      <c r="AE972" t="s">
        <v>74</v>
      </c>
      <c r="AF972" t="s">
        <v>74</v>
      </c>
      <c r="AG972">
        <v>12</v>
      </c>
      <c r="AH972">
        <v>0</v>
      </c>
      <c r="AI972">
        <v>0</v>
      </c>
      <c r="AJ972">
        <v>0</v>
      </c>
      <c r="AK972">
        <v>5</v>
      </c>
      <c r="AL972" t="s">
        <v>530</v>
      </c>
      <c r="AM972" t="s">
        <v>531</v>
      </c>
      <c r="AN972" t="s">
        <v>532</v>
      </c>
      <c r="AO972" t="s">
        <v>533</v>
      </c>
      <c r="AP972" t="s">
        <v>534</v>
      </c>
      <c r="AQ972" t="s">
        <v>74</v>
      </c>
      <c r="AR972" t="s">
        <v>535</v>
      </c>
      <c r="AS972" t="s">
        <v>536</v>
      </c>
      <c r="AT972" t="s">
        <v>8316</v>
      </c>
      <c r="AU972">
        <v>2022</v>
      </c>
      <c r="AV972">
        <v>45</v>
      </c>
      <c r="AW972">
        <v>4</v>
      </c>
      <c r="AX972" t="s">
        <v>74</v>
      </c>
      <c r="AY972" t="s">
        <v>74</v>
      </c>
      <c r="AZ972" t="s">
        <v>74</v>
      </c>
      <c r="BA972" t="s">
        <v>74</v>
      </c>
      <c r="BB972">
        <v>533</v>
      </c>
      <c r="BC972">
        <v>535</v>
      </c>
      <c r="BD972" t="s">
        <v>74</v>
      </c>
      <c r="BE972" t="s">
        <v>18791</v>
      </c>
      <c r="BF972" t="str">
        <f>HYPERLINK("http://dx.doi.org/10.1007/s00300-022-03026-3","http://dx.doi.org/10.1007/s00300-022-03026-3")</f>
        <v>http://dx.doi.org/10.1007/s00300-022-03026-3</v>
      </c>
      <c r="BG972" t="s">
        <v>74</v>
      </c>
      <c r="BH972" t="s">
        <v>18249</v>
      </c>
      <c r="BI972">
        <v>3</v>
      </c>
      <c r="BJ972" t="s">
        <v>539</v>
      </c>
      <c r="BK972" t="s">
        <v>101</v>
      </c>
      <c r="BL972" t="s">
        <v>540</v>
      </c>
      <c r="BM972" t="s">
        <v>15680</v>
      </c>
      <c r="BN972" t="s">
        <v>74</v>
      </c>
      <c r="BO972" t="s">
        <v>18792</v>
      </c>
      <c r="BP972" t="s">
        <v>74</v>
      </c>
      <c r="BQ972" t="s">
        <v>74</v>
      </c>
      <c r="BR972" t="s">
        <v>103</v>
      </c>
      <c r="BS972" t="s">
        <v>18793</v>
      </c>
      <c r="BT972" t="str">
        <f>HYPERLINK("https%3A%2F%2Fwww.webofscience.com%2Fwos%2Fwoscc%2Ffull-record%2FWOS:000761839500001","View Full Record in Web of Science")</f>
        <v>View Full Record in Web of Science</v>
      </c>
    </row>
    <row r="973" spans="1:72" x14ac:dyDescent="0.15">
      <c r="A973" t="s">
        <v>72</v>
      </c>
      <c r="B973" t="s">
        <v>18794</v>
      </c>
      <c r="C973" t="s">
        <v>74</v>
      </c>
      <c r="D973" t="s">
        <v>74</v>
      </c>
      <c r="E973" t="s">
        <v>74</v>
      </c>
      <c r="F973" t="s">
        <v>18795</v>
      </c>
      <c r="G973" t="s">
        <v>74</v>
      </c>
      <c r="H973" t="s">
        <v>74</v>
      </c>
      <c r="I973" t="s">
        <v>18796</v>
      </c>
      <c r="J973" t="s">
        <v>692</v>
      </c>
      <c r="K973" t="s">
        <v>74</v>
      </c>
      <c r="L973" t="s">
        <v>74</v>
      </c>
      <c r="M973" t="s">
        <v>78</v>
      </c>
      <c r="N973" t="s">
        <v>79</v>
      </c>
      <c r="O973" t="s">
        <v>74</v>
      </c>
      <c r="P973" t="s">
        <v>74</v>
      </c>
      <c r="Q973" t="s">
        <v>74</v>
      </c>
      <c r="R973" t="s">
        <v>74</v>
      </c>
      <c r="S973" t="s">
        <v>74</v>
      </c>
      <c r="T973" t="s">
        <v>18797</v>
      </c>
      <c r="U973" t="s">
        <v>74</v>
      </c>
      <c r="V973" t="s">
        <v>18798</v>
      </c>
      <c r="W973" t="s">
        <v>18799</v>
      </c>
      <c r="X973" t="s">
        <v>18800</v>
      </c>
      <c r="Y973" t="s">
        <v>18801</v>
      </c>
      <c r="Z973" t="s">
        <v>18802</v>
      </c>
      <c r="AA973" t="s">
        <v>74</v>
      </c>
      <c r="AB973" t="s">
        <v>18803</v>
      </c>
      <c r="AC973" t="s">
        <v>18804</v>
      </c>
      <c r="AD973" t="s">
        <v>18805</v>
      </c>
      <c r="AE973" t="s">
        <v>18806</v>
      </c>
      <c r="AF973" t="s">
        <v>74</v>
      </c>
      <c r="AG973">
        <v>26</v>
      </c>
      <c r="AH973">
        <v>0</v>
      </c>
      <c r="AI973">
        <v>1</v>
      </c>
      <c r="AJ973">
        <v>0</v>
      </c>
      <c r="AK973">
        <v>4</v>
      </c>
      <c r="AL973" t="s">
        <v>428</v>
      </c>
      <c r="AM973" t="s">
        <v>531</v>
      </c>
      <c r="AN973" t="s">
        <v>748</v>
      </c>
      <c r="AO973" t="s">
        <v>703</v>
      </c>
      <c r="AP973" t="s">
        <v>704</v>
      </c>
      <c r="AQ973" t="s">
        <v>74</v>
      </c>
      <c r="AR973" t="s">
        <v>705</v>
      </c>
      <c r="AS973" t="s">
        <v>706</v>
      </c>
      <c r="AT973" t="s">
        <v>434</v>
      </c>
      <c r="AU973">
        <v>2022</v>
      </c>
      <c r="AV973">
        <v>34</v>
      </c>
      <c r="AW973">
        <v>1</v>
      </c>
      <c r="AX973" t="s">
        <v>74</v>
      </c>
      <c r="AY973" t="s">
        <v>74</v>
      </c>
      <c r="AZ973" t="s">
        <v>74</v>
      </c>
      <c r="BA973" t="s">
        <v>74</v>
      </c>
      <c r="BB973">
        <v>45</v>
      </c>
      <c r="BC973">
        <v>57</v>
      </c>
      <c r="BD973" t="s">
        <v>18807</v>
      </c>
      <c r="BE973" t="s">
        <v>18808</v>
      </c>
      <c r="BF973" t="str">
        <f>HYPERLINK("http://dx.doi.org/10.1017/S0954102021000547","http://dx.doi.org/10.1017/S0954102021000547")</f>
        <v>http://dx.doi.org/10.1017/S0954102021000547</v>
      </c>
      <c r="BG973" t="s">
        <v>74</v>
      </c>
      <c r="BH973" t="s">
        <v>18249</v>
      </c>
      <c r="BI973">
        <v>13</v>
      </c>
      <c r="BJ973" t="s">
        <v>708</v>
      </c>
      <c r="BK973" t="s">
        <v>101</v>
      </c>
      <c r="BL973" t="s">
        <v>709</v>
      </c>
      <c r="BM973" t="s">
        <v>18809</v>
      </c>
      <c r="BN973" t="s">
        <v>74</v>
      </c>
      <c r="BO973" t="s">
        <v>74</v>
      </c>
      <c r="BP973" t="s">
        <v>74</v>
      </c>
      <c r="BQ973" t="s">
        <v>74</v>
      </c>
      <c r="BR973" t="s">
        <v>103</v>
      </c>
      <c r="BS973" t="s">
        <v>18810</v>
      </c>
      <c r="BT973" t="str">
        <f>HYPERLINK("https%3A%2F%2Fwww.webofscience.com%2Fwos%2Fwoscc%2Ffull-record%2FWOS:000761202300001","View Full Record in Web of Science")</f>
        <v>View Full Record in Web of Science</v>
      </c>
    </row>
    <row r="974" spans="1:72" x14ac:dyDescent="0.15">
      <c r="A974" t="s">
        <v>72</v>
      </c>
      <c r="B974" t="s">
        <v>18811</v>
      </c>
      <c r="C974" t="s">
        <v>74</v>
      </c>
      <c r="D974" t="s">
        <v>74</v>
      </c>
      <c r="E974" t="s">
        <v>74</v>
      </c>
      <c r="F974" t="s">
        <v>18812</v>
      </c>
      <c r="G974" t="s">
        <v>74</v>
      </c>
      <c r="H974" t="s">
        <v>74</v>
      </c>
      <c r="I974" t="s">
        <v>18813</v>
      </c>
      <c r="J974" t="s">
        <v>272</v>
      </c>
      <c r="K974" t="s">
        <v>74</v>
      </c>
      <c r="L974" t="s">
        <v>74</v>
      </c>
      <c r="M974" t="s">
        <v>78</v>
      </c>
      <c r="N974" t="s">
        <v>79</v>
      </c>
      <c r="O974" t="s">
        <v>74</v>
      </c>
      <c r="P974" t="s">
        <v>74</v>
      </c>
      <c r="Q974" t="s">
        <v>74</v>
      </c>
      <c r="R974" t="s">
        <v>74</v>
      </c>
      <c r="S974" t="s">
        <v>74</v>
      </c>
      <c r="T974" t="s">
        <v>18814</v>
      </c>
      <c r="U974" t="s">
        <v>18815</v>
      </c>
      <c r="V974" t="s">
        <v>18816</v>
      </c>
      <c r="W974" t="s">
        <v>18817</v>
      </c>
      <c r="X974" t="s">
        <v>18818</v>
      </c>
      <c r="Y974" t="s">
        <v>18819</v>
      </c>
      <c r="Z974" t="s">
        <v>18820</v>
      </c>
      <c r="AA974" t="s">
        <v>18821</v>
      </c>
      <c r="AB974" t="s">
        <v>18822</v>
      </c>
      <c r="AC974" t="s">
        <v>18823</v>
      </c>
      <c r="AD974" t="s">
        <v>18824</v>
      </c>
      <c r="AE974" t="s">
        <v>18825</v>
      </c>
      <c r="AF974" t="s">
        <v>74</v>
      </c>
      <c r="AG974">
        <v>48</v>
      </c>
      <c r="AH974">
        <v>1</v>
      </c>
      <c r="AI974">
        <v>2</v>
      </c>
      <c r="AJ974">
        <v>1</v>
      </c>
      <c r="AK974">
        <v>10</v>
      </c>
      <c r="AL974" t="s">
        <v>285</v>
      </c>
      <c r="AM974" t="s">
        <v>286</v>
      </c>
      <c r="AN974" t="s">
        <v>287</v>
      </c>
      <c r="AO974" t="s">
        <v>74</v>
      </c>
      <c r="AP974" t="s">
        <v>288</v>
      </c>
      <c r="AQ974" t="s">
        <v>74</v>
      </c>
      <c r="AR974" t="s">
        <v>289</v>
      </c>
      <c r="AS974" t="s">
        <v>290</v>
      </c>
      <c r="AT974" t="s">
        <v>18826</v>
      </c>
      <c r="AU974">
        <v>2022</v>
      </c>
      <c r="AV974">
        <v>13</v>
      </c>
      <c r="AW974" t="s">
        <v>74</v>
      </c>
      <c r="AX974" t="s">
        <v>74</v>
      </c>
      <c r="AY974" t="s">
        <v>74</v>
      </c>
      <c r="AZ974" t="s">
        <v>74</v>
      </c>
      <c r="BA974" t="s">
        <v>74</v>
      </c>
      <c r="BB974" t="s">
        <v>74</v>
      </c>
      <c r="BC974" t="s">
        <v>74</v>
      </c>
      <c r="BD974">
        <v>832893</v>
      </c>
      <c r="BE974" t="s">
        <v>18827</v>
      </c>
      <c r="BF974" t="str">
        <f>HYPERLINK("http://dx.doi.org/10.3389/fmicb.2022.832893","http://dx.doi.org/10.3389/fmicb.2022.832893")</f>
        <v>http://dx.doi.org/10.3389/fmicb.2022.832893</v>
      </c>
      <c r="BG974" t="s">
        <v>74</v>
      </c>
      <c r="BH974" t="s">
        <v>74</v>
      </c>
      <c r="BI974">
        <v>11</v>
      </c>
      <c r="BJ974" t="s">
        <v>293</v>
      </c>
      <c r="BK974" t="s">
        <v>101</v>
      </c>
      <c r="BL974" t="s">
        <v>293</v>
      </c>
      <c r="BM974" t="s">
        <v>18828</v>
      </c>
      <c r="BN974">
        <v>35283859</v>
      </c>
      <c r="BO974" t="s">
        <v>295</v>
      </c>
      <c r="BP974" t="s">
        <v>74</v>
      </c>
      <c r="BQ974" t="s">
        <v>74</v>
      </c>
      <c r="BR974" t="s">
        <v>103</v>
      </c>
      <c r="BS974" t="s">
        <v>18829</v>
      </c>
      <c r="BT974" t="str">
        <f>HYPERLINK("https%3A%2F%2Fwww.webofscience.com%2Fwos%2Fwoscc%2Ffull-record%2FWOS:000798991300001","View Full Record in Web of Science")</f>
        <v>View Full Record in Web of Science</v>
      </c>
    </row>
    <row r="975" spans="1:72" x14ac:dyDescent="0.15">
      <c r="A975" t="s">
        <v>72</v>
      </c>
      <c r="B975" t="s">
        <v>18830</v>
      </c>
      <c r="C975" t="s">
        <v>74</v>
      </c>
      <c r="D975" t="s">
        <v>74</v>
      </c>
      <c r="E975" t="s">
        <v>74</v>
      </c>
      <c r="F975" t="s">
        <v>18831</v>
      </c>
      <c r="G975" t="s">
        <v>74</v>
      </c>
      <c r="H975" t="s">
        <v>74</v>
      </c>
      <c r="I975" t="s">
        <v>18832</v>
      </c>
      <c r="J975" t="s">
        <v>1154</v>
      </c>
      <c r="K975" t="s">
        <v>74</v>
      </c>
      <c r="L975" t="s">
        <v>74</v>
      </c>
      <c r="M975" t="s">
        <v>78</v>
      </c>
      <c r="N975" t="s">
        <v>79</v>
      </c>
      <c r="O975" t="s">
        <v>74</v>
      </c>
      <c r="P975" t="s">
        <v>74</v>
      </c>
      <c r="Q975" t="s">
        <v>74</v>
      </c>
      <c r="R975" t="s">
        <v>74</v>
      </c>
      <c r="S975" t="s">
        <v>74</v>
      </c>
      <c r="T975" t="s">
        <v>18833</v>
      </c>
      <c r="U975" t="s">
        <v>18834</v>
      </c>
      <c r="V975" t="s">
        <v>18835</v>
      </c>
      <c r="W975" t="s">
        <v>18836</v>
      </c>
      <c r="X975" t="s">
        <v>18837</v>
      </c>
      <c r="Y975" t="s">
        <v>18838</v>
      </c>
      <c r="Z975" t="s">
        <v>18839</v>
      </c>
      <c r="AA975" t="s">
        <v>74</v>
      </c>
      <c r="AB975" t="s">
        <v>18840</v>
      </c>
      <c r="AC975" t="s">
        <v>18841</v>
      </c>
      <c r="AD975" t="s">
        <v>18842</v>
      </c>
      <c r="AE975" t="s">
        <v>18843</v>
      </c>
      <c r="AF975" t="s">
        <v>74</v>
      </c>
      <c r="AG975">
        <v>62</v>
      </c>
      <c r="AH975">
        <v>8</v>
      </c>
      <c r="AI975">
        <v>8</v>
      </c>
      <c r="AJ975">
        <v>2</v>
      </c>
      <c r="AK975">
        <v>20</v>
      </c>
      <c r="AL975" t="s">
        <v>199</v>
      </c>
      <c r="AM975" t="s">
        <v>200</v>
      </c>
      <c r="AN975" t="s">
        <v>201</v>
      </c>
      <c r="AO975" t="s">
        <v>1167</v>
      </c>
      <c r="AP975" t="s">
        <v>1168</v>
      </c>
      <c r="AQ975" t="s">
        <v>74</v>
      </c>
      <c r="AR975" t="s">
        <v>1169</v>
      </c>
      <c r="AS975" t="s">
        <v>1170</v>
      </c>
      <c r="AT975" t="s">
        <v>11776</v>
      </c>
      <c r="AU975">
        <v>2022</v>
      </c>
      <c r="AV975">
        <v>281</v>
      </c>
      <c r="AW975" t="s">
        <v>74</v>
      </c>
      <c r="AX975" t="s">
        <v>74</v>
      </c>
      <c r="AY975" t="s">
        <v>74</v>
      </c>
      <c r="AZ975" t="s">
        <v>74</v>
      </c>
      <c r="BA975" t="s">
        <v>74</v>
      </c>
      <c r="BB975" t="s">
        <v>74</v>
      </c>
      <c r="BC975" t="s">
        <v>74</v>
      </c>
      <c r="BD975">
        <v>107416</v>
      </c>
      <c r="BE975" t="s">
        <v>18844</v>
      </c>
      <c r="BF975" t="str">
        <f>HYPERLINK("http://dx.doi.org/10.1016/j.quascirev.2022.107416","http://dx.doi.org/10.1016/j.quascirev.2022.107416")</f>
        <v>http://dx.doi.org/10.1016/j.quascirev.2022.107416</v>
      </c>
      <c r="BG975" t="s">
        <v>74</v>
      </c>
      <c r="BH975" t="s">
        <v>18249</v>
      </c>
      <c r="BI975">
        <v>12</v>
      </c>
      <c r="BJ975" t="s">
        <v>125</v>
      </c>
      <c r="BK975" t="s">
        <v>101</v>
      </c>
      <c r="BL975" t="s">
        <v>126</v>
      </c>
      <c r="BM975" t="s">
        <v>18845</v>
      </c>
      <c r="BN975" t="s">
        <v>74</v>
      </c>
      <c r="BO975" t="s">
        <v>267</v>
      </c>
      <c r="BP975" t="s">
        <v>74</v>
      </c>
      <c r="BQ975" t="s">
        <v>74</v>
      </c>
      <c r="BR975" t="s">
        <v>103</v>
      </c>
      <c r="BS975" t="s">
        <v>18846</v>
      </c>
      <c r="BT975" t="str">
        <f>HYPERLINK("https%3A%2F%2Fwww.webofscience.com%2Fwos%2Fwoscc%2Ffull-record%2FWOS:000766925500002","View Full Record in Web of Science")</f>
        <v>View Full Record in Web of Science</v>
      </c>
    </row>
    <row r="976" spans="1:72" x14ac:dyDescent="0.15">
      <c r="A976" t="s">
        <v>72</v>
      </c>
      <c r="B976" t="s">
        <v>18847</v>
      </c>
      <c r="C976" t="s">
        <v>74</v>
      </c>
      <c r="D976" t="s">
        <v>74</v>
      </c>
      <c r="E976" t="s">
        <v>74</v>
      </c>
      <c r="F976" t="s">
        <v>18848</v>
      </c>
      <c r="G976" t="s">
        <v>74</v>
      </c>
      <c r="H976" t="s">
        <v>74</v>
      </c>
      <c r="I976" t="s">
        <v>18849</v>
      </c>
      <c r="J976" t="s">
        <v>272</v>
      </c>
      <c r="K976" t="s">
        <v>74</v>
      </c>
      <c r="L976" t="s">
        <v>74</v>
      </c>
      <c r="M976" t="s">
        <v>78</v>
      </c>
      <c r="N976" t="s">
        <v>79</v>
      </c>
      <c r="O976" t="s">
        <v>74</v>
      </c>
      <c r="P976" t="s">
        <v>74</v>
      </c>
      <c r="Q976" t="s">
        <v>74</v>
      </c>
      <c r="R976" t="s">
        <v>74</v>
      </c>
      <c r="S976" t="s">
        <v>74</v>
      </c>
      <c r="T976" t="s">
        <v>18850</v>
      </c>
      <c r="U976" t="s">
        <v>18851</v>
      </c>
      <c r="V976" t="s">
        <v>18852</v>
      </c>
      <c r="W976" t="s">
        <v>18853</v>
      </c>
      <c r="X976" t="s">
        <v>18854</v>
      </c>
      <c r="Y976" t="s">
        <v>18855</v>
      </c>
      <c r="Z976" t="s">
        <v>18856</v>
      </c>
      <c r="AA976" t="s">
        <v>18857</v>
      </c>
      <c r="AB976" t="s">
        <v>18858</v>
      </c>
      <c r="AC976" t="s">
        <v>18859</v>
      </c>
      <c r="AD976" t="s">
        <v>18860</v>
      </c>
      <c r="AE976" t="s">
        <v>18861</v>
      </c>
      <c r="AF976" t="s">
        <v>74</v>
      </c>
      <c r="AG976">
        <v>88</v>
      </c>
      <c r="AH976">
        <v>3</v>
      </c>
      <c r="AI976">
        <v>4</v>
      </c>
      <c r="AJ976">
        <v>1</v>
      </c>
      <c r="AK976">
        <v>20</v>
      </c>
      <c r="AL976" t="s">
        <v>285</v>
      </c>
      <c r="AM976" t="s">
        <v>286</v>
      </c>
      <c r="AN976" t="s">
        <v>287</v>
      </c>
      <c r="AO976" t="s">
        <v>74</v>
      </c>
      <c r="AP976" t="s">
        <v>288</v>
      </c>
      <c r="AQ976" t="s">
        <v>74</v>
      </c>
      <c r="AR976" t="s">
        <v>289</v>
      </c>
      <c r="AS976" t="s">
        <v>290</v>
      </c>
      <c r="AT976" t="s">
        <v>18826</v>
      </c>
      <c r="AU976">
        <v>2022</v>
      </c>
      <c r="AV976">
        <v>13</v>
      </c>
      <c r="AW976" t="s">
        <v>74</v>
      </c>
      <c r="AX976" t="s">
        <v>74</v>
      </c>
      <c r="AY976" t="s">
        <v>74</v>
      </c>
      <c r="AZ976" t="s">
        <v>74</v>
      </c>
      <c r="BA976" t="s">
        <v>74</v>
      </c>
      <c r="BB976" t="s">
        <v>74</v>
      </c>
      <c r="BC976" t="s">
        <v>74</v>
      </c>
      <c r="BD976">
        <v>828536</v>
      </c>
      <c r="BE976" t="s">
        <v>18862</v>
      </c>
      <c r="BF976" t="str">
        <f>HYPERLINK("http://dx.doi.org/10.3389/fmicb.2022.828536","http://dx.doi.org/10.3389/fmicb.2022.828536")</f>
        <v>http://dx.doi.org/10.3389/fmicb.2022.828536</v>
      </c>
      <c r="BG976" t="s">
        <v>74</v>
      </c>
      <c r="BH976" t="s">
        <v>74</v>
      </c>
      <c r="BI976">
        <v>15</v>
      </c>
      <c r="BJ976" t="s">
        <v>293</v>
      </c>
      <c r="BK976" t="s">
        <v>101</v>
      </c>
      <c r="BL976" t="s">
        <v>293</v>
      </c>
      <c r="BM976" t="s">
        <v>18863</v>
      </c>
      <c r="BN976">
        <v>35283858</v>
      </c>
      <c r="BO976" t="s">
        <v>295</v>
      </c>
      <c r="BP976" t="s">
        <v>74</v>
      </c>
      <c r="BQ976" t="s">
        <v>74</v>
      </c>
      <c r="BR976" t="s">
        <v>103</v>
      </c>
      <c r="BS976" t="s">
        <v>18864</v>
      </c>
      <c r="BT976" t="str">
        <f>HYPERLINK("https%3A%2F%2Fwww.webofscience.com%2Fwos%2Fwoscc%2Ffull-record%2FWOS:000767662700001","View Full Record in Web of Science")</f>
        <v>View Full Record in Web of Science</v>
      </c>
    </row>
    <row r="977" spans="1:72" x14ac:dyDescent="0.15">
      <c r="A977" t="s">
        <v>72</v>
      </c>
      <c r="B977" t="s">
        <v>18865</v>
      </c>
      <c r="C977" t="s">
        <v>74</v>
      </c>
      <c r="D977" t="s">
        <v>74</v>
      </c>
      <c r="E977" t="s">
        <v>74</v>
      </c>
      <c r="F977" t="s">
        <v>18866</v>
      </c>
      <c r="G977" t="s">
        <v>74</v>
      </c>
      <c r="H977" t="s">
        <v>74</v>
      </c>
      <c r="I977" t="s">
        <v>18867</v>
      </c>
      <c r="J977" t="s">
        <v>3027</v>
      </c>
      <c r="K977" t="s">
        <v>74</v>
      </c>
      <c r="L977" t="s">
        <v>74</v>
      </c>
      <c r="M977" t="s">
        <v>78</v>
      </c>
      <c r="N977" t="s">
        <v>79</v>
      </c>
      <c r="O977" t="s">
        <v>74</v>
      </c>
      <c r="P977" t="s">
        <v>74</v>
      </c>
      <c r="Q977" t="s">
        <v>74</v>
      </c>
      <c r="R977" t="s">
        <v>74</v>
      </c>
      <c r="S977" t="s">
        <v>74</v>
      </c>
      <c r="T977" t="s">
        <v>18868</v>
      </c>
      <c r="U977" t="s">
        <v>18869</v>
      </c>
      <c r="V977" t="s">
        <v>18870</v>
      </c>
      <c r="W977" t="s">
        <v>18871</v>
      </c>
      <c r="X977" t="s">
        <v>18872</v>
      </c>
      <c r="Y977" t="s">
        <v>18873</v>
      </c>
      <c r="Z977" t="s">
        <v>18874</v>
      </c>
      <c r="AA977" t="s">
        <v>18875</v>
      </c>
      <c r="AB977" t="s">
        <v>18876</v>
      </c>
      <c r="AC977" t="s">
        <v>74</v>
      </c>
      <c r="AD977" t="s">
        <v>74</v>
      </c>
      <c r="AE977" t="s">
        <v>74</v>
      </c>
      <c r="AF977" t="s">
        <v>74</v>
      </c>
      <c r="AG977">
        <v>102</v>
      </c>
      <c r="AH977">
        <v>7</v>
      </c>
      <c r="AI977">
        <v>8</v>
      </c>
      <c r="AJ977">
        <v>17</v>
      </c>
      <c r="AK977">
        <v>68</v>
      </c>
      <c r="AL977" t="s">
        <v>285</v>
      </c>
      <c r="AM977" t="s">
        <v>286</v>
      </c>
      <c r="AN977" t="s">
        <v>287</v>
      </c>
      <c r="AO977" t="s">
        <v>74</v>
      </c>
      <c r="AP977" t="s">
        <v>3039</v>
      </c>
      <c r="AQ977" t="s">
        <v>74</v>
      </c>
      <c r="AR977" t="s">
        <v>3040</v>
      </c>
      <c r="AS977" t="s">
        <v>3041</v>
      </c>
      <c r="AT977" t="s">
        <v>18826</v>
      </c>
      <c r="AU977">
        <v>2022</v>
      </c>
      <c r="AV977">
        <v>10</v>
      </c>
      <c r="AW977" t="s">
        <v>74</v>
      </c>
      <c r="AX977" t="s">
        <v>74</v>
      </c>
      <c r="AY977" t="s">
        <v>74</v>
      </c>
      <c r="AZ977" t="s">
        <v>74</v>
      </c>
      <c r="BA977" t="s">
        <v>74</v>
      </c>
      <c r="BB977" t="s">
        <v>74</v>
      </c>
      <c r="BC977" t="s">
        <v>74</v>
      </c>
      <c r="BD977">
        <v>824404</v>
      </c>
      <c r="BE977" t="s">
        <v>18877</v>
      </c>
      <c r="BF977" t="str">
        <f>HYPERLINK("http://dx.doi.org/10.3389/feart.2022.824404","http://dx.doi.org/10.3389/feart.2022.824404")</f>
        <v>http://dx.doi.org/10.3389/feart.2022.824404</v>
      </c>
      <c r="BG977" t="s">
        <v>74</v>
      </c>
      <c r="BH977" t="s">
        <v>74</v>
      </c>
      <c r="BI977">
        <v>12</v>
      </c>
      <c r="BJ977" t="s">
        <v>265</v>
      </c>
      <c r="BK977" t="s">
        <v>101</v>
      </c>
      <c r="BL977" t="s">
        <v>100</v>
      </c>
      <c r="BM977" t="s">
        <v>18878</v>
      </c>
      <c r="BN977" t="s">
        <v>74</v>
      </c>
      <c r="BO977" t="s">
        <v>295</v>
      </c>
      <c r="BP977" t="s">
        <v>74</v>
      </c>
      <c r="BQ977" t="s">
        <v>74</v>
      </c>
      <c r="BR977" t="s">
        <v>103</v>
      </c>
      <c r="BS977" t="s">
        <v>18879</v>
      </c>
      <c r="BT977" t="str">
        <f>HYPERLINK("https%3A%2F%2Fwww.webofscience.com%2Fwos%2Fwoscc%2Ffull-record%2FWOS:000766884000001","View Full Record in Web of Science")</f>
        <v>View Full Record in Web of Science</v>
      </c>
    </row>
    <row r="978" spans="1:72" x14ac:dyDescent="0.15">
      <c r="A978" t="s">
        <v>72</v>
      </c>
      <c r="B978" t="s">
        <v>18880</v>
      </c>
      <c r="C978" t="s">
        <v>74</v>
      </c>
      <c r="D978" t="s">
        <v>74</v>
      </c>
      <c r="E978" t="s">
        <v>74</v>
      </c>
      <c r="F978" t="s">
        <v>18881</v>
      </c>
      <c r="G978" t="s">
        <v>74</v>
      </c>
      <c r="H978" t="s">
        <v>74</v>
      </c>
      <c r="I978" t="s">
        <v>18882</v>
      </c>
      <c r="J978" t="s">
        <v>3027</v>
      </c>
      <c r="K978" t="s">
        <v>74</v>
      </c>
      <c r="L978" t="s">
        <v>74</v>
      </c>
      <c r="M978" t="s">
        <v>78</v>
      </c>
      <c r="N978" t="s">
        <v>79</v>
      </c>
      <c r="O978" t="s">
        <v>74</v>
      </c>
      <c r="P978" t="s">
        <v>74</v>
      </c>
      <c r="Q978" t="s">
        <v>74</v>
      </c>
      <c r="R978" t="s">
        <v>74</v>
      </c>
      <c r="S978" t="s">
        <v>74</v>
      </c>
      <c r="T978" t="s">
        <v>18883</v>
      </c>
      <c r="U978" t="s">
        <v>18884</v>
      </c>
      <c r="V978" t="s">
        <v>18885</v>
      </c>
      <c r="W978" t="s">
        <v>18886</v>
      </c>
      <c r="X978" t="s">
        <v>18887</v>
      </c>
      <c r="Y978" t="s">
        <v>18888</v>
      </c>
      <c r="Z978" t="s">
        <v>18889</v>
      </c>
      <c r="AA978" t="s">
        <v>18890</v>
      </c>
      <c r="AB978" t="s">
        <v>18891</v>
      </c>
      <c r="AC978" t="s">
        <v>74</v>
      </c>
      <c r="AD978" t="s">
        <v>74</v>
      </c>
      <c r="AE978" t="s">
        <v>74</v>
      </c>
      <c r="AF978" t="s">
        <v>74</v>
      </c>
      <c r="AG978">
        <v>79</v>
      </c>
      <c r="AH978">
        <v>5</v>
      </c>
      <c r="AI978">
        <v>5</v>
      </c>
      <c r="AJ978">
        <v>4</v>
      </c>
      <c r="AK978">
        <v>17</v>
      </c>
      <c r="AL978" t="s">
        <v>285</v>
      </c>
      <c r="AM978" t="s">
        <v>286</v>
      </c>
      <c r="AN978" t="s">
        <v>287</v>
      </c>
      <c r="AO978" t="s">
        <v>74</v>
      </c>
      <c r="AP978" t="s">
        <v>3039</v>
      </c>
      <c r="AQ978" t="s">
        <v>74</v>
      </c>
      <c r="AR978" t="s">
        <v>3040</v>
      </c>
      <c r="AS978" t="s">
        <v>3041</v>
      </c>
      <c r="AT978" t="s">
        <v>18826</v>
      </c>
      <c r="AU978">
        <v>2022</v>
      </c>
      <c r="AV978">
        <v>9</v>
      </c>
      <c r="AW978" t="s">
        <v>74</v>
      </c>
      <c r="AX978" t="s">
        <v>74</v>
      </c>
      <c r="AY978" t="s">
        <v>74</v>
      </c>
      <c r="AZ978" t="s">
        <v>74</v>
      </c>
      <c r="BA978" t="s">
        <v>74</v>
      </c>
      <c r="BB978" t="s">
        <v>74</v>
      </c>
      <c r="BC978" t="s">
        <v>74</v>
      </c>
      <c r="BD978">
        <v>643737</v>
      </c>
      <c r="BE978" t="s">
        <v>18892</v>
      </c>
      <c r="BF978" t="str">
        <f>HYPERLINK("http://dx.doi.org/10.3389/feart.2021.643737","http://dx.doi.org/10.3389/feart.2021.643737")</f>
        <v>http://dx.doi.org/10.3389/feart.2021.643737</v>
      </c>
      <c r="BG978" t="s">
        <v>74</v>
      </c>
      <c r="BH978" t="s">
        <v>74</v>
      </c>
      <c r="BI978">
        <v>19</v>
      </c>
      <c r="BJ978" t="s">
        <v>265</v>
      </c>
      <c r="BK978" t="s">
        <v>101</v>
      </c>
      <c r="BL978" t="s">
        <v>100</v>
      </c>
      <c r="BM978" t="s">
        <v>18893</v>
      </c>
      <c r="BN978" t="s">
        <v>74</v>
      </c>
      <c r="BO978" t="s">
        <v>5588</v>
      </c>
      <c r="BP978" t="s">
        <v>74</v>
      </c>
      <c r="BQ978" t="s">
        <v>74</v>
      </c>
      <c r="BR978" t="s">
        <v>103</v>
      </c>
      <c r="BS978" t="s">
        <v>18894</v>
      </c>
      <c r="BT978" t="str">
        <f>HYPERLINK("https%3A%2F%2Fwww.webofscience.com%2Fwos%2Fwoscc%2Ffull-record%2FWOS:000766619700001","View Full Record in Web of Science")</f>
        <v>View Full Record in Web of Science</v>
      </c>
    </row>
    <row r="979" spans="1:72" x14ac:dyDescent="0.15">
      <c r="A979" t="s">
        <v>72</v>
      </c>
      <c r="B979" t="s">
        <v>18895</v>
      </c>
      <c r="C979" t="s">
        <v>74</v>
      </c>
      <c r="D979" t="s">
        <v>74</v>
      </c>
      <c r="E979" t="s">
        <v>74</v>
      </c>
      <c r="F979" t="s">
        <v>18896</v>
      </c>
      <c r="G979" t="s">
        <v>74</v>
      </c>
      <c r="H979" t="s">
        <v>74</v>
      </c>
      <c r="I979" t="s">
        <v>18897</v>
      </c>
      <c r="J979" t="s">
        <v>18898</v>
      </c>
      <c r="K979" t="s">
        <v>74</v>
      </c>
      <c r="L979" t="s">
        <v>74</v>
      </c>
      <c r="M979" t="s">
        <v>78</v>
      </c>
      <c r="N979" t="s">
        <v>79</v>
      </c>
      <c r="O979" t="s">
        <v>74</v>
      </c>
      <c r="P979" t="s">
        <v>74</v>
      </c>
      <c r="Q979" t="s">
        <v>74</v>
      </c>
      <c r="R979" t="s">
        <v>74</v>
      </c>
      <c r="S979" t="s">
        <v>74</v>
      </c>
      <c r="T979" t="s">
        <v>18899</v>
      </c>
      <c r="U979" t="s">
        <v>74</v>
      </c>
      <c r="V979" t="s">
        <v>18900</v>
      </c>
      <c r="W979" t="s">
        <v>18901</v>
      </c>
      <c r="X979" t="s">
        <v>18902</v>
      </c>
      <c r="Y979" t="s">
        <v>18903</v>
      </c>
      <c r="Z979" t="s">
        <v>18904</v>
      </c>
      <c r="AA979" t="s">
        <v>18905</v>
      </c>
      <c r="AB979" t="s">
        <v>18906</v>
      </c>
      <c r="AC979" t="s">
        <v>18907</v>
      </c>
      <c r="AD979" t="s">
        <v>18908</v>
      </c>
      <c r="AE979" t="s">
        <v>18909</v>
      </c>
      <c r="AF979" t="s">
        <v>74</v>
      </c>
      <c r="AG979">
        <v>26</v>
      </c>
      <c r="AH979">
        <v>10</v>
      </c>
      <c r="AI979">
        <v>10</v>
      </c>
      <c r="AJ979">
        <v>1</v>
      </c>
      <c r="AK979">
        <v>6</v>
      </c>
      <c r="AL979" t="s">
        <v>400</v>
      </c>
      <c r="AM979" t="s">
        <v>401</v>
      </c>
      <c r="AN979" t="s">
        <v>402</v>
      </c>
      <c r="AO979" t="s">
        <v>18910</v>
      </c>
      <c r="AP979" t="s">
        <v>18911</v>
      </c>
      <c r="AQ979" t="s">
        <v>74</v>
      </c>
      <c r="AR979" t="s">
        <v>18912</v>
      </c>
      <c r="AS979" t="s">
        <v>18913</v>
      </c>
      <c r="AT979" t="s">
        <v>6497</v>
      </c>
      <c r="AU979">
        <v>2022</v>
      </c>
      <c r="AV979">
        <v>21</v>
      </c>
      <c r="AW979">
        <v>3</v>
      </c>
      <c r="AX979" t="s">
        <v>74</v>
      </c>
      <c r="AY979" t="s">
        <v>74</v>
      </c>
      <c r="AZ979" t="s">
        <v>74</v>
      </c>
      <c r="BA979" t="s">
        <v>74</v>
      </c>
      <c r="BB979">
        <v>373</v>
      </c>
      <c r="BC979">
        <v>384</v>
      </c>
      <c r="BD979" t="s">
        <v>74</v>
      </c>
      <c r="BE979" t="s">
        <v>18914</v>
      </c>
      <c r="BF979" t="str">
        <f>HYPERLINK("http://dx.doi.org/10.1007/s43630-022-00178-3","http://dx.doi.org/10.1007/s43630-022-00178-3")</f>
        <v>http://dx.doi.org/10.1007/s43630-022-00178-3</v>
      </c>
      <c r="BG979" t="s">
        <v>74</v>
      </c>
      <c r="BH979" t="s">
        <v>18249</v>
      </c>
      <c r="BI979">
        <v>12</v>
      </c>
      <c r="BJ979" t="s">
        <v>18915</v>
      </c>
      <c r="BK979" t="s">
        <v>101</v>
      </c>
      <c r="BL979" t="s">
        <v>18916</v>
      </c>
      <c r="BM979" t="s">
        <v>18917</v>
      </c>
      <c r="BN979">
        <v>35195892</v>
      </c>
      <c r="BO979" t="s">
        <v>643</v>
      </c>
      <c r="BP979" t="s">
        <v>74</v>
      </c>
      <c r="BQ979" t="s">
        <v>74</v>
      </c>
      <c r="BR979" t="s">
        <v>103</v>
      </c>
      <c r="BS979" t="s">
        <v>18918</v>
      </c>
      <c r="BT979" t="str">
        <f>HYPERLINK("https%3A%2F%2Fwww.webofscience.com%2Fwos%2Fwoscc%2Ffull-record%2FWOS:000760051000004","View Full Record in Web of Science")</f>
        <v>View Full Record in Web of Science</v>
      </c>
    </row>
    <row r="980" spans="1:72" x14ac:dyDescent="0.15">
      <c r="A980" t="s">
        <v>72</v>
      </c>
      <c r="B980" t="s">
        <v>18919</v>
      </c>
      <c r="C980" t="s">
        <v>74</v>
      </c>
      <c r="D980" t="s">
        <v>74</v>
      </c>
      <c r="E980" t="s">
        <v>74</v>
      </c>
      <c r="F980" t="s">
        <v>18920</v>
      </c>
      <c r="G980" t="s">
        <v>74</v>
      </c>
      <c r="H980" t="s">
        <v>74</v>
      </c>
      <c r="I980" t="s">
        <v>18921</v>
      </c>
      <c r="J980" t="s">
        <v>570</v>
      </c>
      <c r="K980" t="s">
        <v>74</v>
      </c>
      <c r="L980" t="s">
        <v>74</v>
      </c>
      <c r="M980" t="s">
        <v>78</v>
      </c>
      <c r="N980" t="s">
        <v>79</v>
      </c>
      <c r="O980" t="s">
        <v>74</v>
      </c>
      <c r="P980" t="s">
        <v>74</v>
      </c>
      <c r="Q980" t="s">
        <v>74</v>
      </c>
      <c r="R980" t="s">
        <v>74</v>
      </c>
      <c r="S980" t="s">
        <v>74</v>
      </c>
      <c r="T980" t="s">
        <v>18922</v>
      </c>
      <c r="U980" t="s">
        <v>18923</v>
      </c>
      <c r="V980" t="s">
        <v>18924</v>
      </c>
      <c r="W980" t="s">
        <v>18925</v>
      </c>
      <c r="X980" t="s">
        <v>18926</v>
      </c>
      <c r="Y980" t="s">
        <v>18927</v>
      </c>
      <c r="Z980" t="s">
        <v>18928</v>
      </c>
      <c r="AA980" t="s">
        <v>18929</v>
      </c>
      <c r="AB980" t="s">
        <v>18930</v>
      </c>
      <c r="AC980" t="s">
        <v>18931</v>
      </c>
      <c r="AD980" t="s">
        <v>2881</v>
      </c>
      <c r="AE980" t="s">
        <v>18932</v>
      </c>
      <c r="AF980" t="s">
        <v>74</v>
      </c>
      <c r="AG980">
        <v>23</v>
      </c>
      <c r="AH980">
        <v>4</v>
      </c>
      <c r="AI980">
        <v>5</v>
      </c>
      <c r="AJ980">
        <v>0</v>
      </c>
      <c r="AK980">
        <v>13</v>
      </c>
      <c r="AL980" t="s">
        <v>580</v>
      </c>
      <c r="AM980" t="s">
        <v>401</v>
      </c>
      <c r="AN980" t="s">
        <v>581</v>
      </c>
      <c r="AO980" t="s">
        <v>582</v>
      </c>
      <c r="AP980" t="s">
        <v>583</v>
      </c>
      <c r="AQ980" t="s">
        <v>74</v>
      </c>
      <c r="AR980" t="s">
        <v>584</v>
      </c>
      <c r="AS980" t="s">
        <v>585</v>
      </c>
      <c r="AT980" t="s">
        <v>18826</v>
      </c>
      <c r="AU980">
        <v>2022</v>
      </c>
      <c r="AV980">
        <v>289</v>
      </c>
      <c r="AW980">
        <v>1969</v>
      </c>
      <c r="AX980" t="s">
        <v>74</v>
      </c>
      <c r="AY980" t="s">
        <v>74</v>
      </c>
      <c r="AZ980" t="s">
        <v>74</v>
      </c>
      <c r="BA980" t="s">
        <v>74</v>
      </c>
      <c r="BB980" t="s">
        <v>74</v>
      </c>
      <c r="BC980" t="s">
        <v>74</v>
      </c>
      <c r="BD980">
        <v>20212361</v>
      </c>
      <c r="BE980" t="s">
        <v>18933</v>
      </c>
      <c r="BF980" t="str">
        <f>HYPERLINK("http://dx.doi.org/10.1098/rspb.2021.2361","http://dx.doi.org/10.1098/rspb.2021.2361")</f>
        <v>http://dx.doi.org/10.1098/rspb.2021.2361</v>
      </c>
      <c r="BG980" t="s">
        <v>74</v>
      </c>
      <c r="BH980" t="s">
        <v>74</v>
      </c>
      <c r="BI980">
        <v>8</v>
      </c>
      <c r="BJ980" t="s">
        <v>587</v>
      </c>
      <c r="BK980" t="s">
        <v>101</v>
      </c>
      <c r="BL980" t="s">
        <v>588</v>
      </c>
      <c r="BM980" t="s">
        <v>18934</v>
      </c>
      <c r="BN980">
        <v>35193400</v>
      </c>
      <c r="BO980" t="s">
        <v>155</v>
      </c>
      <c r="BP980" t="s">
        <v>74</v>
      </c>
      <c r="BQ980" t="s">
        <v>74</v>
      </c>
      <c r="BR980" t="s">
        <v>103</v>
      </c>
      <c r="BS980" t="s">
        <v>18935</v>
      </c>
      <c r="BT980" t="str">
        <f>HYPERLINK("https%3A%2F%2Fwww.webofscience.com%2Fwos%2Fwoscc%2Ffull-record%2FWOS:000759381700004","View Full Record in Web of Science")</f>
        <v>View Full Record in Web of Science</v>
      </c>
    </row>
    <row r="981" spans="1:72" x14ac:dyDescent="0.15">
      <c r="A981" t="s">
        <v>72</v>
      </c>
      <c r="B981" t="s">
        <v>18936</v>
      </c>
      <c r="C981" t="s">
        <v>74</v>
      </c>
      <c r="D981" t="s">
        <v>74</v>
      </c>
      <c r="E981" t="s">
        <v>74</v>
      </c>
      <c r="F981" t="s">
        <v>18937</v>
      </c>
      <c r="G981" t="s">
        <v>74</v>
      </c>
      <c r="H981" t="s">
        <v>74</v>
      </c>
      <c r="I981" t="s">
        <v>18938</v>
      </c>
      <c r="J981" t="s">
        <v>18939</v>
      </c>
      <c r="K981" t="s">
        <v>74</v>
      </c>
      <c r="L981" t="s">
        <v>74</v>
      </c>
      <c r="M981" t="s">
        <v>78</v>
      </c>
      <c r="N981" t="s">
        <v>79</v>
      </c>
      <c r="O981" t="s">
        <v>74</v>
      </c>
      <c r="P981" t="s">
        <v>74</v>
      </c>
      <c r="Q981" t="s">
        <v>74</v>
      </c>
      <c r="R981" t="s">
        <v>74</v>
      </c>
      <c r="S981" t="s">
        <v>74</v>
      </c>
      <c r="T981" t="s">
        <v>18940</v>
      </c>
      <c r="U981" t="s">
        <v>18941</v>
      </c>
      <c r="V981" t="s">
        <v>18942</v>
      </c>
      <c r="W981" t="s">
        <v>18943</v>
      </c>
      <c r="X981" t="s">
        <v>18944</v>
      </c>
      <c r="Y981" t="s">
        <v>18945</v>
      </c>
      <c r="Z981" t="s">
        <v>18946</v>
      </c>
      <c r="AA981" t="s">
        <v>74</v>
      </c>
      <c r="AB981" t="s">
        <v>18947</v>
      </c>
      <c r="AC981" t="s">
        <v>18948</v>
      </c>
      <c r="AD981" t="s">
        <v>18949</v>
      </c>
      <c r="AE981" t="s">
        <v>18950</v>
      </c>
      <c r="AF981" t="s">
        <v>74</v>
      </c>
      <c r="AG981">
        <v>116</v>
      </c>
      <c r="AH981">
        <v>2</v>
      </c>
      <c r="AI981">
        <v>2</v>
      </c>
      <c r="AJ981">
        <v>1</v>
      </c>
      <c r="AK981">
        <v>6</v>
      </c>
      <c r="AL981" t="s">
        <v>18951</v>
      </c>
      <c r="AM981" t="s">
        <v>456</v>
      </c>
      <c r="AN981" t="s">
        <v>18952</v>
      </c>
      <c r="AO981" t="s">
        <v>18953</v>
      </c>
      <c r="AP981" t="s">
        <v>18954</v>
      </c>
      <c r="AQ981" t="s">
        <v>74</v>
      </c>
      <c r="AR981" t="s">
        <v>18955</v>
      </c>
      <c r="AS981" t="s">
        <v>18956</v>
      </c>
      <c r="AT981" t="s">
        <v>8666</v>
      </c>
      <c r="AU981">
        <v>2022</v>
      </c>
      <c r="AV981">
        <v>65</v>
      </c>
      <c r="AW981">
        <v>2</v>
      </c>
      <c r="AX981" t="s">
        <v>74</v>
      </c>
      <c r="AY981" t="s">
        <v>74</v>
      </c>
      <c r="AZ981" t="s">
        <v>74</v>
      </c>
      <c r="BA981" t="s">
        <v>74</v>
      </c>
      <c r="BB981">
        <v>81</v>
      </c>
      <c r="BC981">
        <v>103</v>
      </c>
      <c r="BD981" t="s">
        <v>74</v>
      </c>
      <c r="BE981" t="s">
        <v>18957</v>
      </c>
      <c r="BF981" t="str">
        <f>HYPERLINK("http://dx.doi.org/10.1515/bot-2021-0066","http://dx.doi.org/10.1515/bot-2021-0066")</f>
        <v>http://dx.doi.org/10.1515/bot-2021-0066</v>
      </c>
      <c r="BG981" t="s">
        <v>74</v>
      </c>
      <c r="BH981" t="s">
        <v>18249</v>
      </c>
      <c r="BI981">
        <v>23</v>
      </c>
      <c r="BJ981" t="s">
        <v>1624</v>
      </c>
      <c r="BK981" t="s">
        <v>101</v>
      </c>
      <c r="BL981" t="s">
        <v>1624</v>
      </c>
      <c r="BM981" t="s">
        <v>18958</v>
      </c>
      <c r="BN981" t="s">
        <v>74</v>
      </c>
      <c r="BO981" t="s">
        <v>267</v>
      </c>
      <c r="BP981" t="s">
        <v>74</v>
      </c>
      <c r="BQ981" t="s">
        <v>74</v>
      </c>
      <c r="BR981" t="s">
        <v>103</v>
      </c>
      <c r="BS981" t="s">
        <v>18959</v>
      </c>
      <c r="BT981" t="str">
        <f>HYPERLINK("https%3A%2F%2Fwww.webofscience.com%2Fwos%2Fwoscc%2Ffull-record%2FWOS:000760976100001","View Full Record in Web of Science")</f>
        <v>View Full Record in Web of Science</v>
      </c>
    </row>
    <row r="982" spans="1:72" x14ac:dyDescent="0.15">
      <c r="A982" t="s">
        <v>72</v>
      </c>
      <c r="B982" t="s">
        <v>18960</v>
      </c>
      <c r="C982" t="s">
        <v>74</v>
      </c>
      <c r="D982" t="s">
        <v>74</v>
      </c>
      <c r="E982" t="s">
        <v>74</v>
      </c>
      <c r="F982" t="s">
        <v>18961</v>
      </c>
      <c r="G982" t="s">
        <v>74</v>
      </c>
      <c r="H982" t="s">
        <v>74</v>
      </c>
      <c r="I982" t="s">
        <v>18962</v>
      </c>
      <c r="J982" t="s">
        <v>11399</v>
      </c>
      <c r="K982" t="s">
        <v>74</v>
      </c>
      <c r="L982" t="s">
        <v>74</v>
      </c>
      <c r="M982" t="s">
        <v>78</v>
      </c>
      <c r="N982" t="s">
        <v>79</v>
      </c>
      <c r="O982" t="s">
        <v>74</v>
      </c>
      <c r="P982" t="s">
        <v>74</v>
      </c>
      <c r="Q982" t="s">
        <v>74</v>
      </c>
      <c r="R982" t="s">
        <v>74</v>
      </c>
      <c r="S982" t="s">
        <v>74</v>
      </c>
      <c r="T982" t="s">
        <v>74</v>
      </c>
      <c r="U982" t="s">
        <v>18963</v>
      </c>
      <c r="V982" t="s">
        <v>18964</v>
      </c>
      <c r="W982" t="s">
        <v>18965</v>
      </c>
      <c r="X982" t="s">
        <v>18966</v>
      </c>
      <c r="Y982" t="s">
        <v>18967</v>
      </c>
      <c r="Z982" t="s">
        <v>18968</v>
      </c>
      <c r="AA982" t="s">
        <v>18969</v>
      </c>
      <c r="AB982" t="s">
        <v>18970</v>
      </c>
      <c r="AC982" t="s">
        <v>18971</v>
      </c>
      <c r="AD982" t="s">
        <v>18972</v>
      </c>
      <c r="AE982" t="s">
        <v>18973</v>
      </c>
      <c r="AF982" t="s">
        <v>74</v>
      </c>
      <c r="AG982">
        <v>53</v>
      </c>
      <c r="AH982">
        <v>0</v>
      </c>
      <c r="AI982">
        <v>0</v>
      </c>
      <c r="AJ982">
        <v>1</v>
      </c>
      <c r="AK982">
        <v>9</v>
      </c>
      <c r="AL982" t="s">
        <v>11410</v>
      </c>
      <c r="AM982" t="s">
        <v>18974</v>
      </c>
      <c r="AN982" t="s">
        <v>18975</v>
      </c>
      <c r="AO982" t="s">
        <v>11413</v>
      </c>
      <c r="AP982" t="s">
        <v>11414</v>
      </c>
      <c r="AQ982" t="s">
        <v>74</v>
      </c>
      <c r="AR982" t="s">
        <v>11415</v>
      </c>
      <c r="AS982" t="s">
        <v>11416</v>
      </c>
      <c r="AT982" t="s">
        <v>5076</v>
      </c>
      <c r="AU982">
        <v>2022</v>
      </c>
      <c r="AV982">
        <v>148</v>
      </c>
      <c r="AW982" t="s">
        <v>2187</v>
      </c>
      <c r="AX982" t="s">
        <v>74</v>
      </c>
      <c r="AY982" t="s">
        <v>74</v>
      </c>
      <c r="AZ982" t="s">
        <v>74</v>
      </c>
      <c r="BA982" t="s">
        <v>74</v>
      </c>
      <c r="BB982">
        <v>967</v>
      </c>
      <c r="BC982">
        <v>983</v>
      </c>
      <c r="BD982" t="s">
        <v>74</v>
      </c>
      <c r="BE982" t="s">
        <v>18976</v>
      </c>
      <c r="BF982" t="str">
        <f>HYPERLINK("http://dx.doi.org/10.1007/s00704-021-03912-6","http://dx.doi.org/10.1007/s00704-021-03912-6")</f>
        <v>http://dx.doi.org/10.1007/s00704-021-03912-6</v>
      </c>
      <c r="BG982" t="s">
        <v>74</v>
      </c>
      <c r="BH982" t="s">
        <v>18249</v>
      </c>
      <c r="BI982">
        <v>17</v>
      </c>
      <c r="BJ982" t="s">
        <v>510</v>
      </c>
      <c r="BK982" t="s">
        <v>101</v>
      </c>
      <c r="BL982" t="s">
        <v>510</v>
      </c>
      <c r="BM982" t="s">
        <v>18977</v>
      </c>
      <c r="BN982" t="s">
        <v>74</v>
      </c>
      <c r="BO982" t="s">
        <v>643</v>
      </c>
      <c r="BP982" t="s">
        <v>74</v>
      </c>
      <c r="BQ982" t="s">
        <v>74</v>
      </c>
      <c r="BR982" t="s">
        <v>103</v>
      </c>
      <c r="BS982" t="s">
        <v>18978</v>
      </c>
      <c r="BT982" t="str">
        <f>HYPERLINK("https%3A%2F%2Fwww.webofscience.com%2Fwos%2Fwoscc%2Ffull-record%2FWOS:000760049900001","View Full Record in Web of Science")</f>
        <v>View Full Record in Web of Science</v>
      </c>
    </row>
    <row r="983" spans="1:72" x14ac:dyDescent="0.15">
      <c r="A983" t="s">
        <v>72</v>
      </c>
      <c r="B983" t="s">
        <v>18979</v>
      </c>
      <c r="C983" t="s">
        <v>74</v>
      </c>
      <c r="D983" t="s">
        <v>74</v>
      </c>
      <c r="E983" t="s">
        <v>74</v>
      </c>
      <c r="F983" t="s">
        <v>18980</v>
      </c>
      <c r="G983" t="s">
        <v>74</v>
      </c>
      <c r="H983" t="s">
        <v>74</v>
      </c>
      <c r="I983" t="s">
        <v>18981</v>
      </c>
      <c r="J983" t="s">
        <v>415</v>
      </c>
      <c r="K983" t="s">
        <v>74</v>
      </c>
      <c r="L983" t="s">
        <v>74</v>
      </c>
      <c r="M983" t="s">
        <v>78</v>
      </c>
      <c r="N983" t="s">
        <v>79</v>
      </c>
      <c r="O983" t="s">
        <v>74</v>
      </c>
      <c r="P983" t="s">
        <v>74</v>
      </c>
      <c r="Q983" t="s">
        <v>74</v>
      </c>
      <c r="R983" t="s">
        <v>74</v>
      </c>
      <c r="S983" t="s">
        <v>74</v>
      </c>
      <c r="T983" t="s">
        <v>18982</v>
      </c>
      <c r="U983" t="s">
        <v>18983</v>
      </c>
      <c r="V983" t="s">
        <v>18984</v>
      </c>
      <c r="W983" t="s">
        <v>18985</v>
      </c>
      <c r="X983" t="s">
        <v>18986</v>
      </c>
      <c r="Y983" t="s">
        <v>18987</v>
      </c>
      <c r="Z983" t="s">
        <v>18988</v>
      </c>
      <c r="AA983" t="s">
        <v>74</v>
      </c>
      <c r="AB983" t="s">
        <v>18989</v>
      </c>
      <c r="AC983" t="s">
        <v>74</v>
      </c>
      <c r="AD983" t="s">
        <v>74</v>
      </c>
      <c r="AE983" t="s">
        <v>74</v>
      </c>
      <c r="AF983" t="s">
        <v>74</v>
      </c>
      <c r="AG983">
        <v>80</v>
      </c>
      <c r="AH983">
        <v>1</v>
      </c>
      <c r="AI983">
        <v>1</v>
      </c>
      <c r="AJ983">
        <v>1</v>
      </c>
      <c r="AK983">
        <v>10</v>
      </c>
      <c r="AL983" t="s">
        <v>428</v>
      </c>
      <c r="AM983" t="s">
        <v>174</v>
      </c>
      <c r="AN983" t="s">
        <v>429</v>
      </c>
      <c r="AO983" t="s">
        <v>430</v>
      </c>
      <c r="AP983" t="s">
        <v>431</v>
      </c>
      <c r="AQ983" t="s">
        <v>74</v>
      </c>
      <c r="AR983" t="s">
        <v>432</v>
      </c>
      <c r="AS983" t="s">
        <v>433</v>
      </c>
      <c r="AT983" t="s">
        <v>484</v>
      </c>
      <c r="AU983">
        <v>2022</v>
      </c>
      <c r="AV983">
        <v>68</v>
      </c>
      <c r="AW983">
        <v>271</v>
      </c>
      <c r="AX983" t="s">
        <v>74</v>
      </c>
      <c r="AY983" t="s">
        <v>74</v>
      </c>
      <c r="AZ983" t="s">
        <v>74</v>
      </c>
      <c r="BA983" t="s">
        <v>74</v>
      </c>
      <c r="BB983">
        <v>927</v>
      </c>
      <c r="BC983">
        <v>945</v>
      </c>
      <c r="BD983" t="s">
        <v>18990</v>
      </c>
      <c r="BE983" t="s">
        <v>18991</v>
      </c>
      <c r="BF983" t="str">
        <f>HYPERLINK("http://dx.doi.org/10.1017/jog.2022.7","http://dx.doi.org/10.1017/jog.2022.7")</f>
        <v>http://dx.doi.org/10.1017/jog.2022.7</v>
      </c>
      <c r="BG983" t="s">
        <v>74</v>
      </c>
      <c r="BH983" t="s">
        <v>18249</v>
      </c>
      <c r="BI983">
        <v>19</v>
      </c>
      <c r="BJ983" t="s">
        <v>125</v>
      </c>
      <c r="BK983" t="s">
        <v>101</v>
      </c>
      <c r="BL983" t="s">
        <v>126</v>
      </c>
      <c r="BM983" t="s">
        <v>10808</v>
      </c>
      <c r="BN983" t="s">
        <v>74</v>
      </c>
      <c r="BO983" t="s">
        <v>3298</v>
      </c>
      <c r="BP983" t="s">
        <v>74</v>
      </c>
      <c r="BQ983" t="s">
        <v>74</v>
      </c>
      <c r="BR983" t="s">
        <v>103</v>
      </c>
      <c r="BS983" t="s">
        <v>18992</v>
      </c>
      <c r="BT983" t="str">
        <f>HYPERLINK("https%3A%2F%2Fwww.webofscience.com%2Fwos%2Fwoscc%2Ffull-record%2FWOS:000759962500001","View Full Record in Web of Science")</f>
        <v>View Full Record in Web of Science</v>
      </c>
    </row>
    <row r="984" spans="1:72" x14ac:dyDescent="0.15">
      <c r="A984" t="s">
        <v>72</v>
      </c>
      <c r="B984" t="s">
        <v>18993</v>
      </c>
      <c r="C984" t="s">
        <v>74</v>
      </c>
      <c r="D984" t="s">
        <v>74</v>
      </c>
      <c r="E984" t="s">
        <v>74</v>
      </c>
      <c r="F984" t="s">
        <v>18994</v>
      </c>
      <c r="G984" t="s">
        <v>74</v>
      </c>
      <c r="H984" t="s">
        <v>74</v>
      </c>
      <c r="I984" t="s">
        <v>18995</v>
      </c>
      <c r="J984" t="s">
        <v>2999</v>
      </c>
      <c r="K984" t="s">
        <v>74</v>
      </c>
      <c r="L984" t="s">
        <v>74</v>
      </c>
      <c r="M984" t="s">
        <v>78</v>
      </c>
      <c r="N984" t="s">
        <v>79</v>
      </c>
      <c r="O984" t="s">
        <v>74</v>
      </c>
      <c r="P984" t="s">
        <v>74</v>
      </c>
      <c r="Q984" t="s">
        <v>74</v>
      </c>
      <c r="R984" t="s">
        <v>74</v>
      </c>
      <c r="S984" t="s">
        <v>74</v>
      </c>
      <c r="T984" t="s">
        <v>18996</v>
      </c>
      <c r="U984" t="s">
        <v>18997</v>
      </c>
      <c r="V984" t="s">
        <v>18998</v>
      </c>
      <c r="W984" t="s">
        <v>18999</v>
      </c>
      <c r="X984" t="s">
        <v>19000</v>
      </c>
      <c r="Y984" t="s">
        <v>19001</v>
      </c>
      <c r="Z984" t="s">
        <v>19002</v>
      </c>
      <c r="AA984" t="s">
        <v>19003</v>
      </c>
      <c r="AB984" t="s">
        <v>19004</v>
      </c>
      <c r="AC984" t="s">
        <v>19005</v>
      </c>
      <c r="AD984" t="s">
        <v>19006</v>
      </c>
      <c r="AE984" t="s">
        <v>19007</v>
      </c>
      <c r="AF984" t="s">
        <v>74</v>
      </c>
      <c r="AG984">
        <v>61</v>
      </c>
      <c r="AH984">
        <v>16</v>
      </c>
      <c r="AI984">
        <v>17</v>
      </c>
      <c r="AJ984">
        <v>14</v>
      </c>
      <c r="AK984">
        <v>40</v>
      </c>
      <c r="AL984" t="s">
        <v>3012</v>
      </c>
      <c r="AM984" t="s">
        <v>2043</v>
      </c>
      <c r="AN984" t="s">
        <v>3013</v>
      </c>
      <c r="AO984" t="s">
        <v>3014</v>
      </c>
      <c r="AP984" t="s">
        <v>3015</v>
      </c>
      <c r="AQ984" t="s">
        <v>74</v>
      </c>
      <c r="AR984" t="s">
        <v>3016</v>
      </c>
      <c r="AS984" t="s">
        <v>3017</v>
      </c>
      <c r="AT984" t="s">
        <v>19008</v>
      </c>
      <c r="AU984">
        <v>2022</v>
      </c>
      <c r="AV984">
        <v>119</v>
      </c>
      <c r="AW984">
        <v>8</v>
      </c>
      <c r="AX984" t="s">
        <v>74</v>
      </c>
      <c r="AY984" t="s">
        <v>74</v>
      </c>
      <c r="AZ984" t="s">
        <v>74</v>
      </c>
      <c r="BA984" t="s">
        <v>74</v>
      </c>
      <c r="BB984" t="s">
        <v>74</v>
      </c>
      <c r="BC984" t="s">
        <v>74</v>
      </c>
      <c r="BD984" t="s">
        <v>19009</v>
      </c>
      <c r="BE984" t="s">
        <v>19010</v>
      </c>
      <c r="BF984" t="str">
        <f>HYPERLINK("http://dx.doi.org/10.1073/pnas.2108038119","http://dx.doi.org/10.1073/pnas.2108038119")</f>
        <v>http://dx.doi.org/10.1073/pnas.2108038119</v>
      </c>
      <c r="BG984" t="s">
        <v>74</v>
      </c>
      <c r="BH984" t="s">
        <v>74</v>
      </c>
      <c r="BI984">
        <v>11</v>
      </c>
      <c r="BJ984" t="s">
        <v>657</v>
      </c>
      <c r="BK984" t="s">
        <v>956</v>
      </c>
      <c r="BL984" t="s">
        <v>658</v>
      </c>
      <c r="BM984" t="s">
        <v>19011</v>
      </c>
      <c r="BN984">
        <v>35131897</v>
      </c>
      <c r="BO984" t="s">
        <v>1033</v>
      </c>
      <c r="BP984" t="s">
        <v>74</v>
      </c>
      <c r="BQ984" t="s">
        <v>74</v>
      </c>
      <c r="BR984" t="s">
        <v>103</v>
      </c>
      <c r="BS984" t="s">
        <v>19012</v>
      </c>
      <c r="BT984" t="str">
        <f>HYPERLINK("https%3A%2F%2Fwww.webofscience.com%2Fwos%2Fwoscc%2Ffull-record%2FWOS:000766924200013","View Full Record in Web of Science")</f>
        <v>View Full Record in Web of Science</v>
      </c>
    </row>
    <row r="985" spans="1:72" x14ac:dyDescent="0.15">
      <c r="A985" t="s">
        <v>72</v>
      </c>
      <c r="B985" t="s">
        <v>19013</v>
      </c>
      <c r="C985" t="s">
        <v>74</v>
      </c>
      <c r="D985" t="s">
        <v>74</v>
      </c>
      <c r="E985" t="s">
        <v>74</v>
      </c>
      <c r="F985" t="s">
        <v>19014</v>
      </c>
      <c r="G985" t="s">
        <v>74</v>
      </c>
      <c r="H985" t="s">
        <v>74</v>
      </c>
      <c r="I985" t="s">
        <v>19015</v>
      </c>
      <c r="J985" t="s">
        <v>648</v>
      </c>
      <c r="K985" t="s">
        <v>74</v>
      </c>
      <c r="L985" t="s">
        <v>74</v>
      </c>
      <c r="M985" t="s">
        <v>78</v>
      </c>
      <c r="N985" t="s">
        <v>79</v>
      </c>
      <c r="O985" t="s">
        <v>74</v>
      </c>
      <c r="P985" t="s">
        <v>74</v>
      </c>
      <c r="Q985" t="s">
        <v>74</v>
      </c>
      <c r="R985" t="s">
        <v>74</v>
      </c>
      <c r="S985" t="s">
        <v>74</v>
      </c>
      <c r="T985" t="s">
        <v>74</v>
      </c>
      <c r="U985" t="s">
        <v>19016</v>
      </c>
      <c r="V985" t="s">
        <v>19017</v>
      </c>
      <c r="W985" t="s">
        <v>19018</v>
      </c>
      <c r="X985" t="s">
        <v>19019</v>
      </c>
      <c r="Y985" t="s">
        <v>19020</v>
      </c>
      <c r="Z985" t="s">
        <v>19021</v>
      </c>
      <c r="AA985" t="s">
        <v>19022</v>
      </c>
      <c r="AB985" t="s">
        <v>19023</v>
      </c>
      <c r="AC985" t="s">
        <v>19024</v>
      </c>
      <c r="AD985" t="s">
        <v>19025</v>
      </c>
      <c r="AE985" t="s">
        <v>19026</v>
      </c>
      <c r="AF985" t="s">
        <v>74</v>
      </c>
      <c r="AG985">
        <v>58</v>
      </c>
      <c r="AH985">
        <v>22</v>
      </c>
      <c r="AI985">
        <v>23</v>
      </c>
      <c r="AJ985">
        <v>11</v>
      </c>
      <c r="AK985">
        <v>80</v>
      </c>
      <c r="AL985" t="s">
        <v>455</v>
      </c>
      <c r="AM985" t="s">
        <v>456</v>
      </c>
      <c r="AN985" t="s">
        <v>457</v>
      </c>
      <c r="AO985" t="s">
        <v>74</v>
      </c>
      <c r="AP985" t="s">
        <v>652</v>
      </c>
      <c r="AQ985" t="s">
        <v>74</v>
      </c>
      <c r="AR985" t="s">
        <v>653</v>
      </c>
      <c r="AS985" t="s">
        <v>654</v>
      </c>
      <c r="AT985" t="s">
        <v>19008</v>
      </c>
      <c r="AU985">
        <v>2022</v>
      </c>
      <c r="AV985">
        <v>13</v>
      </c>
      <c r="AW985">
        <v>1</v>
      </c>
      <c r="AX985" t="s">
        <v>74</v>
      </c>
      <c r="AY985" t="s">
        <v>74</v>
      </c>
      <c r="AZ985" t="s">
        <v>74</v>
      </c>
      <c r="BA985" t="s">
        <v>74</v>
      </c>
      <c r="BB985" t="s">
        <v>74</v>
      </c>
      <c r="BC985" t="s">
        <v>74</v>
      </c>
      <c r="BD985">
        <v>984</v>
      </c>
      <c r="BE985" t="s">
        <v>19027</v>
      </c>
      <c r="BF985" t="str">
        <f>HYPERLINK("http://dx.doi.org/10.1038/s41467-022-28560-w","http://dx.doi.org/10.1038/s41467-022-28560-w")</f>
        <v>http://dx.doi.org/10.1038/s41467-022-28560-w</v>
      </c>
      <c r="BG985" t="s">
        <v>74</v>
      </c>
      <c r="BH985" t="s">
        <v>74</v>
      </c>
      <c r="BI985">
        <v>11</v>
      </c>
      <c r="BJ985" t="s">
        <v>657</v>
      </c>
      <c r="BK985" t="s">
        <v>101</v>
      </c>
      <c r="BL985" t="s">
        <v>658</v>
      </c>
      <c r="BM985" t="s">
        <v>19028</v>
      </c>
      <c r="BN985">
        <v>35194040</v>
      </c>
      <c r="BO985" t="s">
        <v>295</v>
      </c>
      <c r="BP985" t="s">
        <v>74</v>
      </c>
      <c r="BQ985" t="s">
        <v>74</v>
      </c>
      <c r="BR985" t="s">
        <v>103</v>
      </c>
      <c r="BS985" t="s">
        <v>19029</v>
      </c>
      <c r="BT985" t="str">
        <f>HYPERLINK("https%3A%2F%2Fwww.webofscience.com%2Fwos%2Fwoscc%2Ffull-record%2FWOS:000759803800008","View Full Record in Web of Science")</f>
        <v>View Full Record in Web of Science</v>
      </c>
    </row>
    <row r="986" spans="1:72" x14ac:dyDescent="0.15">
      <c r="A986" t="s">
        <v>72</v>
      </c>
      <c r="B986" t="s">
        <v>19030</v>
      </c>
      <c r="C986" t="s">
        <v>74</v>
      </c>
      <c r="D986" t="s">
        <v>74</v>
      </c>
      <c r="E986" t="s">
        <v>74</v>
      </c>
      <c r="F986" t="s">
        <v>19031</v>
      </c>
      <c r="G986" t="s">
        <v>74</v>
      </c>
      <c r="H986" t="s">
        <v>74</v>
      </c>
      <c r="I986" t="s">
        <v>19032</v>
      </c>
      <c r="J986" t="s">
        <v>13651</v>
      </c>
      <c r="K986" t="s">
        <v>74</v>
      </c>
      <c r="L986" t="s">
        <v>74</v>
      </c>
      <c r="M986" t="s">
        <v>78</v>
      </c>
      <c r="N986" t="s">
        <v>79</v>
      </c>
      <c r="O986" t="s">
        <v>74</v>
      </c>
      <c r="P986" t="s">
        <v>74</v>
      </c>
      <c r="Q986" t="s">
        <v>74</v>
      </c>
      <c r="R986" t="s">
        <v>74</v>
      </c>
      <c r="S986" t="s">
        <v>74</v>
      </c>
      <c r="T986" t="s">
        <v>19033</v>
      </c>
      <c r="U986" t="s">
        <v>19034</v>
      </c>
      <c r="V986" t="s">
        <v>19035</v>
      </c>
      <c r="W986" t="s">
        <v>19036</v>
      </c>
      <c r="X986" t="s">
        <v>19037</v>
      </c>
      <c r="Y986" t="s">
        <v>19038</v>
      </c>
      <c r="Z986" t="s">
        <v>19039</v>
      </c>
      <c r="AA986" t="s">
        <v>19040</v>
      </c>
      <c r="AB986" t="s">
        <v>19041</v>
      </c>
      <c r="AC986" t="s">
        <v>19042</v>
      </c>
      <c r="AD986" t="s">
        <v>19043</v>
      </c>
      <c r="AE986" t="s">
        <v>19044</v>
      </c>
      <c r="AF986" t="s">
        <v>74</v>
      </c>
      <c r="AG986">
        <v>105</v>
      </c>
      <c r="AH986">
        <v>0</v>
      </c>
      <c r="AI986">
        <v>0</v>
      </c>
      <c r="AJ986">
        <v>0</v>
      </c>
      <c r="AK986">
        <v>1</v>
      </c>
      <c r="AL986" t="s">
        <v>5126</v>
      </c>
      <c r="AM986" t="s">
        <v>5127</v>
      </c>
      <c r="AN986" t="s">
        <v>13663</v>
      </c>
      <c r="AO986" t="s">
        <v>13664</v>
      </c>
      <c r="AP986" t="s">
        <v>13665</v>
      </c>
      <c r="AQ986" t="s">
        <v>74</v>
      </c>
      <c r="AR986" t="s">
        <v>13651</v>
      </c>
      <c r="AS986" t="s">
        <v>13666</v>
      </c>
      <c r="AT986" t="s">
        <v>19008</v>
      </c>
      <c r="AU986">
        <v>2022</v>
      </c>
      <c r="AV986">
        <v>5100</v>
      </c>
      <c r="AW986">
        <v>4</v>
      </c>
      <c r="AX986" t="s">
        <v>74</v>
      </c>
      <c r="AY986" t="s">
        <v>74</v>
      </c>
      <c r="AZ986" t="s">
        <v>74</v>
      </c>
      <c r="BA986" t="s">
        <v>74</v>
      </c>
      <c r="BB986">
        <v>482</v>
      </c>
      <c r="BC986">
        <v>500</v>
      </c>
      <c r="BD986" t="s">
        <v>74</v>
      </c>
      <c r="BE986" t="s">
        <v>19045</v>
      </c>
      <c r="BF986" t="str">
        <f>HYPERLINK("http://dx.doi.org/10.11646/zootaxa.5100.4.2","http://dx.doi.org/10.11646/zootaxa.5100.4.2")</f>
        <v>http://dx.doi.org/10.11646/zootaxa.5100.4.2</v>
      </c>
      <c r="BG986" t="s">
        <v>74</v>
      </c>
      <c r="BH986" t="s">
        <v>74</v>
      </c>
      <c r="BI986">
        <v>19</v>
      </c>
      <c r="BJ986" t="s">
        <v>1054</v>
      </c>
      <c r="BK986" t="s">
        <v>101</v>
      </c>
      <c r="BL986" t="s">
        <v>1054</v>
      </c>
      <c r="BM986" t="s">
        <v>19046</v>
      </c>
      <c r="BN986">
        <v>35391063</v>
      </c>
      <c r="BO986" t="s">
        <v>1483</v>
      </c>
      <c r="BP986" t="s">
        <v>74</v>
      </c>
      <c r="BQ986" t="s">
        <v>74</v>
      </c>
      <c r="BR986" t="s">
        <v>103</v>
      </c>
      <c r="BS986" t="s">
        <v>19047</v>
      </c>
      <c r="BT986" t="str">
        <f>HYPERLINK("https%3A%2F%2Fwww.webofscience.com%2Fwos%2Fwoscc%2Ffull-record%2FWOS:000760810700002","View Full Record in Web of Science")</f>
        <v>View Full Record in Web of Science</v>
      </c>
    </row>
    <row r="987" spans="1:72" x14ac:dyDescent="0.15">
      <c r="A987" t="s">
        <v>72</v>
      </c>
      <c r="B987" t="s">
        <v>19048</v>
      </c>
      <c r="C987" t="s">
        <v>74</v>
      </c>
      <c r="D987" t="s">
        <v>74</v>
      </c>
      <c r="E987" t="s">
        <v>74</v>
      </c>
      <c r="F987" t="s">
        <v>19049</v>
      </c>
      <c r="G987" t="s">
        <v>74</v>
      </c>
      <c r="H987" t="s">
        <v>74</v>
      </c>
      <c r="I987" t="s">
        <v>19050</v>
      </c>
      <c r="J987" t="s">
        <v>3837</v>
      </c>
      <c r="K987" t="s">
        <v>74</v>
      </c>
      <c r="L987" t="s">
        <v>74</v>
      </c>
      <c r="M987" t="s">
        <v>78</v>
      </c>
      <c r="N987" t="s">
        <v>79</v>
      </c>
      <c r="O987" t="s">
        <v>74</v>
      </c>
      <c r="P987" t="s">
        <v>74</v>
      </c>
      <c r="Q987" t="s">
        <v>74</v>
      </c>
      <c r="R987" t="s">
        <v>74</v>
      </c>
      <c r="S987" t="s">
        <v>74</v>
      </c>
      <c r="T987" t="s">
        <v>74</v>
      </c>
      <c r="U987" t="s">
        <v>19051</v>
      </c>
      <c r="V987" t="s">
        <v>19052</v>
      </c>
      <c r="W987" t="s">
        <v>19053</v>
      </c>
      <c r="X987" t="s">
        <v>19054</v>
      </c>
      <c r="Y987" t="s">
        <v>19055</v>
      </c>
      <c r="Z987" t="s">
        <v>19056</v>
      </c>
      <c r="AA987" t="s">
        <v>19057</v>
      </c>
      <c r="AB987" t="s">
        <v>19058</v>
      </c>
      <c r="AC987" t="s">
        <v>19059</v>
      </c>
      <c r="AD987" t="s">
        <v>19060</v>
      </c>
      <c r="AE987" t="s">
        <v>19061</v>
      </c>
      <c r="AF987" t="s">
        <v>74</v>
      </c>
      <c r="AG987">
        <v>118</v>
      </c>
      <c r="AH987">
        <v>5</v>
      </c>
      <c r="AI987">
        <v>5</v>
      </c>
      <c r="AJ987">
        <v>0</v>
      </c>
      <c r="AK987">
        <v>18</v>
      </c>
      <c r="AL987" t="s">
        <v>117</v>
      </c>
      <c r="AM987" t="s">
        <v>118</v>
      </c>
      <c r="AN987" t="s">
        <v>119</v>
      </c>
      <c r="AO987" t="s">
        <v>3849</v>
      </c>
      <c r="AP987" t="s">
        <v>3850</v>
      </c>
      <c r="AQ987" t="s">
        <v>74</v>
      </c>
      <c r="AR987" t="s">
        <v>3851</v>
      </c>
      <c r="AS987" t="s">
        <v>3852</v>
      </c>
      <c r="AT987" t="s">
        <v>19008</v>
      </c>
      <c r="AU987">
        <v>2022</v>
      </c>
      <c r="AV987">
        <v>22</v>
      </c>
      <c r="AW987">
        <v>4</v>
      </c>
      <c r="AX987" t="s">
        <v>74</v>
      </c>
      <c r="AY987" t="s">
        <v>74</v>
      </c>
      <c r="AZ987" t="s">
        <v>74</v>
      </c>
      <c r="BA987" t="s">
        <v>74</v>
      </c>
      <c r="BB987">
        <v>2419</v>
      </c>
      <c r="BC987">
        <v>2445</v>
      </c>
      <c r="BD987" t="s">
        <v>74</v>
      </c>
      <c r="BE987" t="s">
        <v>19062</v>
      </c>
      <c r="BF987" t="str">
        <f>HYPERLINK("http://dx.doi.org/10.5194/acp-22-2419-2022","http://dx.doi.org/10.5194/acp-22-2419-2022")</f>
        <v>http://dx.doi.org/10.5194/acp-22-2419-2022</v>
      </c>
      <c r="BG987" t="s">
        <v>74</v>
      </c>
      <c r="BH987" t="s">
        <v>74</v>
      </c>
      <c r="BI987">
        <v>27</v>
      </c>
      <c r="BJ987" t="s">
        <v>1797</v>
      </c>
      <c r="BK987" t="s">
        <v>101</v>
      </c>
      <c r="BL987" t="s">
        <v>957</v>
      </c>
      <c r="BM987" t="s">
        <v>19063</v>
      </c>
      <c r="BN987" t="s">
        <v>74</v>
      </c>
      <c r="BO987" t="s">
        <v>2841</v>
      </c>
      <c r="BP987" t="s">
        <v>74</v>
      </c>
      <c r="BQ987" t="s">
        <v>74</v>
      </c>
      <c r="BR987" t="s">
        <v>103</v>
      </c>
      <c r="BS987" t="s">
        <v>19064</v>
      </c>
      <c r="BT987" t="str">
        <f>HYPERLINK("https%3A%2F%2Fwww.webofscience.com%2Fwos%2Fwoscc%2Ffull-record%2FWOS:000760857500001","View Full Record in Web of Science")</f>
        <v>View Full Record in Web of Science</v>
      </c>
    </row>
    <row r="988" spans="1:72" x14ac:dyDescent="0.15">
      <c r="A988" t="s">
        <v>72</v>
      </c>
      <c r="B988" t="s">
        <v>19065</v>
      </c>
      <c r="C988" t="s">
        <v>74</v>
      </c>
      <c r="D988" t="s">
        <v>74</v>
      </c>
      <c r="E988" t="s">
        <v>74</v>
      </c>
      <c r="F988" t="s">
        <v>19066</v>
      </c>
      <c r="G988" t="s">
        <v>74</v>
      </c>
      <c r="H988" t="s">
        <v>74</v>
      </c>
      <c r="I988" t="s">
        <v>19067</v>
      </c>
      <c r="J988" t="s">
        <v>8532</v>
      </c>
      <c r="K988" t="s">
        <v>74</v>
      </c>
      <c r="L988" t="s">
        <v>74</v>
      </c>
      <c r="M988" t="s">
        <v>78</v>
      </c>
      <c r="N988" t="s">
        <v>79</v>
      </c>
      <c r="O988" t="s">
        <v>74</v>
      </c>
      <c r="P988" t="s">
        <v>74</v>
      </c>
      <c r="Q988" t="s">
        <v>74</v>
      </c>
      <c r="R988" t="s">
        <v>74</v>
      </c>
      <c r="S988" t="s">
        <v>74</v>
      </c>
      <c r="T988" t="s">
        <v>19068</v>
      </c>
      <c r="U988" t="s">
        <v>19069</v>
      </c>
      <c r="V988" t="s">
        <v>19070</v>
      </c>
      <c r="W988" t="s">
        <v>19071</v>
      </c>
      <c r="X988" t="s">
        <v>19072</v>
      </c>
      <c r="Y988" t="s">
        <v>19073</v>
      </c>
      <c r="Z988" t="s">
        <v>19074</v>
      </c>
      <c r="AA988" t="s">
        <v>7620</v>
      </c>
      <c r="AB988" t="s">
        <v>19075</v>
      </c>
      <c r="AC988" t="s">
        <v>19076</v>
      </c>
      <c r="AD988" t="s">
        <v>19077</v>
      </c>
      <c r="AE988" t="s">
        <v>19078</v>
      </c>
      <c r="AF988" t="s">
        <v>74</v>
      </c>
      <c r="AG988">
        <v>20</v>
      </c>
      <c r="AH988">
        <v>1</v>
      </c>
      <c r="AI988">
        <v>1</v>
      </c>
      <c r="AJ988">
        <v>1</v>
      </c>
      <c r="AK988">
        <v>12</v>
      </c>
      <c r="AL988" t="s">
        <v>530</v>
      </c>
      <c r="AM988" t="s">
        <v>531</v>
      </c>
      <c r="AN988" t="s">
        <v>532</v>
      </c>
      <c r="AO988" t="s">
        <v>8545</v>
      </c>
      <c r="AP988" t="s">
        <v>74</v>
      </c>
      <c r="AQ988" t="s">
        <v>74</v>
      </c>
      <c r="AR988" t="s">
        <v>8546</v>
      </c>
      <c r="AS988" t="s">
        <v>8547</v>
      </c>
      <c r="AT988" t="s">
        <v>19008</v>
      </c>
      <c r="AU988">
        <v>2022</v>
      </c>
      <c r="AV988">
        <v>9</v>
      </c>
      <c r="AW988">
        <v>1</v>
      </c>
      <c r="AX988" t="s">
        <v>74</v>
      </c>
      <c r="AY988" t="s">
        <v>74</v>
      </c>
      <c r="AZ988" t="s">
        <v>74</v>
      </c>
      <c r="BA988" t="s">
        <v>74</v>
      </c>
      <c r="BB988" t="s">
        <v>74</v>
      </c>
      <c r="BC988" t="s">
        <v>74</v>
      </c>
      <c r="BD988">
        <v>11</v>
      </c>
      <c r="BE988" t="s">
        <v>19079</v>
      </c>
      <c r="BF988" t="str">
        <f>HYPERLINK("http://dx.doi.org/10.1186/s40562-022-00219-w","http://dx.doi.org/10.1186/s40562-022-00219-w")</f>
        <v>http://dx.doi.org/10.1186/s40562-022-00219-w</v>
      </c>
      <c r="BG988" t="s">
        <v>74</v>
      </c>
      <c r="BH988" t="s">
        <v>74</v>
      </c>
      <c r="BI988">
        <v>9</v>
      </c>
      <c r="BJ988" t="s">
        <v>613</v>
      </c>
      <c r="BK988" t="s">
        <v>101</v>
      </c>
      <c r="BL988" t="s">
        <v>614</v>
      </c>
      <c r="BM988" t="s">
        <v>19080</v>
      </c>
      <c r="BN988" t="s">
        <v>74</v>
      </c>
      <c r="BO988" t="s">
        <v>438</v>
      </c>
      <c r="BP988" t="s">
        <v>74</v>
      </c>
      <c r="BQ988" t="s">
        <v>74</v>
      </c>
      <c r="BR988" t="s">
        <v>103</v>
      </c>
      <c r="BS988" t="s">
        <v>19081</v>
      </c>
      <c r="BT988" t="str">
        <f>HYPERLINK("https%3A%2F%2Fwww.webofscience.com%2Fwos%2Fwoscc%2Ffull-record%2FWOS:000759552500001","View Full Record in Web of Science")</f>
        <v>View Full Record in Web of Science</v>
      </c>
    </row>
    <row r="989" spans="1:72" x14ac:dyDescent="0.15">
      <c r="A989" t="s">
        <v>72</v>
      </c>
      <c r="B989" t="s">
        <v>19082</v>
      </c>
      <c r="C989" t="s">
        <v>74</v>
      </c>
      <c r="D989" t="s">
        <v>74</v>
      </c>
      <c r="E989" t="s">
        <v>74</v>
      </c>
      <c r="F989" t="s">
        <v>19083</v>
      </c>
      <c r="G989" t="s">
        <v>74</v>
      </c>
      <c r="H989" t="s">
        <v>74</v>
      </c>
      <c r="I989" t="s">
        <v>19084</v>
      </c>
      <c r="J989" t="s">
        <v>3064</v>
      </c>
      <c r="K989" t="s">
        <v>74</v>
      </c>
      <c r="L989" t="s">
        <v>74</v>
      </c>
      <c r="M989" t="s">
        <v>78</v>
      </c>
      <c r="N989" t="s">
        <v>79</v>
      </c>
      <c r="O989" t="s">
        <v>74</v>
      </c>
      <c r="P989" t="s">
        <v>74</v>
      </c>
      <c r="Q989" t="s">
        <v>74</v>
      </c>
      <c r="R989" t="s">
        <v>74</v>
      </c>
      <c r="S989" t="s">
        <v>74</v>
      </c>
      <c r="T989" t="s">
        <v>19085</v>
      </c>
      <c r="U989" t="s">
        <v>19086</v>
      </c>
      <c r="V989" t="s">
        <v>19087</v>
      </c>
      <c r="W989" t="s">
        <v>19088</v>
      </c>
      <c r="X989" t="s">
        <v>19089</v>
      </c>
      <c r="Y989" t="s">
        <v>19090</v>
      </c>
      <c r="Z989" t="s">
        <v>19091</v>
      </c>
      <c r="AA989" t="s">
        <v>19092</v>
      </c>
      <c r="AB989" t="s">
        <v>19093</v>
      </c>
      <c r="AC989" t="s">
        <v>19094</v>
      </c>
      <c r="AD989" t="s">
        <v>19095</v>
      </c>
      <c r="AE989" t="s">
        <v>19096</v>
      </c>
      <c r="AF989" t="s">
        <v>74</v>
      </c>
      <c r="AG989">
        <v>42</v>
      </c>
      <c r="AH989">
        <v>1</v>
      </c>
      <c r="AI989">
        <v>2</v>
      </c>
      <c r="AJ989">
        <v>2</v>
      </c>
      <c r="AK989">
        <v>25</v>
      </c>
      <c r="AL989" t="s">
        <v>285</v>
      </c>
      <c r="AM989" t="s">
        <v>286</v>
      </c>
      <c r="AN989" t="s">
        <v>287</v>
      </c>
      <c r="AO989" t="s">
        <v>74</v>
      </c>
      <c r="AP989" t="s">
        <v>3072</v>
      </c>
      <c r="AQ989" t="s">
        <v>74</v>
      </c>
      <c r="AR989" t="s">
        <v>3073</v>
      </c>
      <c r="AS989" t="s">
        <v>3074</v>
      </c>
      <c r="AT989" t="s">
        <v>19097</v>
      </c>
      <c r="AU989">
        <v>2022</v>
      </c>
      <c r="AV989">
        <v>10</v>
      </c>
      <c r="AW989" t="s">
        <v>74</v>
      </c>
      <c r="AX989" t="s">
        <v>74</v>
      </c>
      <c r="AY989" t="s">
        <v>74</v>
      </c>
      <c r="AZ989" t="s">
        <v>74</v>
      </c>
      <c r="BA989" t="s">
        <v>74</v>
      </c>
      <c r="BB989" t="s">
        <v>74</v>
      </c>
      <c r="BC989" t="s">
        <v>74</v>
      </c>
      <c r="BD989">
        <v>823172</v>
      </c>
      <c r="BE989" t="s">
        <v>19098</v>
      </c>
      <c r="BF989" t="str">
        <f>HYPERLINK("http://dx.doi.org/10.3389/fenvs.2022.823172","http://dx.doi.org/10.3389/fenvs.2022.823172")</f>
        <v>http://dx.doi.org/10.3389/fenvs.2022.823172</v>
      </c>
      <c r="BG989" t="s">
        <v>74</v>
      </c>
      <c r="BH989" t="s">
        <v>74</v>
      </c>
      <c r="BI989">
        <v>9</v>
      </c>
      <c r="BJ989" t="s">
        <v>1104</v>
      </c>
      <c r="BK989" t="s">
        <v>101</v>
      </c>
      <c r="BL989" t="s">
        <v>840</v>
      </c>
      <c r="BM989" t="s">
        <v>19099</v>
      </c>
      <c r="BN989" t="s">
        <v>74</v>
      </c>
      <c r="BO989" t="s">
        <v>438</v>
      </c>
      <c r="BP989" t="s">
        <v>74</v>
      </c>
      <c r="BQ989" t="s">
        <v>74</v>
      </c>
      <c r="BR989" t="s">
        <v>103</v>
      </c>
      <c r="BS989" t="s">
        <v>19100</v>
      </c>
      <c r="BT989" t="str">
        <f>HYPERLINK("https%3A%2F%2Fwww.webofscience.com%2Fwos%2Fwoscc%2Ffull-record%2FWOS:000772372500001","View Full Record in Web of Science")</f>
        <v>View Full Record in Web of Science</v>
      </c>
    </row>
    <row r="990" spans="1:72" x14ac:dyDescent="0.15">
      <c r="A990" t="s">
        <v>72</v>
      </c>
      <c r="B990" t="s">
        <v>19101</v>
      </c>
      <c r="C990" t="s">
        <v>74</v>
      </c>
      <c r="D990" t="s">
        <v>74</v>
      </c>
      <c r="E990" t="s">
        <v>74</v>
      </c>
      <c r="F990" t="s">
        <v>19102</v>
      </c>
      <c r="G990" t="s">
        <v>74</v>
      </c>
      <c r="H990" t="s">
        <v>74</v>
      </c>
      <c r="I990" t="s">
        <v>19103</v>
      </c>
      <c r="J990" t="s">
        <v>1086</v>
      </c>
      <c r="K990" t="s">
        <v>74</v>
      </c>
      <c r="L990" t="s">
        <v>74</v>
      </c>
      <c r="M990" t="s">
        <v>78</v>
      </c>
      <c r="N990" t="s">
        <v>79</v>
      </c>
      <c r="O990" t="s">
        <v>74</v>
      </c>
      <c r="P990" t="s">
        <v>74</v>
      </c>
      <c r="Q990" t="s">
        <v>74</v>
      </c>
      <c r="R990" t="s">
        <v>74</v>
      </c>
      <c r="S990" t="s">
        <v>74</v>
      </c>
      <c r="T990" t="s">
        <v>19104</v>
      </c>
      <c r="U990" t="s">
        <v>19105</v>
      </c>
      <c r="V990" t="s">
        <v>19106</v>
      </c>
      <c r="W990" t="s">
        <v>19107</v>
      </c>
      <c r="X990" t="s">
        <v>19108</v>
      </c>
      <c r="Y990" t="s">
        <v>19109</v>
      </c>
      <c r="Z990" t="s">
        <v>19110</v>
      </c>
      <c r="AA990" t="s">
        <v>74</v>
      </c>
      <c r="AB990" t="s">
        <v>74</v>
      </c>
      <c r="AC990" t="s">
        <v>19111</v>
      </c>
      <c r="AD990" t="s">
        <v>19112</v>
      </c>
      <c r="AE990" t="s">
        <v>19113</v>
      </c>
      <c r="AF990" t="s">
        <v>74</v>
      </c>
      <c r="AG990">
        <v>91</v>
      </c>
      <c r="AH990">
        <v>5</v>
      </c>
      <c r="AI990">
        <v>7</v>
      </c>
      <c r="AJ990">
        <v>7</v>
      </c>
      <c r="AK990">
        <v>35</v>
      </c>
      <c r="AL990" t="s">
        <v>257</v>
      </c>
      <c r="AM990" t="s">
        <v>258</v>
      </c>
      <c r="AN990" t="s">
        <v>259</v>
      </c>
      <c r="AO990" t="s">
        <v>1098</v>
      </c>
      <c r="AP990" t="s">
        <v>1099</v>
      </c>
      <c r="AQ990" t="s">
        <v>74</v>
      </c>
      <c r="AR990" t="s">
        <v>1100</v>
      </c>
      <c r="AS990" t="s">
        <v>1101</v>
      </c>
      <c r="AT990" t="s">
        <v>123</v>
      </c>
      <c r="AU990">
        <v>2022</v>
      </c>
      <c r="AV990">
        <v>824</v>
      </c>
      <c r="AW990" t="s">
        <v>74</v>
      </c>
      <c r="AX990" t="s">
        <v>74</v>
      </c>
      <c r="AY990" t="s">
        <v>74</v>
      </c>
      <c r="AZ990" t="s">
        <v>74</v>
      </c>
      <c r="BA990" t="s">
        <v>74</v>
      </c>
      <c r="BB990" t="s">
        <v>74</v>
      </c>
      <c r="BC990" t="s">
        <v>74</v>
      </c>
      <c r="BD990">
        <v>153890</v>
      </c>
      <c r="BE990" t="s">
        <v>19114</v>
      </c>
      <c r="BF990" t="str">
        <f>HYPERLINK("http://dx.doi.org/10.1016/j.scitotenv.2022.153890","http://dx.doi.org/10.1016/j.scitotenv.2022.153890")</f>
        <v>http://dx.doi.org/10.1016/j.scitotenv.2022.153890</v>
      </c>
      <c r="BG990" t="s">
        <v>74</v>
      </c>
      <c r="BH990" t="s">
        <v>18249</v>
      </c>
      <c r="BI990">
        <v>9</v>
      </c>
      <c r="BJ990" t="s">
        <v>1104</v>
      </c>
      <c r="BK990" t="s">
        <v>101</v>
      </c>
      <c r="BL990" t="s">
        <v>840</v>
      </c>
      <c r="BM990" t="s">
        <v>19115</v>
      </c>
      <c r="BN990">
        <v>35182624</v>
      </c>
      <c r="BO990" t="s">
        <v>1448</v>
      </c>
      <c r="BP990" t="s">
        <v>74</v>
      </c>
      <c r="BQ990" t="s">
        <v>74</v>
      </c>
      <c r="BR990" t="s">
        <v>103</v>
      </c>
      <c r="BS990" t="s">
        <v>19116</v>
      </c>
      <c r="BT990" t="str">
        <f>HYPERLINK("https%3A%2F%2Fwww.webofscience.com%2Fwos%2Fwoscc%2Ffull-record%2FWOS:000764890800015","View Full Record in Web of Science")</f>
        <v>View Full Record in Web of Science</v>
      </c>
    </row>
    <row r="991" spans="1:72" x14ac:dyDescent="0.15">
      <c r="A991" t="s">
        <v>72</v>
      </c>
      <c r="B991" t="s">
        <v>19117</v>
      </c>
      <c r="C991" t="s">
        <v>74</v>
      </c>
      <c r="D991" t="s">
        <v>74</v>
      </c>
      <c r="E991" t="s">
        <v>74</v>
      </c>
      <c r="F991" t="s">
        <v>19118</v>
      </c>
      <c r="G991" t="s">
        <v>74</v>
      </c>
      <c r="H991" t="s">
        <v>74</v>
      </c>
      <c r="I991" t="s">
        <v>19119</v>
      </c>
      <c r="J991" t="s">
        <v>11152</v>
      </c>
      <c r="K991" t="s">
        <v>74</v>
      </c>
      <c r="L991" t="s">
        <v>74</v>
      </c>
      <c r="M991" t="s">
        <v>78</v>
      </c>
      <c r="N991" t="s">
        <v>79</v>
      </c>
      <c r="O991" t="s">
        <v>74</v>
      </c>
      <c r="P991" t="s">
        <v>74</v>
      </c>
      <c r="Q991" t="s">
        <v>74</v>
      </c>
      <c r="R991" t="s">
        <v>74</v>
      </c>
      <c r="S991" t="s">
        <v>74</v>
      </c>
      <c r="T991" t="s">
        <v>19120</v>
      </c>
      <c r="U991" t="s">
        <v>19121</v>
      </c>
      <c r="V991" t="s">
        <v>19122</v>
      </c>
      <c r="W991" t="s">
        <v>19123</v>
      </c>
      <c r="X991" t="s">
        <v>19124</v>
      </c>
      <c r="Y991" t="s">
        <v>19125</v>
      </c>
      <c r="Z991" t="s">
        <v>19126</v>
      </c>
      <c r="AA991" t="s">
        <v>19127</v>
      </c>
      <c r="AB991" t="s">
        <v>19128</v>
      </c>
      <c r="AC991" t="s">
        <v>19129</v>
      </c>
      <c r="AD991" t="s">
        <v>19130</v>
      </c>
      <c r="AE991" t="s">
        <v>19131</v>
      </c>
      <c r="AF991" t="s">
        <v>74</v>
      </c>
      <c r="AG991">
        <v>68</v>
      </c>
      <c r="AH991">
        <v>7</v>
      </c>
      <c r="AI991">
        <v>7</v>
      </c>
      <c r="AJ991">
        <v>1</v>
      </c>
      <c r="AK991">
        <v>6</v>
      </c>
      <c r="AL991" t="s">
        <v>257</v>
      </c>
      <c r="AM991" t="s">
        <v>258</v>
      </c>
      <c r="AN991" t="s">
        <v>259</v>
      </c>
      <c r="AO991" t="s">
        <v>74</v>
      </c>
      <c r="AP991" t="s">
        <v>11165</v>
      </c>
      <c r="AQ991" t="s">
        <v>74</v>
      </c>
      <c r="AR991" t="s">
        <v>11166</v>
      </c>
      <c r="AS991" t="s">
        <v>11167</v>
      </c>
      <c r="AT991" t="s">
        <v>537</v>
      </c>
      <c r="AU991">
        <v>2022</v>
      </c>
      <c r="AV991">
        <v>35</v>
      </c>
      <c r="AW991" t="s">
        <v>74</v>
      </c>
      <c r="AX991" t="s">
        <v>74</v>
      </c>
      <c r="AY991" t="s">
        <v>74</v>
      </c>
      <c r="AZ991" t="s">
        <v>74</v>
      </c>
      <c r="BA991" t="s">
        <v>74</v>
      </c>
      <c r="BB991" t="s">
        <v>74</v>
      </c>
      <c r="BC991" t="s">
        <v>74</v>
      </c>
      <c r="BD991" t="s">
        <v>19132</v>
      </c>
      <c r="BE991" t="s">
        <v>19133</v>
      </c>
      <c r="BF991" t="str">
        <f>HYPERLINK("http://dx.doi.org/10.1016/j.gecco.2022.e02054","http://dx.doi.org/10.1016/j.gecco.2022.e02054")</f>
        <v>http://dx.doi.org/10.1016/j.gecco.2022.e02054</v>
      </c>
      <c r="BG991" t="s">
        <v>74</v>
      </c>
      <c r="BH991" t="s">
        <v>18249</v>
      </c>
      <c r="BI991">
        <v>20</v>
      </c>
      <c r="BJ991" t="s">
        <v>539</v>
      </c>
      <c r="BK991" t="s">
        <v>101</v>
      </c>
      <c r="BL991" t="s">
        <v>540</v>
      </c>
      <c r="BM991" t="s">
        <v>19134</v>
      </c>
      <c r="BN991" t="s">
        <v>74</v>
      </c>
      <c r="BO991" t="s">
        <v>1533</v>
      </c>
      <c r="BP991" t="s">
        <v>74</v>
      </c>
      <c r="BQ991" t="s">
        <v>74</v>
      </c>
      <c r="BR991" t="s">
        <v>103</v>
      </c>
      <c r="BS991" t="s">
        <v>19135</v>
      </c>
      <c r="BT991" t="str">
        <f>HYPERLINK("https%3A%2F%2Fwww.webofscience.com%2Fwos%2Fwoscc%2Ffull-record%2FWOS:000761018100003","View Full Record in Web of Science")</f>
        <v>View Full Record in Web of Science</v>
      </c>
    </row>
    <row r="992" spans="1:72" x14ac:dyDescent="0.15">
      <c r="A992" t="s">
        <v>72</v>
      </c>
      <c r="B992" t="s">
        <v>19136</v>
      </c>
      <c r="C992" t="s">
        <v>74</v>
      </c>
      <c r="D992" t="s">
        <v>74</v>
      </c>
      <c r="E992" t="s">
        <v>74</v>
      </c>
      <c r="F992" t="s">
        <v>19137</v>
      </c>
      <c r="G992" t="s">
        <v>74</v>
      </c>
      <c r="H992" t="s">
        <v>74</v>
      </c>
      <c r="I992" t="s">
        <v>19138</v>
      </c>
      <c r="J992" t="s">
        <v>19139</v>
      </c>
      <c r="K992" t="s">
        <v>74</v>
      </c>
      <c r="L992" t="s">
        <v>74</v>
      </c>
      <c r="M992" t="s">
        <v>78</v>
      </c>
      <c r="N992" t="s">
        <v>79</v>
      </c>
      <c r="O992" t="s">
        <v>74</v>
      </c>
      <c r="P992" t="s">
        <v>74</v>
      </c>
      <c r="Q992" t="s">
        <v>74</v>
      </c>
      <c r="R992" t="s">
        <v>74</v>
      </c>
      <c r="S992" t="s">
        <v>74</v>
      </c>
      <c r="T992" t="s">
        <v>19140</v>
      </c>
      <c r="U992" t="s">
        <v>19141</v>
      </c>
      <c r="V992" t="s">
        <v>19142</v>
      </c>
      <c r="W992" t="s">
        <v>19143</v>
      </c>
      <c r="X992" t="s">
        <v>19144</v>
      </c>
      <c r="Y992" t="s">
        <v>19145</v>
      </c>
      <c r="Z992" t="s">
        <v>19146</v>
      </c>
      <c r="AA992" t="s">
        <v>19147</v>
      </c>
      <c r="AB992" t="s">
        <v>19148</v>
      </c>
      <c r="AC992" t="s">
        <v>19149</v>
      </c>
      <c r="AD992" t="s">
        <v>19150</v>
      </c>
      <c r="AE992" t="s">
        <v>19151</v>
      </c>
      <c r="AF992" t="s">
        <v>74</v>
      </c>
      <c r="AG992">
        <v>65</v>
      </c>
      <c r="AH992">
        <v>4</v>
      </c>
      <c r="AI992">
        <v>4</v>
      </c>
      <c r="AJ992">
        <v>2</v>
      </c>
      <c r="AK992">
        <v>4</v>
      </c>
      <c r="AL992" t="s">
        <v>91</v>
      </c>
      <c r="AM992" t="s">
        <v>92</v>
      </c>
      <c r="AN992" t="s">
        <v>93</v>
      </c>
      <c r="AO992" t="s">
        <v>19152</v>
      </c>
      <c r="AP992" t="s">
        <v>19153</v>
      </c>
      <c r="AQ992" t="s">
        <v>74</v>
      </c>
      <c r="AR992" t="s">
        <v>19154</v>
      </c>
      <c r="AS992" t="s">
        <v>19155</v>
      </c>
      <c r="AT992" t="s">
        <v>484</v>
      </c>
      <c r="AU992">
        <v>2022</v>
      </c>
      <c r="AV992">
        <v>25</v>
      </c>
      <c r="AW992">
        <v>5</v>
      </c>
      <c r="AX992" t="s">
        <v>74</v>
      </c>
      <c r="AY992" t="s">
        <v>74</v>
      </c>
      <c r="AZ992" t="s">
        <v>74</v>
      </c>
      <c r="BA992" t="s">
        <v>74</v>
      </c>
      <c r="BB992">
        <v>627</v>
      </c>
      <c r="BC992">
        <v>637</v>
      </c>
      <c r="BD992" t="s">
        <v>74</v>
      </c>
      <c r="BE992" t="s">
        <v>19156</v>
      </c>
      <c r="BF992" t="str">
        <f>HYPERLINK("http://dx.doi.org/10.1111/acv.12768","http://dx.doi.org/10.1111/acv.12768")</f>
        <v>http://dx.doi.org/10.1111/acv.12768</v>
      </c>
      <c r="BG992" t="s">
        <v>74</v>
      </c>
      <c r="BH992" t="s">
        <v>18249</v>
      </c>
      <c r="BI992">
        <v>11</v>
      </c>
      <c r="BJ992" t="s">
        <v>539</v>
      </c>
      <c r="BK992" t="s">
        <v>101</v>
      </c>
      <c r="BL992" t="s">
        <v>540</v>
      </c>
      <c r="BM992" t="s">
        <v>19157</v>
      </c>
      <c r="BN992" t="s">
        <v>74</v>
      </c>
      <c r="BO992" t="s">
        <v>3022</v>
      </c>
      <c r="BP992" t="s">
        <v>74</v>
      </c>
      <c r="BQ992" t="s">
        <v>74</v>
      </c>
      <c r="BR992" t="s">
        <v>103</v>
      </c>
      <c r="BS992" t="s">
        <v>19158</v>
      </c>
      <c r="BT992" t="str">
        <f>HYPERLINK("https%3A%2F%2Fwww.webofscience.com%2Fwos%2Fwoscc%2Ffull-record%2FWOS:000758165200001","View Full Record in Web of Science")</f>
        <v>View Full Record in Web of Science</v>
      </c>
    </row>
    <row r="993" spans="1:72" x14ac:dyDescent="0.15">
      <c r="A993" t="s">
        <v>72</v>
      </c>
      <c r="B993" t="s">
        <v>19159</v>
      </c>
      <c r="C993" t="s">
        <v>74</v>
      </c>
      <c r="D993" t="s">
        <v>74</v>
      </c>
      <c r="E993" t="s">
        <v>74</v>
      </c>
      <c r="F993" t="s">
        <v>19160</v>
      </c>
      <c r="G993" t="s">
        <v>74</v>
      </c>
      <c r="H993" t="s">
        <v>19161</v>
      </c>
      <c r="I993" t="s">
        <v>19162</v>
      </c>
      <c r="J993" t="s">
        <v>388</v>
      </c>
      <c r="K993" t="s">
        <v>74</v>
      </c>
      <c r="L993" t="s">
        <v>74</v>
      </c>
      <c r="M993" t="s">
        <v>78</v>
      </c>
      <c r="N993" t="s">
        <v>79</v>
      </c>
      <c r="O993" t="s">
        <v>74</v>
      </c>
      <c r="P993" t="s">
        <v>74</v>
      </c>
      <c r="Q993" t="s">
        <v>74</v>
      </c>
      <c r="R993" t="s">
        <v>74</v>
      </c>
      <c r="S993" t="s">
        <v>74</v>
      </c>
      <c r="T993" t="s">
        <v>74</v>
      </c>
      <c r="U993" t="s">
        <v>19163</v>
      </c>
      <c r="V993" t="s">
        <v>19164</v>
      </c>
      <c r="W993" t="s">
        <v>19165</v>
      </c>
      <c r="X993" t="s">
        <v>19166</v>
      </c>
      <c r="Y993" t="s">
        <v>19167</v>
      </c>
      <c r="Z993" t="s">
        <v>19168</v>
      </c>
      <c r="AA993" t="s">
        <v>19169</v>
      </c>
      <c r="AB993" t="s">
        <v>19170</v>
      </c>
      <c r="AC993" t="s">
        <v>19171</v>
      </c>
      <c r="AD993" t="s">
        <v>19172</v>
      </c>
      <c r="AE993" t="s">
        <v>19173</v>
      </c>
      <c r="AF993" t="s">
        <v>74</v>
      </c>
      <c r="AG993">
        <v>82</v>
      </c>
      <c r="AH993">
        <v>2</v>
      </c>
      <c r="AI993">
        <v>4</v>
      </c>
      <c r="AJ993">
        <v>2</v>
      </c>
      <c r="AK993">
        <v>6</v>
      </c>
      <c r="AL993" t="s">
        <v>400</v>
      </c>
      <c r="AM993" t="s">
        <v>401</v>
      </c>
      <c r="AN993" t="s">
        <v>402</v>
      </c>
      <c r="AO993" t="s">
        <v>74</v>
      </c>
      <c r="AP993" t="s">
        <v>403</v>
      </c>
      <c r="AQ993" t="s">
        <v>74</v>
      </c>
      <c r="AR993" t="s">
        <v>404</v>
      </c>
      <c r="AS993" t="s">
        <v>405</v>
      </c>
      <c r="AT993" t="s">
        <v>19097</v>
      </c>
      <c r="AU993">
        <v>2022</v>
      </c>
      <c r="AV993">
        <v>3</v>
      </c>
      <c r="AW993">
        <v>1</v>
      </c>
      <c r="AX993" t="s">
        <v>74</v>
      </c>
      <c r="AY993" t="s">
        <v>74</v>
      </c>
      <c r="AZ993" t="s">
        <v>74</v>
      </c>
      <c r="BA993" t="s">
        <v>74</v>
      </c>
      <c r="BB993" t="s">
        <v>74</v>
      </c>
      <c r="BC993" t="s">
        <v>74</v>
      </c>
      <c r="BD993">
        <v>36</v>
      </c>
      <c r="BE993" t="s">
        <v>19174</v>
      </c>
      <c r="BF993" t="str">
        <f>HYPERLINK("http://dx.doi.org/10.1038/s43247-022-00369-x","http://dx.doi.org/10.1038/s43247-022-00369-x")</f>
        <v>http://dx.doi.org/10.1038/s43247-022-00369-x</v>
      </c>
      <c r="BG993" t="s">
        <v>74</v>
      </c>
      <c r="BH993" t="s">
        <v>74</v>
      </c>
      <c r="BI993">
        <v>10</v>
      </c>
      <c r="BJ993" t="s">
        <v>407</v>
      </c>
      <c r="BK993" t="s">
        <v>101</v>
      </c>
      <c r="BL993" t="s">
        <v>408</v>
      </c>
      <c r="BM993" t="s">
        <v>19175</v>
      </c>
      <c r="BN993" t="s">
        <v>74</v>
      </c>
      <c r="BO993" t="s">
        <v>1942</v>
      </c>
      <c r="BP993" t="s">
        <v>74</v>
      </c>
      <c r="BQ993" t="s">
        <v>74</v>
      </c>
      <c r="BR993" t="s">
        <v>103</v>
      </c>
      <c r="BS993" t="s">
        <v>19176</v>
      </c>
      <c r="BT993" t="str">
        <f>HYPERLINK("https%3A%2F%2Fwww.webofscience.com%2Fwos%2Fwoscc%2Ffull-record%2FWOS:000758790500001","View Full Record in Web of Science")</f>
        <v>View Full Record in Web of Science</v>
      </c>
    </row>
    <row r="994" spans="1:72" x14ac:dyDescent="0.15">
      <c r="A994" t="s">
        <v>72</v>
      </c>
      <c r="B994" t="s">
        <v>19177</v>
      </c>
      <c r="C994" t="s">
        <v>74</v>
      </c>
      <c r="D994" t="s">
        <v>74</v>
      </c>
      <c r="E994" t="s">
        <v>74</v>
      </c>
      <c r="F994" t="s">
        <v>19178</v>
      </c>
      <c r="G994" t="s">
        <v>74</v>
      </c>
      <c r="H994" t="s">
        <v>74</v>
      </c>
      <c r="I994" t="s">
        <v>19179</v>
      </c>
      <c r="J994" t="s">
        <v>10827</v>
      </c>
      <c r="K994" t="s">
        <v>74</v>
      </c>
      <c r="L994" t="s">
        <v>74</v>
      </c>
      <c r="M994" t="s">
        <v>78</v>
      </c>
      <c r="N994" t="s">
        <v>190</v>
      </c>
      <c r="O994" t="s">
        <v>74</v>
      </c>
      <c r="P994" t="s">
        <v>74</v>
      </c>
      <c r="Q994" t="s">
        <v>74</v>
      </c>
      <c r="R994" t="s">
        <v>74</v>
      </c>
      <c r="S994" t="s">
        <v>74</v>
      </c>
      <c r="T994" t="s">
        <v>74</v>
      </c>
      <c r="U994" t="s">
        <v>74</v>
      </c>
      <c r="V994" t="s">
        <v>74</v>
      </c>
      <c r="W994" t="s">
        <v>19180</v>
      </c>
      <c r="X994" t="s">
        <v>19181</v>
      </c>
      <c r="Y994" t="s">
        <v>19182</v>
      </c>
      <c r="Z994" t="s">
        <v>19183</v>
      </c>
      <c r="AA994" t="s">
        <v>19184</v>
      </c>
      <c r="AB994" t="s">
        <v>19185</v>
      </c>
      <c r="AC994" t="s">
        <v>19186</v>
      </c>
      <c r="AD994" t="s">
        <v>19187</v>
      </c>
      <c r="AE994" t="s">
        <v>19188</v>
      </c>
      <c r="AF994" t="s">
        <v>74</v>
      </c>
      <c r="AG994">
        <v>25</v>
      </c>
      <c r="AH994">
        <v>2</v>
      </c>
      <c r="AI994">
        <v>2</v>
      </c>
      <c r="AJ994">
        <v>0</v>
      </c>
      <c r="AK994">
        <v>6</v>
      </c>
      <c r="AL994" t="s">
        <v>530</v>
      </c>
      <c r="AM994" t="s">
        <v>1121</v>
      </c>
      <c r="AN994" t="s">
        <v>1122</v>
      </c>
      <c r="AO994" t="s">
        <v>10837</v>
      </c>
      <c r="AP994" t="s">
        <v>10838</v>
      </c>
      <c r="AQ994" t="s">
        <v>74</v>
      </c>
      <c r="AR994" t="s">
        <v>10839</v>
      </c>
      <c r="AS994" t="s">
        <v>10840</v>
      </c>
      <c r="AT994" t="s">
        <v>6497</v>
      </c>
      <c r="AU994">
        <v>2022</v>
      </c>
      <c r="AV994">
        <v>32</v>
      </c>
      <c r="AW994">
        <v>1</v>
      </c>
      <c r="AX994" t="s">
        <v>74</v>
      </c>
      <c r="AY994" t="s">
        <v>74</v>
      </c>
      <c r="AZ994" t="s">
        <v>772</v>
      </c>
      <c r="BA994" t="s">
        <v>74</v>
      </c>
      <c r="BB994">
        <v>1</v>
      </c>
      <c r="BC994">
        <v>7</v>
      </c>
      <c r="BD994" t="s">
        <v>74</v>
      </c>
      <c r="BE994" t="s">
        <v>19189</v>
      </c>
      <c r="BF994" t="str">
        <f>HYPERLINK("http://dx.doi.org/10.1007/s11160-022-09705-y","http://dx.doi.org/10.1007/s11160-022-09705-y")</f>
        <v>http://dx.doi.org/10.1007/s11160-022-09705-y</v>
      </c>
      <c r="BG994" t="s">
        <v>74</v>
      </c>
      <c r="BH994" t="s">
        <v>18249</v>
      </c>
      <c r="BI994">
        <v>7</v>
      </c>
      <c r="BJ994" t="s">
        <v>10842</v>
      </c>
      <c r="BK994" t="s">
        <v>101</v>
      </c>
      <c r="BL994" t="s">
        <v>10842</v>
      </c>
      <c r="BM994" t="s">
        <v>16278</v>
      </c>
      <c r="BN994" t="s">
        <v>74</v>
      </c>
      <c r="BO994" t="s">
        <v>1483</v>
      </c>
      <c r="BP994" t="s">
        <v>74</v>
      </c>
      <c r="BQ994" t="s">
        <v>74</v>
      </c>
      <c r="BR994" t="s">
        <v>103</v>
      </c>
      <c r="BS994" t="s">
        <v>19190</v>
      </c>
      <c r="BT994" t="str">
        <f>HYPERLINK("https%3A%2F%2Fwww.webofscience.com%2Fwos%2Fwoscc%2Ffull-record%2FWOS:000758994100001","View Full Record in Web of Science")</f>
        <v>View Full Record in Web of Science</v>
      </c>
    </row>
    <row r="995" spans="1:72" x14ac:dyDescent="0.15">
      <c r="A995" t="s">
        <v>72</v>
      </c>
      <c r="B995" t="s">
        <v>19191</v>
      </c>
      <c r="C995" t="s">
        <v>74</v>
      </c>
      <c r="D995" t="s">
        <v>74</v>
      </c>
      <c r="E995" t="s">
        <v>74</v>
      </c>
      <c r="F995" t="s">
        <v>19192</v>
      </c>
      <c r="G995" t="s">
        <v>74</v>
      </c>
      <c r="H995" t="s">
        <v>74</v>
      </c>
      <c r="I995" t="s">
        <v>19193</v>
      </c>
      <c r="J995" t="s">
        <v>6229</v>
      </c>
      <c r="K995" t="s">
        <v>74</v>
      </c>
      <c r="L995" t="s">
        <v>74</v>
      </c>
      <c r="M995" t="s">
        <v>78</v>
      </c>
      <c r="N995" t="s">
        <v>79</v>
      </c>
      <c r="O995" t="s">
        <v>74</v>
      </c>
      <c r="P995" t="s">
        <v>74</v>
      </c>
      <c r="Q995" t="s">
        <v>74</v>
      </c>
      <c r="R995" t="s">
        <v>74</v>
      </c>
      <c r="S995" t="s">
        <v>74</v>
      </c>
      <c r="T995" t="s">
        <v>19194</v>
      </c>
      <c r="U995" t="s">
        <v>19195</v>
      </c>
      <c r="V995" t="s">
        <v>19196</v>
      </c>
      <c r="W995" t="s">
        <v>19197</v>
      </c>
      <c r="X995" t="s">
        <v>19198</v>
      </c>
      <c r="Y995" t="s">
        <v>19199</v>
      </c>
      <c r="Z995" t="s">
        <v>19200</v>
      </c>
      <c r="AA995" t="s">
        <v>19201</v>
      </c>
      <c r="AB995" t="s">
        <v>19202</v>
      </c>
      <c r="AC995" t="s">
        <v>19203</v>
      </c>
      <c r="AD995" t="s">
        <v>19204</v>
      </c>
      <c r="AE995" t="s">
        <v>19205</v>
      </c>
      <c r="AF995" t="s">
        <v>74</v>
      </c>
      <c r="AG995">
        <v>73</v>
      </c>
      <c r="AH995">
        <v>4</v>
      </c>
      <c r="AI995">
        <v>5</v>
      </c>
      <c r="AJ995">
        <v>5</v>
      </c>
      <c r="AK995">
        <v>34</v>
      </c>
      <c r="AL995" t="s">
        <v>530</v>
      </c>
      <c r="AM995" t="s">
        <v>1121</v>
      </c>
      <c r="AN995" t="s">
        <v>1122</v>
      </c>
      <c r="AO995" t="s">
        <v>6242</v>
      </c>
      <c r="AP995" t="s">
        <v>6243</v>
      </c>
      <c r="AQ995" t="s">
        <v>74</v>
      </c>
      <c r="AR995" t="s">
        <v>6229</v>
      </c>
      <c r="AS995" t="s">
        <v>6244</v>
      </c>
      <c r="AT995" t="s">
        <v>8316</v>
      </c>
      <c r="AU995">
        <v>2022</v>
      </c>
      <c r="AV995">
        <v>158</v>
      </c>
      <c r="AW995">
        <v>3</v>
      </c>
      <c r="AX995" t="s">
        <v>74</v>
      </c>
      <c r="AY995" t="s">
        <v>74</v>
      </c>
      <c r="AZ995" t="s">
        <v>74</v>
      </c>
      <c r="BA995" t="s">
        <v>74</v>
      </c>
      <c r="BB995">
        <v>313</v>
      </c>
      <c r="BC995">
        <v>326</v>
      </c>
      <c r="BD995" t="s">
        <v>74</v>
      </c>
      <c r="BE995" t="s">
        <v>19206</v>
      </c>
      <c r="BF995" t="str">
        <f>HYPERLINK("http://dx.doi.org/10.1007/s10533-022-00900-4","http://dx.doi.org/10.1007/s10533-022-00900-4")</f>
        <v>http://dx.doi.org/10.1007/s10533-022-00900-4</v>
      </c>
      <c r="BG995" t="s">
        <v>74</v>
      </c>
      <c r="BH995" t="s">
        <v>18249</v>
      </c>
      <c r="BI995">
        <v>14</v>
      </c>
      <c r="BJ995" t="s">
        <v>6246</v>
      </c>
      <c r="BK995" t="s">
        <v>101</v>
      </c>
      <c r="BL995" t="s">
        <v>3113</v>
      </c>
      <c r="BM995" t="s">
        <v>19207</v>
      </c>
      <c r="BN995" t="s">
        <v>74</v>
      </c>
      <c r="BO995" t="s">
        <v>74</v>
      </c>
      <c r="BP995" t="s">
        <v>74</v>
      </c>
      <c r="BQ995" t="s">
        <v>74</v>
      </c>
      <c r="BR995" t="s">
        <v>103</v>
      </c>
      <c r="BS995" t="s">
        <v>19208</v>
      </c>
      <c r="BT995" t="str">
        <f>HYPERLINK("https%3A%2F%2Fwww.webofscience.com%2Fwos%2Fwoscc%2Ffull-record%2FWOS:000759360500002","View Full Record in Web of Science")</f>
        <v>View Full Record in Web of Science</v>
      </c>
    </row>
    <row r="996" spans="1:72" x14ac:dyDescent="0.15">
      <c r="A996" t="s">
        <v>72</v>
      </c>
      <c r="B996" t="s">
        <v>19209</v>
      </c>
      <c r="C996" t="s">
        <v>74</v>
      </c>
      <c r="D996" t="s">
        <v>74</v>
      </c>
      <c r="E996" t="s">
        <v>74</v>
      </c>
      <c r="F996" t="s">
        <v>19210</v>
      </c>
      <c r="G996" t="s">
        <v>74</v>
      </c>
      <c r="H996" t="s">
        <v>74</v>
      </c>
      <c r="I996" t="s">
        <v>19211</v>
      </c>
      <c r="J996" t="s">
        <v>18898</v>
      </c>
      <c r="K996" t="s">
        <v>74</v>
      </c>
      <c r="L996" t="s">
        <v>74</v>
      </c>
      <c r="M996" t="s">
        <v>78</v>
      </c>
      <c r="N996" t="s">
        <v>190</v>
      </c>
      <c r="O996" t="s">
        <v>74</v>
      </c>
      <c r="P996" t="s">
        <v>74</v>
      </c>
      <c r="Q996" t="s">
        <v>74</v>
      </c>
      <c r="R996" t="s">
        <v>74</v>
      </c>
      <c r="S996" t="s">
        <v>74</v>
      </c>
      <c r="T996" t="s">
        <v>74</v>
      </c>
      <c r="U996" t="s">
        <v>19212</v>
      </c>
      <c r="V996" t="s">
        <v>19213</v>
      </c>
      <c r="W996" t="s">
        <v>19214</v>
      </c>
      <c r="X996" t="s">
        <v>19215</v>
      </c>
      <c r="Y996" t="s">
        <v>19216</v>
      </c>
      <c r="Z996" t="s">
        <v>19217</v>
      </c>
      <c r="AA996" t="s">
        <v>19218</v>
      </c>
      <c r="AB996" t="s">
        <v>19219</v>
      </c>
      <c r="AC996" t="s">
        <v>19220</v>
      </c>
      <c r="AD996" t="s">
        <v>19220</v>
      </c>
      <c r="AE996" t="s">
        <v>19221</v>
      </c>
      <c r="AF996" t="s">
        <v>74</v>
      </c>
      <c r="AG996">
        <v>232</v>
      </c>
      <c r="AH996">
        <v>28</v>
      </c>
      <c r="AI996">
        <v>30</v>
      </c>
      <c r="AJ996">
        <v>15</v>
      </c>
      <c r="AK996">
        <v>80</v>
      </c>
      <c r="AL996" t="s">
        <v>400</v>
      </c>
      <c r="AM996" t="s">
        <v>401</v>
      </c>
      <c r="AN996" t="s">
        <v>402</v>
      </c>
      <c r="AO996" t="s">
        <v>18910</v>
      </c>
      <c r="AP996" t="s">
        <v>18911</v>
      </c>
      <c r="AQ996" t="s">
        <v>74</v>
      </c>
      <c r="AR996" t="s">
        <v>18912</v>
      </c>
      <c r="AS996" t="s">
        <v>18913</v>
      </c>
      <c r="AT996" t="s">
        <v>6497</v>
      </c>
      <c r="AU996">
        <v>2022</v>
      </c>
      <c r="AV996">
        <v>21</v>
      </c>
      <c r="AW996">
        <v>3</v>
      </c>
      <c r="AX996" t="s">
        <v>74</v>
      </c>
      <c r="AY996" t="s">
        <v>74</v>
      </c>
      <c r="AZ996" t="s">
        <v>74</v>
      </c>
      <c r="BA996" t="s">
        <v>74</v>
      </c>
      <c r="BB996">
        <v>275</v>
      </c>
      <c r="BC996">
        <v>301</v>
      </c>
      <c r="BD996" t="s">
        <v>74</v>
      </c>
      <c r="BE996" t="s">
        <v>19222</v>
      </c>
      <c r="BF996" t="str">
        <f>HYPERLINK("http://dx.doi.org/10.1007/s43630-022-00176-5","http://dx.doi.org/10.1007/s43630-022-00176-5")</f>
        <v>http://dx.doi.org/10.1007/s43630-022-00176-5</v>
      </c>
      <c r="BG996" t="s">
        <v>74</v>
      </c>
      <c r="BH996" t="s">
        <v>18249</v>
      </c>
      <c r="BI996">
        <v>27</v>
      </c>
      <c r="BJ996" t="s">
        <v>18915</v>
      </c>
      <c r="BK996" t="s">
        <v>101</v>
      </c>
      <c r="BL996" t="s">
        <v>18916</v>
      </c>
      <c r="BM996" t="s">
        <v>18917</v>
      </c>
      <c r="BN996">
        <v>35191005</v>
      </c>
      <c r="BO996" t="s">
        <v>7989</v>
      </c>
      <c r="BP996" t="s">
        <v>74</v>
      </c>
      <c r="BQ996" t="s">
        <v>74</v>
      </c>
      <c r="BR996" t="s">
        <v>103</v>
      </c>
      <c r="BS996" t="s">
        <v>19223</v>
      </c>
      <c r="BT996" t="str">
        <f>HYPERLINK("https%3A%2F%2Fwww.webofscience.com%2Fwos%2Fwoscc%2Ffull-record%2FWOS:000759012000003","View Full Record in Web of Science")</f>
        <v>View Full Record in Web of Science</v>
      </c>
    </row>
    <row r="997" spans="1:72" x14ac:dyDescent="0.15">
      <c r="A997" t="s">
        <v>72</v>
      </c>
      <c r="B997" t="s">
        <v>19224</v>
      </c>
      <c r="C997" t="s">
        <v>74</v>
      </c>
      <c r="D997" t="s">
        <v>74</v>
      </c>
      <c r="E997" t="s">
        <v>74</v>
      </c>
      <c r="F997" t="s">
        <v>19225</v>
      </c>
      <c r="G997" t="s">
        <v>74</v>
      </c>
      <c r="H997" t="s">
        <v>74</v>
      </c>
      <c r="I997" t="s">
        <v>19226</v>
      </c>
      <c r="J997" t="s">
        <v>19227</v>
      </c>
      <c r="K997" t="s">
        <v>74</v>
      </c>
      <c r="L997" t="s">
        <v>74</v>
      </c>
      <c r="M997" t="s">
        <v>78</v>
      </c>
      <c r="N997" t="s">
        <v>79</v>
      </c>
      <c r="O997" t="s">
        <v>74</v>
      </c>
      <c r="P997" t="s">
        <v>74</v>
      </c>
      <c r="Q997" t="s">
        <v>74</v>
      </c>
      <c r="R997" t="s">
        <v>74</v>
      </c>
      <c r="S997" t="s">
        <v>74</v>
      </c>
      <c r="T997" t="s">
        <v>19228</v>
      </c>
      <c r="U997" t="s">
        <v>19229</v>
      </c>
      <c r="V997" t="s">
        <v>19230</v>
      </c>
      <c r="W997" t="s">
        <v>19231</v>
      </c>
      <c r="X997" t="s">
        <v>9219</v>
      </c>
      <c r="Y997" t="s">
        <v>19232</v>
      </c>
      <c r="Z997" t="s">
        <v>19233</v>
      </c>
      <c r="AA997" t="s">
        <v>19234</v>
      </c>
      <c r="AB997" t="s">
        <v>19235</v>
      </c>
      <c r="AC997" t="s">
        <v>19236</v>
      </c>
      <c r="AD997" t="s">
        <v>19236</v>
      </c>
      <c r="AE997" t="s">
        <v>19237</v>
      </c>
      <c r="AF997" t="s">
        <v>74</v>
      </c>
      <c r="AG997">
        <v>38</v>
      </c>
      <c r="AH997">
        <v>0</v>
      </c>
      <c r="AI997">
        <v>0</v>
      </c>
      <c r="AJ997">
        <v>0</v>
      </c>
      <c r="AK997">
        <v>6</v>
      </c>
      <c r="AL997" t="s">
        <v>4862</v>
      </c>
      <c r="AM997" t="s">
        <v>4863</v>
      </c>
      <c r="AN997" t="s">
        <v>4864</v>
      </c>
      <c r="AO997" t="s">
        <v>19238</v>
      </c>
      <c r="AP997" t="s">
        <v>19239</v>
      </c>
      <c r="AQ997" t="s">
        <v>74</v>
      </c>
      <c r="AR997" t="s">
        <v>19240</v>
      </c>
      <c r="AS997" t="s">
        <v>19241</v>
      </c>
      <c r="AT997" t="s">
        <v>19242</v>
      </c>
      <c r="AU997">
        <v>2022</v>
      </c>
      <c r="AV997">
        <v>69</v>
      </c>
      <c r="AW997">
        <v>5</v>
      </c>
      <c r="AX997" t="s">
        <v>74</v>
      </c>
      <c r="AY997" t="s">
        <v>74</v>
      </c>
      <c r="AZ997" t="s">
        <v>74</v>
      </c>
      <c r="BA997" t="s">
        <v>74</v>
      </c>
      <c r="BB997">
        <v>742</v>
      </c>
      <c r="BC997">
        <v>756</v>
      </c>
      <c r="BD997" t="s">
        <v>74</v>
      </c>
      <c r="BE997" t="s">
        <v>19243</v>
      </c>
      <c r="BF997" t="str">
        <f>HYPERLINK("http://dx.doi.org/10.1080/08120099.2022.2037706","http://dx.doi.org/10.1080/08120099.2022.2037706")</f>
        <v>http://dx.doi.org/10.1080/08120099.2022.2037706</v>
      </c>
      <c r="BG997" t="s">
        <v>74</v>
      </c>
      <c r="BH997" t="s">
        <v>18249</v>
      </c>
      <c r="BI997">
        <v>15</v>
      </c>
      <c r="BJ997" t="s">
        <v>265</v>
      </c>
      <c r="BK997" t="s">
        <v>101</v>
      </c>
      <c r="BL997" t="s">
        <v>100</v>
      </c>
      <c r="BM997" t="s">
        <v>19244</v>
      </c>
      <c r="BN997" t="s">
        <v>74</v>
      </c>
      <c r="BO997" t="s">
        <v>74</v>
      </c>
      <c r="BP997" t="s">
        <v>74</v>
      </c>
      <c r="BQ997" t="s">
        <v>74</v>
      </c>
      <c r="BR997" t="s">
        <v>103</v>
      </c>
      <c r="BS997" t="s">
        <v>19245</v>
      </c>
      <c r="BT997" t="str">
        <f>HYPERLINK("https%3A%2F%2Fwww.webofscience.com%2Fwos%2Fwoscc%2Ffull-record%2FWOS:000758864300001","View Full Record in Web of Science")</f>
        <v>View Full Record in Web of Science</v>
      </c>
    </row>
    <row r="998" spans="1:72" x14ac:dyDescent="0.15">
      <c r="A998" t="s">
        <v>72</v>
      </c>
      <c r="B998" t="s">
        <v>19246</v>
      </c>
      <c r="C998" t="s">
        <v>74</v>
      </c>
      <c r="D998" t="s">
        <v>74</v>
      </c>
      <c r="E998" t="s">
        <v>74</v>
      </c>
      <c r="F998" t="s">
        <v>19247</v>
      </c>
      <c r="G998" t="s">
        <v>74</v>
      </c>
      <c r="H998" t="s">
        <v>74</v>
      </c>
      <c r="I998" t="s">
        <v>19248</v>
      </c>
      <c r="J998" t="s">
        <v>517</v>
      </c>
      <c r="K998" t="s">
        <v>74</v>
      </c>
      <c r="L998" t="s">
        <v>74</v>
      </c>
      <c r="M998" t="s">
        <v>78</v>
      </c>
      <c r="N998" t="s">
        <v>79</v>
      </c>
      <c r="O998" t="s">
        <v>74</v>
      </c>
      <c r="P998" t="s">
        <v>74</v>
      </c>
      <c r="Q998" t="s">
        <v>74</v>
      </c>
      <c r="R998" t="s">
        <v>74</v>
      </c>
      <c r="S998" t="s">
        <v>74</v>
      </c>
      <c r="T998" t="s">
        <v>19249</v>
      </c>
      <c r="U998" t="s">
        <v>19250</v>
      </c>
      <c r="V998" t="s">
        <v>19251</v>
      </c>
      <c r="W998" t="s">
        <v>19252</v>
      </c>
      <c r="X998" t="s">
        <v>19253</v>
      </c>
      <c r="Y998" t="s">
        <v>19254</v>
      </c>
      <c r="Z998" t="s">
        <v>19255</v>
      </c>
      <c r="AA998" t="s">
        <v>74</v>
      </c>
      <c r="AB998" t="s">
        <v>74</v>
      </c>
      <c r="AC998" t="s">
        <v>19256</v>
      </c>
      <c r="AD998" t="s">
        <v>19257</v>
      </c>
      <c r="AE998" t="s">
        <v>19258</v>
      </c>
      <c r="AF998" t="s">
        <v>74</v>
      </c>
      <c r="AG998">
        <v>30</v>
      </c>
      <c r="AH998">
        <v>0</v>
      </c>
      <c r="AI998">
        <v>0</v>
      </c>
      <c r="AJ998">
        <v>1</v>
      </c>
      <c r="AK998">
        <v>4</v>
      </c>
      <c r="AL998" t="s">
        <v>530</v>
      </c>
      <c r="AM998" t="s">
        <v>531</v>
      </c>
      <c r="AN998" t="s">
        <v>532</v>
      </c>
      <c r="AO998" t="s">
        <v>533</v>
      </c>
      <c r="AP998" t="s">
        <v>534</v>
      </c>
      <c r="AQ998" t="s">
        <v>74</v>
      </c>
      <c r="AR998" t="s">
        <v>535</v>
      </c>
      <c r="AS998" t="s">
        <v>536</v>
      </c>
      <c r="AT998" t="s">
        <v>5076</v>
      </c>
      <c r="AU998">
        <v>2022</v>
      </c>
      <c r="AV998">
        <v>45</v>
      </c>
      <c r="AW998">
        <v>5</v>
      </c>
      <c r="AX998" t="s">
        <v>74</v>
      </c>
      <c r="AY998" t="s">
        <v>74</v>
      </c>
      <c r="AZ998" t="s">
        <v>74</v>
      </c>
      <c r="BA998" t="s">
        <v>74</v>
      </c>
      <c r="BB998">
        <v>777</v>
      </c>
      <c r="BC998">
        <v>787</v>
      </c>
      <c r="BD998" t="s">
        <v>74</v>
      </c>
      <c r="BE998" t="s">
        <v>19259</v>
      </c>
      <c r="BF998" t="str">
        <f>HYPERLINK("http://dx.doi.org/10.1007/s00300-022-03018-3","http://dx.doi.org/10.1007/s00300-022-03018-3")</f>
        <v>http://dx.doi.org/10.1007/s00300-022-03018-3</v>
      </c>
      <c r="BG998" t="s">
        <v>74</v>
      </c>
      <c r="BH998" t="s">
        <v>18249</v>
      </c>
      <c r="BI998">
        <v>11</v>
      </c>
      <c r="BJ998" t="s">
        <v>539</v>
      </c>
      <c r="BK998" t="s">
        <v>101</v>
      </c>
      <c r="BL998" t="s">
        <v>540</v>
      </c>
      <c r="BM998" t="s">
        <v>8883</v>
      </c>
      <c r="BN998" t="s">
        <v>74</v>
      </c>
      <c r="BO998" t="s">
        <v>74</v>
      </c>
      <c r="BP998" t="s">
        <v>74</v>
      </c>
      <c r="BQ998" t="s">
        <v>74</v>
      </c>
      <c r="BR998" t="s">
        <v>103</v>
      </c>
      <c r="BS998" t="s">
        <v>19260</v>
      </c>
      <c r="BT998" t="str">
        <f>HYPERLINK("https%3A%2F%2Fwww.webofscience.com%2Fwos%2Fwoscc%2Ffull-record%2FWOS:000758070200001","View Full Record in Web of Science")</f>
        <v>View Full Record in Web of Science</v>
      </c>
    </row>
    <row r="999" spans="1:72" x14ac:dyDescent="0.15">
      <c r="A999" t="s">
        <v>72</v>
      </c>
      <c r="B999" t="s">
        <v>19261</v>
      </c>
      <c r="C999" t="s">
        <v>74</v>
      </c>
      <c r="D999" t="s">
        <v>74</v>
      </c>
      <c r="E999" t="s">
        <v>74</v>
      </c>
      <c r="F999" t="s">
        <v>19262</v>
      </c>
      <c r="G999" t="s">
        <v>74</v>
      </c>
      <c r="H999" t="s">
        <v>74</v>
      </c>
      <c r="I999" t="s">
        <v>19263</v>
      </c>
      <c r="J999" t="s">
        <v>12719</v>
      </c>
      <c r="K999" t="s">
        <v>74</v>
      </c>
      <c r="L999" t="s">
        <v>74</v>
      </c>
      <c r="M999" t="s">
        <v>78</v>
      </c>
      <c r="N999" t="s">
        <v>79</v>
      </c>
      <c r="O999" t="s">
        <v>74</v>
      </c>
      <c r="P999" t="s">
        <v>74</v>
      </c>
      <c r="Q999" t="s">
        <v>74</v>
      </c>
      <c r="R999" t="s">
        <v>74</v>
      </c>
      <c r="S999" t="s">
        <v>74</v>
      </c>
      <c r="T999" t="s">
        <v>19264</v>
      </c>
      <c r="U999" t="s">
        <v>19265</v>
      </c>
      <c r="V999" t="s">
        <v>19266</v>
      </c>
      <c r="W999" t="s">
        <v>19267</v>
      </c>
      <c r="X999" t="s">
        <v>19268</v>
      </c>
      <c r="Y999" t="s">
        <v>19269</v>
      </c>
      <c r="Z999" t="s">
        <v>19270</v>
      </c>
      <c r="AA999" t="s">
        <v>74</v>
      </c>
      <c r="AB999" t="s">
        <v>19271</v>
      </c>
      <c r="AC999" t="s">
        <v>74</v>
      </c>
      <c r="AD999" t="s">
        <v>74</v>
      </c>
      <c r="AE999" t="s">
        <v>74</v>
      </c>
      <c r="AF999" t="s">
        <v>74</v>
      </c>
      <c r="AG999">
        <v>113</v>
      </c>
      <c r="AH999">
        <v>1</v>
      </c>
      <c r="AI999">
        <v>1</v>
      </c>
      <c r="AJ999">
        <v>4</v>
      </c>
      <c r="AK999">
        <v>20</v>
      </c>
      <c r="AL999" t="s">
        <v>91</v>
      </c>
      <c r="AM999" t="s">
        <v>92</v>
      </c>
      <c r="AN999" t="s">
        <v>93</v>
      </c>
      <c r="AO999" t="s">
        <v>12732</v>
      </c>
      <c r="AP999" t="s">
        <v>12733</v>
      </c>
      <c r="AQ999" t="s">
        <v>74</v>
      </c>
      <c r="AR999" t="s">
        <v>12734</v>
      </c>
      <c r="AS999" t="s">
        <v>12735</v>
      </c>
      <c r="AT999" t="s">
        <v>8316</v>
      </c>
      <c r="AU999">
        <v>2022</v>
      </c>
      <c r="AV999">
        <v>28</v>
      </c>
      <c r="AW999">
        <v>4</v>
      </c>
      <c r="AX999" t="s">
        <v>74</v>
      </c>
      <c r="AY999" t="s">
        <v>74</v>
      </c>
      <c r="AZ999" t="s">
        <v>74</v>
      </c>
      <c r="BA999" t="s">
        <v>74</v>
      </c>
      <c r="BB999">
        <v>649</v>
      </c>
      <c r="BC999">
        <v>666</v>
      </c>
      <c r="BD999" t="s">
        <v>74</v>
      </c>
      <c r="BE999" t="s">
        <v>19272</v>
      </c>
      <c r="BF999" t="str">
        <f>HYPERLINK("http://dx.doi.org/10.1111/ddi.13464","http://dx.doi.org/10.1111/ddi.13464")</f>
        <v>http://dx.doi.org/10.1111/ddi.13464</v>
      </c>
      <c r="BG999" t="s">
        <v>74</v>
      </c>
      <c r="BH999" t="s">
        <v>18249</v>
      </c>
      <c r="BI999">
        <v>18</v>
      </c>
      <c r="BJ999" t="s">
        <v>539</v>
      </c>
      <c r="BK999" t="s">
        <v>101</v>
      </c>
      <c r="BL999" t="s">
        <v>540</v>
      </c>
      <c r="BM999" t="s">
        <v>19273</v>
      </c>
      <c r="BN999" t="s">
        <v>74</v>
      </c>
      <c r="BO999" t="s">
        <v>1533</v>
      </c>
      <c r="BP999" t="s">
        <v>74</v>
      </c>
      <c r="BQ999" t="s">
        <v>74</v>
      </c>
      <c r="BR999" t="s">
        <v>103</v>
      </c>
      <c r="BS999" t="s">
        <v>19274</v>
      </c>
      <c r="BT999" t="str">
        <f>HYPERLINK("https%3A%2F%2Fwww.webofscience.com%2Fwos%2Fwoscc%2Ffull-record%2FWOS:000757804000001","View Full Record in Web of Science")</f>
        <v>View Full Record in Web of Science</v>
      </c>
    </row>
    <row r="1000" spans="1:72" x14ac:dyDescent="0.15">
      <c r="A1000" t="s">
        <v>72</v>
      </c>
      <c r="B1000" t="s">
        <v>19275</v>
      </c>
      <c r="C1000" t="s">
        <v>74</v>
      </c>
      <c r="D1000" t="s">
        <v>74</v>
      </c>
      <c r="E1000" t="s">
        <v>74</v>
      </c>
      <c r="F1000" t="s">
        <v>19276</v>
      </c>
      <c r="G1000" t="s">
        <v>74</v>
      </c>
      <c r="H1000" t="s">
        <v>74</v>
      </c>
      <c r="I1000" t="s">
        <v>19277</v>
      </c>
      <c r="J1000" t="s">
        <v>244</v>
      </c>
      <c r="K1000" t="s">
        <v>74</v>
      </c>
      <c r="L1000" t="s">
        <v>74</v>
      </c>
      <c r="M1000" t="s">
        <v>78</v>
      </c>
      <c r="N1000" t="s">
        <v>79</v>
      </c>
      <c r="O1000" t="s">
        <v>74</v>
      </c>
      <c r="P1000" t="s">
        <v>74</v>
      </c>
      <c r="Q1000" t="s">
        <v>74</v>
      </c>
      <c r="R1000" t="s">
        <v>74</v>
      </c>
      <c r="S1000" t="s">
        <v>74</v>
      </c>
      <c r="T1000" t="s">
        <v>19278</v>
      </c>
      <c r="U1000" t="s">
        <v>19279</v>
      </c>
      <c r="V1000" t="s">
        <v>19280</v>
      </c>
      <c r="W1000" t="s">
        <v>19281</v>
      </c>
      <c r="X1000" t="s">
        <v>19282</v>
      </c>
      <c r="Y1000" t="s">
        <v>19283</v>
      </c>
      <c r="Z1000" t="s">
        <v>19284</v>
      </c>
      <c r="AA1000" t="s">
        <v>19285</v>
      </c>
      <c r="AB1000" t="s">
        <v>19286</v>
      </c>
      <c r="AC1000" t="s">
        <v>19287</v>
      </c>
      <c r="AD1000" t="s">
        <v>19288</v>
      </c>
      <c r="AE1000" t="s">
        <v>19289</v>
      </c>
      <c r="AF1000" t="s">
        <v>74</v>
      </c>
      <c r="AG1000">
        <v>241</v>
      </c>
      <c r="AH1000">
        <v>11</v>
      </c>
      <c r="AI1000">
        <v>12</v>
      </c>
      <c r="AJ1000">
        <v>1</v>
      </c>
      <c r="AK1000">
        <v>23</v>
      </c>
      <c r="AL1000" t="s">
        <v>257</v>
      </c>
      <c r="AM1000" t="s">
        <v>258</v>
      </c>
      <c r="AN1000" t="s">
        <v>259</v>
      </c>
      <c r="AO1000" t="s">
        <v>260</v>
      </c>
      <c r="AP1000" t="s">
        <v>261</v>
      </c>
      <c r="AQ1000" t="s">
        <v>74</v>
      </c>
      <c r="AR1000" t="s">
        <v>262</v>
      </c>
      <c r="AS1000" t="s">
        <v>263</v>
      </c>
      <c r="AT1000" t="s">
        <v>6497</v>
      </c>
      <c r="AU1000">
        <v>2022</v>
      </c>
      <c r="AV1000">
        <v>226</v>
      </c>
      <c r="AW1000" t="s">
        <v>74</v>
      </c>
      <c r="AX1000" t="s">
        <v>74</v>
      </c>
      <c r="AY1000" t="s">
        <v>74</v>
      </c>
      <c r="AZ1000" t="s">
        <v>74</v>
      </c>
      <c r="BA1000" t="s">
        <v>74</v>
      </c>
      <c r="BB1000" t="s">
        <v>74</v>
      </c>
      <c r="BC1000" t="s">
        <v>74</v>
      </c>
      <c r="BD1000">
        <v>103966</v>
      </c>
      <c r="BE1000" t="s">
        <v>19290</v>
      </c>
      <c r="BF1000" t="str">
        <f>HYPERLINK("http://dx.doi.org/10.1016/j.earscirev.2022.103966","http://dx.doi.org/10.1016/j.earscirev.2022.103966")</f>
        <v>http://dx.doi.org/10.1016/j.earscirev.2022.103966</v>
      </c>
      <c r="BG1000" t="s">
        <v>74</v>
      </c>
      <c r="BH1000" t="s">
        <v>18249</v>
      </c>
      <c r="BI1000">
        <v>17</v>
      </c>
      <c r="BJ1000" t="s">
        <v>265</v>
      </c>
      <c r="BK1000" t="s">
        <v>101</v>
      </c>
      <c r="BL1000" t="s">
        <v>100</v>
      </c>
      <c r="BM1000" t="s">
        <v>19291</v>
      </c>
      <c r="BN1000" t="s">
        <v>74</v>
      </c>
      <c r="BO1000" t="s">
        <v>643</v>
      </c>
      <c r="BP1000" t="s">
        <v>74</v>
      </c>
      <c r="BQ1000" t="s">
        <v>74</v>
      </c>
      <c r="BR1000" t="s">
        <v>103</v>
      </c>
      <c r="BS1000" t="s">
        <v>19292</v>
      </c>
      <c r="BT1000" t="str">
        <f>HYPERLINK("https%3A%2F%2Fwww.webofscience.com%2Fwos%2Fwoscc%2Ffull-record%2FWOS:000787089400006","View Full Record in Web of Science")</f>
        <v>View Full Record in Web of Science</v>
      </c>
    </row>
    <row r="1001" spans="1:72" x14ac:dyDescent="0.15">
      <c r="A1001" t="s">
        <v>72</v>
      </c>
      <c r="B1001" t="s">
        <v>19293</v>
      </c>
      <c r="C1001" t="s">
        <v>74</v>
      </c>
      <c r="D1001" t="s">
        <v>74</v>
      </c>
      <c r="E1001" t="s">
        <v>74</v>
      </c>
      <c r="F1001" t="s">
        <v>19294</v>
      </c>
      <c r="G1001" t="s">
        <v>74</v>
      </c>
      <c r="H1001" t="s">
        <v>74</v>
      </c>
      <c r="I1001" t="s">
        <v>19295</v>
      </c>
      <c r="J1001" t="s">
        <v>4657</v>
      </c>
      <c r="K1001" t="s">
        <v>74</v>
      </c>
      <c r="L1001" t="s">
        <v>74</v>
      </c>
      <c r="M1001" t="s">
        <v>78</v>
      </c>
      <c r="N1001" t="s">
        <v>79</v>
      </c>
      <c r="O1001" t="s">
        <v>74</v>
      </c>
      <c r="P1001" t="s">
        <v>74</v>
      </c>
      <c r="Q1001" t="s">
        <v>74</v>
      </c>
      <c r="R1001" t="s">
        <v>74</v>
      </c>
      <c r="S1001" t="s">
        <v>74</v>
      </c>
      <c r="T1001" t="s">
        <v>19296</v>
      </c>
      <c r="U1001" t="s">
        <v>19297</v>
      </c>
      <c r="V1001" t="s">
        <v>19298</v>
      </c>
      <c r="W1001" t="s">
        <v>19299</v>
      </c>
      <c r="X1001" t="s">
        <v>19300</v>
      </c>
      <c r="Y1001" t="s">
        <v>19301</v>
      </c>
      <c r="Z1001" t="s">
        <v>19302</v>
      </c>
      <c r="AA1001" t="s">
        <v>19303</v>
      </c>
      <c r="AB1001" t="s">
        <v>19304</v>
      </c>
      <c r="AC1001" t="s">
        <v>19305</v>
      </c>
      <c r="AD1001" t="s">
        <v>19306</v>
      </c>
      <c r="AE1001" t="s">
        <v>19307</v>
      </c>
      <c r="AF1001" t="s">
        <v>74</v>
      </c>
      <c r="AG1001">
        <v>53</v>
      </c>
      <c r="AH1001">
        <v>2</v>
      </c>
      <c r="AI1001">
        <v>2</v>
      </c>
      <c r="AJ1001">
        <v>0</v>
      </c>
      <c r="AK1001">
        <v>3</v>
      </c>
      <c r="AL1001" t="s">
        <v>199</v>
      </c>
      <c r="AM1001" t="s">
        <v>200</v>
      </c>
      <c r="AN1001" t="s">
        <v>201</v>
      </c>
      <c r="AO1001" t="s">
        <v>4666</v>
      </c>
      <c r="AP1001" t="s">
        <v>4667</v>
      </c>
      <c r="AQ1001" t="s">
        <v>74</v>
      </c>
      <c r="AR1001" t="s">
        <v>4668</v>
      </c>
      <c r="AS1001" t="s">
        <v>4669</v>
      </c>
      <c r="AT1001" t="s">
        <v>6497</v>
      </c>
      <c r="AU1001">
        <v>2022</v>
      </c>
      <c r="AV1001">
        <v>229</v>
      </c>
      <c r="AW1001" t="s">
        <v>74</v>
      </c>
      <c r="AX1001" t="s">
        <v>74</v>
      </c>
      <c r="AY1001" t="s">
        <v>74</v>
      </c>
      <c r="AZ1001" t="s">
        <v>74</v>
      </c>
      <c r="BA1001" t="s">
        <v>74</v>
      </c>
      <c r="BB1001" t="s">
        <v>74</v>
      </c>
      <c r="BC1001" t="s">
        <v>74</v>
      </c>
      <c r="BD1001">
        <v>105811</v>
      </c>
      <c r="BE1001" t="s">
        <v>19308</v>
      </c>
      <c r="BF1001" t="str">
        <f>HYPERLINK("http://dx.doi.org/10.1016/j.jastp.2021.105811","http://dx.doi.org/10.1016/j.jastp.2021.105811")</f>
        <v>http://dx.doi.org/10.1016/j.jastp.2021.105811</v>
      </c>
      <c r="BG1001" t="s">
        <v>74</v>
      </c>
      <c r="BH1001" t="s">
        <v>18249</v>
      </c>
      <c r="BI1001">
        <v>10</v>
      </c>
      <c r="BJ1001" t="s">
        <v>487</v>
      </c>
      <c r="BK1001" t="s">
        <v>101</v>
      </c>
      <c r="BL1001" t="s">
        <v>487</v>
      </c>
      <c r="BM1001" t="s">
        <v>19309</v>
      </c>
      <c r="BN1001" t="s">
        <v>74</v>
      </c>
      <c r="BO1001" t="s">
        <v>74</v>
      </c>
      <c r="BP1001" t="s">
        <v>74</v>
      </c>
      <c r="BQ1001" t="s">
        <v>74</v>
      </c>
      <c r="BR1001" t="s">
        <v>103</v>
      </c>
      <c r="BS1001" t="s">
        <v>19310</v>
      </c>
      <c r="BT1001" t="str">
        <f>HYPERLINK("https%3A%2F%2Fwww.webofscience.com%2Fwos%2Fwoscc%2Ffull-record%2FWOS:000788365500003","View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2024-07-28T15:23:34Z</dcterms:created>
  <dcterms:modified xsi:type="dcterms:W3CDTF">2024-07-28T15:23:34Z</dcterms:modified>
</cp:coreProperties>
</file>